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9.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mc:AlternateContent xmlns:mc="http://schemas.openxmlformats.org/markup-compatibility/2006">
    <mc:Choice Requires="x15">
      <x15ac:absPath xmlns:x15ac="http://schemas.microsoft.com/office/spreadsheetml/2010/11/ac" url="D:\Herrikoa\Dossiers de financement\Dossiers HERRIKOA\Dossiers en cours\"/>
    </mc:Choice>
  </mc:AlternateContent>
  <xr:revisionPtr revIDLastSave="0" documentId="13_ncr:1_{B6CD7ADC-91EB-4118-B151-6ED7B6DF6B17}" xr6:coauthVersionLast="43" xr6:coauthVersionMax="43" xr10:uidLastSave="{00000000-0000-0000-0000-000000000000}"/>
  <bookViews>
    <workbookView xWindow="-108" yWindow="-108" windowWidth="23256" windowHeight="12576" tabRatio="955" xr2:uid="{00000000-000D-0000-FFFF-FFFF00000000}"/>
  </bookViews>
  <sheets>
    <sheet name="Accueil" sheetId="8" r:id="rId1"/>
    <sheet name="Projet" sheetId="18" r:id="rId2"/>
    <sheet name="Entreprise cible" sheetId="9" r:id="rId3"/>
    <sheet name="Rachat ou reprise" sheetId="13" r:id="rId4"/>
    <sheet name="Cpte de résultat prévisionnel" sheetId="14" r:id="rId5"/>
    <sheet name="Investissements" sheetId="20" r:id="rId6"/>
    <sheet name="Plan de financement" sheetId="2" r:id="rId7"/>
    <sheet name="Simulations" sheetId="26" r:id="rId8"/>
    <sheet name="Synthèse exploitation" sheetId="12" r:id="rId9"/>
    <sheet name="Synthèse structure financière" sheetId="25" r:id="rId10"/>
    <sheet name="Analyse CR" sheetId="16" r:id="rId11"/>
    <sheet name="Analyse bilan" sheetId="17" r:id="rId12"/>
    <sheet name="Holding-prévisionnel" sheetId="19" r:id="rId13"/>
    <sheet name="Holding-plan de financement" sheetId="22" r:id="rId14"/>
    <sheet name="Valorisation" sheetId="31" r:id="rId15"/>
    <sheet name="Cotation" sheetId="21" r:id="rId16"/>
    <sheet name="Avis comité technique" sheetId="28" r:id="rId17"/>
    <sheet name="Tableaux d'emprunts" sheetId="27" r:id="rId18"/>
    <sheet name="score" sheetId="23" r:id="rId19"/>
  </sheets>
  <definedNames>
    <definedName name="aa_1">'Analyse bilan'!$F$10</definedName>
    <definedName name="aa_2">'Analyse bilan'!$I$10</definedName>
    <definedName name="aa_3">'Analyse bilan'!$L$10</definedName>
    <definedName name="aa_4">'Analyse bilan'!$O$10</definedName>
    <definedName name="activité">'Cpte de résultat prévisionnel'!$C$4</definedName>
    <definedName name="amort_1">'Analyse CR'!$E$128</definedName>
    <definedName name="amort_2">'Analyse CR'!$H$128</definedName>
    <definedName name="amort_3">'Analyse CR'!$K$128</definedName>
    <definedName name="amort_4">'Analyse CR'!$N$128</definedName>
    <definedName name="amort_5">'Cpte de résultat prévisionnel'!$H$136</definedName>
    <definedName name="amort_6">'Cpte de résultat prévisionnel'!$K$136</definedName>
    <definedName name="amort_7">'Cpte de résultat prévisionnel'!$N$136</definedName>
    <definedName name="amort_créditbail_5">'Cpte de résultat prévisionnel'!$H$55</definedName>
    <definedName name="amort_créditbail_6">'Cpte de résultat prévisionnel'!$K$55</definedName>
    <definedName name="amort_créditbail_7">'Cpte de résultat prévisionnel'!$N$55</definedName>
    <definedName name="An">'Cpte de résultat prévisionnel'!$H$4</definedName>
    <definedName name="annuité_emprunt1">'Tableaux d''emprunts'!$M$6</definedName>
    <definedName name="annuité_emprunt2">'Tableaux d''emprunts'!$S$6</definedName>
    <definedName name="annuité_emprunt3">'Tableaux d''emprunts'!$Y$6</definedName>
    <definedName name="annuité_emprunt4">'Tableaux d''emprunts'!$AE$6</definedName>
    <definedName name="annuité_emprunt5">'Tableaux d''emprunts'!$AK$6</definedName>
    <definedName name="apport_K_5">'Plan de financement'!$M$46</definedName>
    <definedName name="apport_K_6">'Plan de financement'!$P$46</definedName>
    <definedName name="apport_K_7">'Plan de financement'!$Q$46</definedName>
    <definedName name="Apurement_5">'Plan de financement'!$M$16</definedName>
    <definedName name="Apurement_6">'Plan de financement'!$P$16</definedName>
    <definedName name="Apurement_7">'Plan de financement'!$Q$16</definedName>
    <definedName name="Autres_apports_5">'Plan de financement'!$M$63</definedName>
    <definedName name="Autres_apports_6">'Plan de financement'!$P$63</definedName>
    <definedName name="Autres_apports_7">'Plan de financement'!$Q$63</definedName>
    <definedName name="autres_dettes_5">'Cpte de résultat prévisionnel'!$H$126</definedName>
    <definedName name="autres_dettes_6">'Cpte de résultat prévisionnel'!$K$126</definedName>
    <definedName name="autres_dettes_7">'Cpte de résultat prévisionnel'!$N$126</definedName>
    <definedName name="besoin_N">'Plan de financement'!$M$21</definedName>
    <definedName name="besoin_N1">'Plan de financement'!$P$21</definedName>
    <definedName name="besoin_N2">'Plan de financement'!$Q$21</definedName>
    <definedName name="bfe_1">'Analyse bilan'!$F$150</definedName>
    <definedName name="bfe_2">'Analyse bilan'!$I$150</definedName>
    <definedName name="bfe_3">'Analyse bilan'!$L$150</definedName>
    <definedName name="bfe_4">'Analyse bilan'!$O$150</definedName>
    <definedName name="bfr_1">'Analyse bilan'!$F$104</definedName>
    <definedName name="bfr_2">'Analyse bilan'!$I$104</definedName>
    <definedName name="bfr_3">'Analyse bilan'!$L$104</definedName>
    <definedName name="bfr_4">'Analyse bilan'!$O$104</definedName>
    <definedName name="bfr_5">'Cpte de résultat prévisionnel'!$H$98</definedName>
    <definedName name="bfr_6">'Cpte de résultat prévisionnel'!$K$98</definedName>
    <definedName name="bfr_7">'Cpte de résultat prévisionnel'!$N$98</definedName>
    <definedName name="BFR_moyen">'Analyse bilan'!$R$104</definedName>
    <definedName name="bfre_1">'Analyse bilan'!$F$93</definedName>
    <definedName name="bfre_2">'Analyse bilan'!$I$93</definedName>
    <definedName name="bfre_3">'Analyse bilan'!$L$93</definedName>
    <definedName name="bfre_4">'Analyse bilan'!$O$93</definedName>
    <definedName name="bfre_5">'Cpte de résultat prévisionnel'!$H$127</definedName>
    <definedName name="bfre_6">'Cpte de résultat prévisionnel'!$K$127</definedName>
    <definedName name="bfre_7">'Cpte de résultat prévisionnel'!$N$127</definedName>
    <definedName name="bfrhe_1">'Analyse bilan'!$F$103</definedName>
    <definedName name="bilanréévalué_1">'Analyse bilan'!$F$156</definedName>
    <definedName name="bilanréévalué_2">'Analyse bilan'!$I$156</definedName>
    <definedName name="bilanréévalué_3">'Analyse bilan'!$L$156</definedName>
    <definedName name="bilanréévalué_7">'Plan de financement'!$Q$126</definedName>
    <definedName name="bilanrrévalué_4">'Analyse bilan'!$O$156</definedName>
    <definedName name="bilanrrévalué_5">'Plan de financement'!$M$126</definedName>
    <definedName name="bilanrrévalué_6">'Plan de financement'!$P$126</definedName>
    <definedName name="bl_1">'Analyse bilan'!$F$38</definedName>
    <definedName name="bl_2">'Analyse bilan'!$I$38</definedName>
    <definedName name="bl_3">'Analyse bilan'!$L$38</definedName>
    <definedName name="bl_4">'Analyse bilan'!$O$38</definedName>
    <definedName name="bn_1">'Analyse bilan'!$F$41</definedName>
    <definedName name="bn_2">'Analyse bilan'!$I$41</definedName>
    <definedName name="bn_3">'Analyse bilan'!$L$41</definedName>
    <definedName name="bn_4">'Analyse bilan'!$O$41</definedName>
    <definedName name="bp_1">'Analyse bilan'!$F$44</definedName>
    <definedName name="bp_2">'Analyse bilan'!$I$44</definedName>
    <definedName name="bp_3">'Analyse bilan'!$L$44</definedName>
    <definedName name="bp_4">'Analyse bilan'!$O$44</definedName>
    <definedName name="br_1">'Analyse bilan'!$F$47</definedName>
    <definedName name="br_2">'Analyse bilan'!$I$47</definedName>
    <definedName name="br_3">'Analyse bilan'!$L$47</definedName>
    <definedName name="br_4">'Analyse bilan'!$O$47</definedName>
    <definedName name="bt_1">'Analyse bilan'!$F$50</definedName>
    <definedName name="bt_2">'Analyse bilan'!$I$50</definedName>
    <definedName name="bt_3">'Analyse bilan'!$L$50</definedName>
    <definedName name="bt_4">'Analyse bilan'!$O$50</definedName>
    <definedName name="ca_1">'Analyse CR'!$E$13</definedName>
    <definedName name="ca_2">'Analyse CR'!$H$13</definedName>
    <definedName name="ca_3">'Analyse CR'!$K$13</definedName>
    <definedName name="ca_4">'Analyse CR'!$N$13</definedName>
    <definedName name="ca_5">'Cpte de résultat prévisionnel'!$H$15</definedName>
    <definedName name="ca_6">'Cpte de résultat prévisionnel'!$K$15</definedName>
    <definedName name="ca_7">'Cpte de résultat prévisionnel'!$N$15</definedName>
    <definedName name="ca_moyen">'Synthèse exploitation'!#REF!</definedName>
    <definedName name="caf_1">'Analyse CR'!$E$91</definedName>
    <definedName name="caf_2">'Analyse CR'!$H$91</definedName>
    <definedName name="caf_3">'Analyse CR'!$K$91</definedName>
    <definedName name="caf_4">'Analyse CR'!$N$91</definedName>
    <definedName name="caf_5">'Cpte de résultat prévisionnel'!$H$78</definedName>
    <definedName name="caf_5_révisé">Simulations!$H$19</definedName>
    <definedName name="caf_6">'Cpte de résultat prévisionnel'!$K$78</definedName>
    <definedName name="caf_6_révisé">Simulations!$P$19</definedName>
    <definedName name="caf_7">'Cpte de résultat prévisionnel'!$N$78</definedName>
    <definedName name="caf_7_révisé">Simulations!$X$19</definedName>
    <definedName name="caf_retraitée_1">'Analyse CR'!$E$92</definedName>
    <definedName name="caf_retraitée_2">'Analyse CR'!$H$92</definedName>
    <definedName name="caf_retraitée_3">'Analyse CR'!$K$92</definedName>
    <definedName name="caf_retraitée_4">'Analyse CR'!$N$92</definedName>
    <definedName name="caf_retraitée_5">'Cpte de résultat prévisionnel'!$H$79</definedName>
    <definedName name="caf_retraitée_6">'Cpte de résultat prévisionnel'!$K$79</definedName>
    <definedName name="caf_retraitée_7">'Cpte de résultat prévisionnel'!$N$79</definedName>
    <definedName name="cafnet_1_holding">'Holding-prévisionnel'!$J$54</definedName>
    <definedName name="cafnet_2_holding">'Holding-prévisionnel'!$K$54</definedName>
    <definedName name="cafnet_3_holding">'Holding-prévisionnel'!$L$54</definedName>
    <definedName name="capital_hk_1">'Plan de financement'!$M$44</definedName>
    <definedName name="capital_hk_2">'Holding-plan de financement'!$L$40</definedName>
    <definedName name="capital_holding">'Holding-plan de financement'!$F$42</definedName>
    <definedName name="capitalisation_cc5">'Plan de financement'!$M$15</definedName>
    <definedName name="capitalisation_cc6">'Plan de financement'!$P$15</definedName>
    <definedName name="capitalisation_cc7">'Plan de financement'!$Q$15</definedName>
    <definedName name="cd_1">'Analyse bilan'!$F$110</definedName>
    <definedName name="cd_2">'Analyse bilan'!$I$110</definedName>
    <definedName name="cd_3">'Analyse bilan'!$L$110</definedName>
    <definedName name="cd_4">'Analyse bilan'!$O$110</definedName>
    <definedName name="cession_actifs_5">'Cpte de résultat prévisionnel'!$H$71</definedName>
    <definedName name="cession_actifs_6">'Cpte de résultat prévisionnel'!$K$71</definedName>
    <definedName name="cession_actifs_7">'Cpte de résultat prévisionnel'!$N$71</definedName>
    <definedName name="cf_1">'Analyse bilan'!$F$111</definedName>
    <definedName name="cf_2">'Analyse bilan'!$I$111</definedName>
    <definedName name="cf_3">'Analyse bilan'!$L$111</definedName>
    <definedName name="cf_4">'Analyse bilan'!$O$111</definedName>
    <definedName name="ch.fixes_5">'Cpte de résultat prévisionnel'!$H$81</definedName>
    <definedName name="ch.fixes_6">'Cpte de résultat prévisionnel'!$K$81</definedName>
    <definedName name="ch.fixes_7">'Cpte de résultat prévisionnel'!$N$81</definedName>
    <definedName name="ch.variables_1">'Analyse CR'!$E$95</definedName>
    <definedName name="ch.variables_2">'Analyse CR'!$H$95</definedName>
    <definedName name="ch.variables_3">'Analyse CR'!$K$95</definedName>
    <definedName name="ch.variables_5">'Cpte de résultat prévisionnel'!$H$82</definedName>
    <definedName name="ch.variables_6">'Cpte de résultat prévisionnel'!$K$82</definedName>
    <definedName name="ch.variables_7">'Cpte de résultat prévisionnel'!$N$82</definedName>
    <definedName name="clôture">'Analyse CR'!$F$4</definedName>
    <definedName name="clt_5">'Cpte de résultat prévisionnel'!$H$118</definedName>
    <definedName name="clt_6">'Cpte de résultat prévisionnel'!$K$118</definedName>
    <definedName name="clt_7">'Cpte de résultat prévisionnel'!$N$118</definedName>
    <definedName name="clt_brut_1">'Analyse bilan'!$F$63</definedName>
    <definedName name="clt_brut_2">'Analyse bilan'!$I$63</definedName>
    <definedName name="clt_brut_3">'Analyse bilan'!$L$63</definedName>
    <definedName name="clt_brut_4">'Analyse bilan'!$O$63</definedName>
    <definedName name="clt_net_1">'Analyse bilan'!$F$67</definedName>
    <definedName name="clt_net_2">'Analyse bilan'!$I$67</definedName>
    <definedName name="clt_net_3">'Analyse bilan'!$L$67</definedName>
    <definedName name="clt_net_4">'Analyse bilan'!$O$67</definedName>
    <definedName name="commune">'Entreprise cible'!$L$11</definedName>
    <definedName name="complément_FR">'Plan de financement'!$M$11</definedName>
    <definedName name="complt_hk1">'Plan de financement'!$M$61</definedName>
    <definedName name="complt_hk2">'Holding-plan de financement'!$L$56</definedName>
    <definedName name="cp_1">'Analyse bilan'!$F$28</definedName>
    <definedName name="cp_2">'Analyse bilan'!$I$28</definedName>
    <definedName name="cp_3">'Analyse bilan'!$L$28</definedName>
    <definedName name="cp_4">'Analyse bilan'!$O$28</definedName>
    <definedName name="cp_5">'Plan de financement'!$M$116</definedName>
    <definedName name="cp_6">'Plan de financement'!$P$116</definedName>
    <definedName name="cp_7">'Plan de financement'!$Q$116</definedName>
    <definedName name="créances_nettes_expl_1">'Analyse bilan'!$F$81</definedName>
    <definedName name="créances_nettes_expl_2">'Analyse bilan'!$I$81</definedName>
    <definedName name="créances_nettes_expl_3">'Analyse bilan'!$L$81</definedName>
    <definedName name="créances_nettes_expl_4">'Analyse bilan'!$O$81</definedName>
    <definedName name="creation">'Entreprise cible'!$C$6</definedName>
    <definedName name="creditbail_1">'Analyse CR'!$E$126</definedName>
    <definedName name="creditbail_2">'Analyse CR'!$H$126</definedName>
    <definedName name="creditbail_3">'Analyse CR'!$K$126</definedName>
    <definedName name="creditbail_4">'Analyse CR'!$N$126</definedName>
    <definedName name="creditbail_5">Investissements!$J$44</definedName>
    <definedName name="creditbail_6">Investissements!$M$44</definedName>
    <definedName name="creditbail_7">Investissements!$P$44</definedName>
    <definedName name="da_1">'Analyse bilan'!$F$8</definedName>
    <definedName name="da_2">'Analyse bilan'!$I$8</definedName>
    <definedName name="da_3">'Analyse bilan'!$L$8</definedName>
    <definedName name="da_4">'Analyse bilan'!$O$8</definedName>
    <definedName name="da_5">'Plan de financement'!$G$46</definedName>
    <definedName name="date_création_holding">'Rachat ou reprise'!$N$114</definedName>
    <definedName name="dct_1">'Analyse bilan'!$F$148</definedName>
    <definedName name="dct_2">'Analyse bilan'!$I$148</definedName>
    <definedName name="dct_3">'Analyse bilan'!$L$148</definedName>
    <definedName name="dct_4">'Analyse bilan'!$O$148</definedName>
    <definedName name="dct_5">'Plan de financement'!$M$120</definedName>
    <definedName name="dct_6">'Plan de financement'!$P$120</definedName>
    <definedName name="dct_7">'Plan de financement'!$Q$120</definedName>
    <definedName name="dérogatoire_5">'Cpte de résultat prévisionnel'!$H$74</definedName>
    <definedName name="dérogatoire_6">'Cpte de résultat prévisionnel'!$K$74</definedName>
    <definedName name="dérogatoire_7">'Cpte de résultat prévisionnel'!$N$74</definedName>
    <definedName name="dettes_financières_1">'Analyse bilan'!$F$161</definedName>
    <definedName name="dettes_financières_2">'Analyse bilan'!$I$161</definedName>
    <definedName name="dettes_financières_3">'Analyse bilan'!$L$161</definedName>
    <definedName name="dettes_financières_4">'Analyse bilan'!$O$161</definedName>
    <definedName name="dfr_1">'Analyse bilan'!$F$105</definedName>
    <definedName name="dfr_2">'Analyse bilan'!$I$105</definedName>
    <definedName name="dfr_3">'Analyse bilan'!$L$105</definedName>
    <definedName name="dfr_4">'Analyse bilan'!$O$105</definedName>
    <definedName name="dfr_5">'Cpte de résultat prévisionnel'!$H$99</definedName>
    <definedName name="dfr_6">'Cpte de résultat prévisionnel'!$K$99</definedName>
    <definedName name="dfr_7">'Cpte de résultat prévisionnel'!$N$99</definedName>
    <definedName name="DFR_moyen">'Analyse bilan'!$R$105</definedName>
    <definedName name="dfse_1">'Analyse bilan'!$F$90</definedName>
    <definedName name="dfse_2">'Analyse bilan'!$I$90</definedName>
    <definedName name="dfse_3">'Analyse bilan'!$L$90</definedName>
    <definedName name="dfse_4">'Analyse bilan'!$O$90</definedName>
    <definedName name="différé_complt_hk1">'Plan de financement'!$J$61</definedName>
    <definedName name="différé_complt_hk2">'Holding-plan de financement'!$I$56</definedName>
    <definedName name="différé_emprunt1">'Tableaux d''emprunts'!$M$1</definedName>
    <definedName name="différé_emprunt2">'Tableaux d''emprunts'!$S$1</definedName>
    <definedName name="différé_emprunt3">'Tableaux d''emprunts'!$Y$1</definedName>
    <definedName name="différé_emprunt4">'Tableaux d''emprunts'!$AE$1</definedName>
    <definedName name="différé_emprunt5">'Tableaux d''emprunts'!$AK$1</definedName>
    <definedName name="div1_holding">'Holding-prévisionnel'!$J$30</definedName>
    <definedName name="div2_holding">'Holding-prévisionnel'!$K$30</definedName>
    <definedName name="div3_holding">'Holding-prévisionnel'!$L$30</definedName>
    <definedName name="dividende_5">'Plan de financement'!$M$19</definedName>
    <definedName name="dividende_6">'Plan de financement'!$P$19</definedName>
    <definedName name="dividende_7">'Plan de financement'!$Q$19</definedName>
    <definedName name="dl_1">'Analyse bilan'!$F$9</definedName>
    <definedName name="dl_2">'Analyse bilan'!$I$9</definedName>
    <definedName name="dl_3">'Analyse bilan'!$L$9</definedName>
    <definedName name="dl_4">'Analyse bilan'!$O$9</definedName>
    <definedName name="dl_5">'Plan de financement'!$M$113</definedName>
    <definedName name="dl_6">'Plan de financement'!$P$113</definedName>
    <definedName name="dl_7">'Plan de financement'!$Q$113</definedName>
    <definedName name="do_1">'Analyse bilan'!$F$11</definedName>
    <definedName name="do_2">'Analyse bilan'!$I$11</definedName>
    <definedName name="do_3">'Analyse bilan'!$L$11</definedName>
    <definedName name="durée_1">'Analyse CR'!$E$7</definedName>
    <definedName name="durée_2">'Analyse CR'!$H$7</definedName>
    <definedName name="durée_3">'Analyse CR'!$K$7</definedName>
    <definedName name="durée_4">'Analyse CR'!$N$7</definedName>
    <definedName name="durée_5">'Cpte de résultat prévisionnel'!$H$5</definedName>
    <definedName name="durée_6">'Cpte de résultat prévisionnel'!$K$5</definedName>
    <definedName name="durée_7">'Cpte de résultat prévisionnel'!$N$5</definedName>
    <definedName name="durée_complt_hk1">'Plan de financement'!$H$61</definedName>
    <definedName name="durée_complt_hk2">'Holding-plan de financement'!$H$56</definedName>
    <definedName name="durée_moyenne">'Synthèse exploitation'!$K$9</definedName>
    <definedName name="dw_1">'Analyse bilan'!$F$86</definedName>
    <definedName name="dw_2">'Analyse bilan'!$I$86</definedName>
    <definedName name="dw_3">'Analyse bilan'!$L$86</definedName>
    <definedName name="dw_4">'Analyse bilan'!$O$86</definedName>
    <definedName name="dx_1">'Analyse bilan'!$F$83</definedName>
    <definedName name="dx_2">'Analyse bilan'!$I$83</definedName>
    <definedName name="dx_3">'Analyse bilan'!$L$83</definedName>
    <definedName name="dx_4">'Analyse bilan'!$O$83</definedName>
    <definedName name="dx_5">'Cpte de résultat prévisionnel'!$H$120</definedName>
    <definedName name="dx_6">'Cpte de résultat prévisionnel'!$K$120</definedName>
    <definedName name="dx_7">'Cpte de résultat prévisionnel'!$N$120</definedName>
    <definedName name="dy_1">'Analyse bilan'!$F$87</definedName>
    <definedName name="dy_2">'Analyse bilan'!$I$87</definedName>
    <definedName name="dy_3">'Analyse bilan'!$L$87</definedName>
    <definedName name="dy_4">'Analyse bilan'!$O$87</definedName>
    <definedName name="dy_5">'Cpte de résultat prévisionnel'!$H$124</definedName>
    <definedName name="dy_6">'Cpte de résultat prévisionnel'!$K$124</definedName>
    <definedName name="dy_7">'Cpte de résultat prévisionnel'!$N$124</definedName>
    <definedName name="e8_1">'Analyse bilan'!$F$88</definedName>
    <definedName name="eb_1">'Analyse bilan'!$F$91</definedName>
    <definedName name="eb_2">'Analyse bilan'!$I$91</definedName>
    <definedName name="eb_3">'Analyse bilan'!$L$91</definedName>
    <definedName name="eb_4">'Analyse bilan'!$O$91</definedName>
    <definedName name="ebe_1">'Analyse CR'!$E$58</definedName>
    <definedName name="ebe_2">'Analyse CR'!$H$58</definedName>
    <definedName name="ebe_3">'Analyse CR'!$K$58</definedName>
    <definedName name="ebe_4">'Analyse CR'!$N$58</definedName>
    <definedName name="ebe_5">'Cpte de résultat prévisionnel'!$H$53</definedName>
    <definedName name="ebe_6">'Cpte de résultat prévisionnel'!$K$53</definedName>
    <definedName name="ebe_7">'Cpte de résultat prévisionnel'!$N$53</definedName>
    <definedName name="effectif_1">'Analyse bilan'!$F$129</definedName>
    <definedName name="eh_1">'Analyse bilan'!$F$26</definedName>
    <definedName name="eh_2">'Analyse bilan'!$I$26</definedName>
    <definedName name="eh_3">'Analyse bilan'!$L$26</definedName>
    <definedName name="eh_4">'Analyse bilan'!$O$26</definedName>
    <definedName name="emp_1">'Analyse bilan'!$F$27</definedName>
    <definedName name="emp_2">'Analyse bilan'!$I$27</definedName>
    <definedName name="emp_3">'Analyse bilan'!$L$27</definedName>
    <definedName name="emp_4">'Analyse bilan'!$O$27</definedName>
    <definedName name="emp_5">'Plan de financement'!$M$115</definedName>
    <definedName name="emp_6">'Plan de financement'!$P$115</definedName>
    <definedName name="emp_7">'Plan de financement'!$Q$115</definedName>
    <definedName name="emp_élargi_1">'Analyse bilan'!$F$163</definedName>
    <definedName name="emp_élargi_2">'Analyse bilan'!$I$163</definedName>
    <definedName name="emp_élargi_3">'Analyse bilan'!$L$163</definedName>
    <definedName name="emp_élargi_4">'Analyse bilan'!$O$163</definedName>
    <definedName name="emp_elargi_5">'Plan de financement'!$M$118</definedName>
    <definedName name="emp_elargi_6">'Plan de financement'!$P$118</definedName>
    <definedName name="emp_elargi_7">'Plan de financement'!$Q$118</definedName>
    <definedName name="emprunt1">'Tableaux d''emprunts'!$J$4</definedName>
    <definedName name="emprunt2">'Tableaux d''emprunts'!$P$4</definedName>
    <definedName name="emprunt3">'Tableaux d''emprunts'!$V$4</definedName>
    <definedName name="emprunt4">'Tableaux d''emprunts'!$AB$4</definedName>
    <definedName name="emprunt5">'Tableaux d''emprunts'!$AH$4</definedName>
    <definedName name="endettement_1">'Analyse bilan'!$F$155</definedName>
    <definedName name="endettement_2">'Analyse bilan'!$I$155</definedName>
    <definedName name="endettement_3">'Analyse bilan'!$L$155</definedName>
    <definedName name="endettement_4">'Analyse bilan'!$O$155</definedName>
    <definedName name="endettement_5">'Plan de financement'!$M$121</definedName>
    <definedName name="endettement_6">'Plan de financement'!$P$121</definedName>
    <definedName name="endettement_7">'Plan de financement'!$Q$121</definedName>
    <definedName name="exercice_1">'Analyse CR'!$E$6</definedName>
    <definedName name="exercice_2">'Analyse CR'!$H$6</definedName>
    <definedName name="exercice_3">'Analyse CR'!$K$6</definedName>
    <definedName name="exercice_4">'Analyse CR'!$N$6</definedName>
    <definedName name="export_1">'Analyse CR'!$E$15</definedName>
    <definedName name="export_2">'Analyse CR'!$H$15</definedName>
    <definedName name="export_3">'Analyse CR'!$K$15</definedName>
    <definedName name="export_4">'Analyse CR'!$N$15</definedName>
    <definedName name="fc_1">'Analyse CR'!$E$10</definedName>
    <definedName name="fc_2">'Analyse CR'!$H$10</definedName>
    <definedName name="fc_3">'Analyse CR'!$K$10</definedName>
    <definedName name="fc_4">'Analyse CR'!$N$10</definedName>
    <definedName name="ff_1">'Analyse CR'!$E$11</definedName>
    <definedName name="ff_2">'Analyse CR'!$H$11</definedName>
    <definedName name="ff_3">'Analyse CR'!$K$11</definedName>
    <definedName name="ff_4">'Analyse CR'!$N$11</definedName>
    <definedName name="fi_1">'Analyse CR'!$E$12</definedName>
    <definedName name="fi_2">'Analyse CR'!$H$12</definedName>
    <definedName name="fi_3">'Analyse CR'!$K$12</definedName>
    <definedName name="fi_4">'Analyse CR'!$N$12</definedName>
    <definedName name="fm_1">'Analyse CR'!$E$17</definedName>
    <definedName name="fm_2">'Analyse CR'!$H$17</definedName>
    <definedName name="fm_3">'Analyse CR'!$K$17</definedName>
    <definedName name="fm_4">'Analyse CR'!$N$17</definedName>
    <definedName name="fn_1">'Analyse CR'!$E$18</definedName>
    <definedName name="fn_2">'Analyse CR'!$H$18</definedName>
    <definedName name="fn_3">'Analyse CR'!$K$18</definedName>
    <definedName name="fn_4">'Analyse CR'!$N$18</definedName>
    <definedName name="fonds">'Rachat ou reprise'!$C$108</definedName>
    <definedName name="fonds_propres_5">'Plan de financement'!$M$114</definedName>
    <definedName name="fonds_propres_6">'Plan de financement'!$P$114</definedName>
    <definedName name="fonds_propres_7">'Plan de financement'!$Q$114</definedName>
    <definedName name="forme_holding">'Rachat ou reprise'!$K$118</definedName>
    <definedName name="fournisseurs_1">'Analyse bilan'!$F$85</definedName>
    <definedName name="fournisseurs_2">'Analyse bilan'!$I$85</definedName>
    <definedName name="fournisseurs_3">'Analyse bilan'!$L$85</definedName>
    <definedName name="fournisseurs_4">'Analyse bilan'!$O$85</definedName>
    <definedName name="fr_1">'Analyse bilan'!$F$36</definedName>
    <definedName name="fr_2">'Analyse bilan'!$I$36</definedName>
    <definedName name="fr_3">'Analyse bilan'!$L$36</definedName>
    <definedName name="fr_4">'Analyse bilan'!$O$36</definedName>
    <definedName name="fr_5">'Plan de financement'!$M$124</definedName>
    <definedName name="fr_5_révisé">Simulations!$H$22</definedName>
    <definedName name="fr_6">'Plan de financement'!$P$124</definedName>
    <definedName name="fr_6_révisé">Simulations!$P$22</definedName>
    <definedName name="fr_7">'Plan de financement'!$Q$124</definedName>
    <definedName name="FR_Initial">'Plan de financement'!$I$12</definedName>
    <definedName name="fs_1">'Analyse CR'!$E$21</definedName>
    <definedName name="fs_2">'Analyse CR'!$H$21</definedName>
    <definedName name="fs_3">'Analyse CR'!$K$21</definedName>
    <definedName name="fs_4">'Analyse CR'!$N$21</definedName>
    <definedName name="fs_5">'Cpte de résultat prévisionnel'!$H$19</definedName>
    <definedName name="fs_6">'Cpte de résultat prévisionnel'!$K$19</definedName>
    <definedName name="fs_7">'Cpte de résultat prévisionnel'!$N$19</definedName>
    <definedName name="ft_1">'Analyse CR'!$E$22</definedName>
    <definedName name="ft_2">'Analyse CR'!$H$22</definedName>
    <definedName name="ft_3">'Analyse CR'!$K$22</definedName>
    <definedName name="ft_4">'Analyse CR'!$N$22</definedName>
    <definedName name="fu_1">'Analyse CR'!$E$28</definedName>
    <definedName name="fu_2">'Analyse CR'!$H$28</definedName>
    <definedName name="fu_3">'Analyse CR'!$K$28</definedName>
    <definedName name="fu_4">'Analyse CR'!$N$28</definedName>
    <definedName name="fu_5">'Cpte de résultat prévisionnel'!$H$25</definedName>
    <definedName name="fu_6">'Cpte de résultat prévisionnel'!$K$25</definedName>
    <definedName name="fu_7">'Cpte de résultat prévisionnel'!$N$25</definedName>
    <definedName name="fv_1">'Analyse CR'!$E$29</definedName>
    <definedName name="fv_2">'Analyse CR'!$H$29</definedName>
    <definedName name="fv_3">'Analyse CR'!$K$29</definedName>
    <definedName name="fv_4">'Analyse CR'!$N$29</definedName>
    <definedName name="fw_1">'Analyse CR'!$E$37</definedName>
    <definedName name="fw_2">'Analyse CR'!$H$37</definedName>
    <definedName name="fw_3">'Analyse CR'!$K$37</definedName>
    <definedName name="fw_4">'Analyse CR'!$N$37</definedName>
    <definedName name="fw_5">'Cpte de résultat prévisionnel'!$H$33</definedName>
    <definedName name="fw_6">'Cpte de résultat prévisionnel'!$K$33</definedName>
    <definedName name="fw_7">'Cpte de résultat prévisionnel'!$N$33</definedName>
    <definedName name="fy_1">'Analyse CR'!$E$55</definedName>
    <definedName name="ga_1">'Analyse CR'!$E$59</definedName>
    <definedName name="ga_2">'Analyse CR'!$H$59</definedName>
    <definedName name="ga_3">'Analyse CR'!$K$59</definedName>
    <definedName name="ga_5">'Cpte de résultat prévisionnel'!$H$54</definedName>
    <definedName name="ga_6">'Cpte de résultat prévisionnel'!$K$54</definedName>
    <definedName name="ga_7">'Cpte de résultat prévisionnel'!$N$54</definedName>
    <definedName name="hold">'Rachat ou reprise'!$N$110</definedName>
    <definedName name="hold_berri">'Rachat ou reprise'!$N$112</definedName>
    <definedName name="hp_1">'Analyse CR'!$E$39</definedName>
    <definedName name="hp_2">'Analyse CR'!$H$39</definedName>
    <definedName name="hp_3">'Analyse CR'!$K$39</definedName>
    <definedName name="hp_4">'Analyse CR'!$N$39</definedName>
    <definedName name="hp_5">'Cpte de résultat prévisionnel'!$H$36</definedName>
    <definedName name="hp_6">'Cpte de résultat prévisionnel'!$K$36</definedName>
    <definedName name="hp_7">'Cpte de résultat prévisionnel'!$N$36</definedName>
    <definedName name="hq_1">'Analyse CR'!$E$40</definedName>
    <definedName name="hq_2">'Analyse CR'!$H$40</definedName>
    <definedName name="hq_3">'Analyse CR'!$K$40</definedName>
    <definedName name="hq_4">'Analyse CR'!$N$40</definedName>
    <definedName name="hq_5">'Cpte de résultat prévisionnel'!$H$37</definedName>
    <definedName name="hq_6">'Cpte de résultat prévisionnel'!$K$37</definedName>
    <definedName name="hq_7">'Cpte de résultat prévisionnel'!$N$37</definedName>
    <definedName name="i_1">'Analyse CR'!$E$73</definedName>
    <definedName name="i_2">'Analyse CR'!$H$73</definedName>
    <definedName name="i_3">'Analyse CR'!$K$73</definedName>
    <definedName name="i_4">'Analyse CR'!$N$73</definedName>
    <definedName name="i_5">'Cpte de résultat prévisionnel'!$H$64</definedName>
    <definedName name="i_6">'Cpte de résultat prévisionnel'!$K$64</definedName>
    <definedName name="i_7">'Cpte de résultat prévisionnel'!$N$64</definedName>
    <definedName name="immo_1">'Analyse bilan'!$F$35</definedName>
    <definedName name="immo_2">'Analyse bilan'!$I$35</definedName>
    <definedName name="immo_3">'Analyse bilan'!$L$35</definedName>
    <definedName name="_xlnm.Print_Titles" localSheetId="11">'Analyse bilan'!$2:$7</definedName>
    <definedName name="_xlnm.Print_Titles" localSheetId="10">'Analyse CR'!$2:$8</definedName>
    <definedName name="_xlnm.Print_Titles" localSheetId="4">'Cpte de résultat prévisionnel'!$2:$7</definedName>
    <definedName name="_xlnm.Print_Titles" localSheetId="13">'Holding-plan de financement'!$2:$4</definedName>
    <definedName name="_xlnm.Print_Titles" localSheetId="5">Investissements!$2:$3</definedName>
    <definedName name="_xlnm.Print_Titles" localSheetId="6">'Plan de financement'!$2:$5</definedName>
    <definedName name="_xlnm.Print_Titles" localSheetId="8">'Synthèse exploitation'!$2:$10</definedName>
    <definedName name="interim_1">'Analyse bilan'!$F$132</definedName>
    <definedName name="invest_5">Investissements!$I$44</definedName>
    <definedName name="invest_6">Investissements!$L$44</definedName>
    <definedName name="invest_7">Investissements!$O$44</definedName>
    <definedName name="IP">'Synthèse exploitation'!$J$76</definedName>
    <definedName name="IS_5">'Cpte de résultat prévisionnel'!$H$76</definedName>
    <definedName name="IS_6">'Cpte de résultat prévisionnel'!$K$76</definedName>
    <definedName name="IS_7">'Cpte de résultat prévisionnel'!$N$76</definedName>
    <definedName name="k_holding">'Rachat ou reprise'!$N$118</definedName>
    <definedName name="k_sté_exploitation">'Rachat ou reprise'!$F$118</definedName>
    <definedName name="mb_1">'Analyse CR'!$E$35</definedName>
    <definedName name="mb_2">'Analyse CR'!$H$35</definedName>
    <definedName name="mb_3">'Analyse CR'!$K$35</definedName>
    <definedName name="mb_4">'Analyse CR'!$N$35</definedName>
    <definedName name="mb_5">'Cpte de résultat prévisionnel'!$H$31</definedName>
    <definedName name="mb_6">'Cpte de résultat prévisionnel'!$K$31</definedName>
    <definedName name="mb_7">'Cpte de résultat prévisionnel'!$N$31</definedName>
    <definedName name="mbt_1">'Analyse CR'!$E$36</definedName>
    <definedName name="mbt_2">'Analyse CR'!$H$36</definedName>
    <definedName name="mbt_3">'Analyse CR'!$K$36</definedName>
    <definedName name="mbt_4">'Analyse CR'!$N$36</definedName>
    <definedName name="mbt_5">'Cpte de résultat prévisionnel'!$H$32</definedName>
    <definedName name="mbt_6">'Cpte de résultat prévisionnel'!$K$32</definedName>
    <definedName name="mbt_7">'Cpte de résultat prévisionnel'!$N$32</definedName>
    <definedName name="mc_1">'Analyse CR'!$E$27</definedName>
    <definedName name="mc_2">'Analyse CR'!$H$27</definedName>
    <definedName name="mc_3">'Analyse CR'!$K$27</definedName>
    <definedName name="mc_4">'Analyse CR'!$N$27</definedName>
    <definedName name="mc_5">'Cpte de résultat prévisionnel'!$H$24</definedName>
    <definedName name="mc_6">'Cpte de résultat prévisionnel'!$K$24</definedName>
    <definedName name="mc_7">'Cpte de résultat prévisionnel'!$N$24</definedName>
    <definedName name="NE">'Plan de financement'!$K$4</definedName>
    <definedName name="négoce_5">'Cpte de résultat prévisionnel'!$H$11</definedName>
    <definedName name="négoce_6">'Cpte de résultat prévisionnel'!$K$11</definedName>
    <definedName name="négoce_7">'Cpte de résultat prévisionnel'!$N$11</definedName>
    <definedName name="nom">Accueil!$E$5</definedName>
    <definedName name="nom_holding">'Rachat ou reprise'!$K$116</definedName>
    <definedName name="op_capital_5">'Cpte de résultat prévisionnel'!$H$70</definedName>
    <definedName name="op_capital_6">'Cpte de résultat prévisionnel'!$K$70</definedName>
    <definedName name="op_capital_7">'Cpte de résultat prévisionnel'!$N$70</definedName>
    <definedName name="op_gestion_5">'Cpte de résultat prévisionnel'!$H$69</definedName>
    <definedName name="op_gestion_6">'Cpte de résultat prévisionnel'!$K$69</definedName>
    <definedName name="op_gestion_7">'Cpte de résultat prévisionnel'!$N$69</definedName>
    <definedName name="p_1">'Analyse CR'!$E$54</definedName>
    <definedName name="p_2">'Analyse CR'!$H$54</definedName>
    <definedName name="p_3">'Analyse CR'!$K$54</definedName>
    <definedName name="p_4">'Analyse CR'!$N$54</definedName>
    <definedName name="p_5">'Cpte de résultat prévisionnel'!$H$46</definedName>
    <definedName name="p_6">'Cpte de résultat prévisionnel'!$K$46</definedName>
    <definedName name="p_7">'Cpte de résultat prévisionnel'!$N$46</definedName>
    <definedName name="part_capital_hk_1">'Plan de financement'!$N$44</definedName>
    <definedName name="part_capital_hk_2">'Holding-plan de financement'!$M$40</definedName>
    <definedName name="participants">'Avis comité technique'!$L$2</definedName>
    <definedName name="pca_1">'Analyse bilan'!$F$113</definedName>
    <definedName name="pca_2">'Analyse bilan'!$I$113</definedName>
    <definedName name="pca_3">'Analyse bilan'!$L$113</definedName>
    <definedName name="pca_4">'Analyse bilan'!$O$113</definedName>
    <definedName name="périodicité_emprunt1">'Tableaux d''emprunts'!$L$1</definedName>
    <definedName name="périodicité_emprunt2">'Tableaux d''emprunts'!$R$1</definedName>
    <definedName name="périodicité_emprunt3">'Tableaux d''emprunts'!$X$1</definedName>
    <definedName name="périodicité_emprunt4">'Tableaux d''emprunts'!$AD$1</definedName>
    <definedName name="périodicité_emprunt5">'Tableaux d''emprunts'!$AJ$1</definedName>
    <definedName name="plancher_FR">'Plan de financement'!$M$10</definedName>
    <definedName name="pm_1">'Analyse CR'!$E$104</definedName>
    <definedName name="pm_2">'Analyse CR'!$H$104</definedName>
    <definedName name="pm_3">'Analyse CR'!$K$104</definedName>
    <definedName name="pm_4">'Analyse CR'!$N$104</definedName>
    <definedName name="pm_5">'Cpte de résultat prévisionnel'!$H$89</definedName>
    <definedName name="pm_6">'Cpte de résultat prévisionnel'!$K$89</definedName>
    <definedName name="pm_7">'Cpte de résultat prévisionnel'!$N$89</definedName>
    <definedName name="pr_1">'Analyse CR'!$E$19</definedName>
    <definedName name="pr_2">'Analyse CR'!$H$19</definedName>
    <definedName name="pr_3">'Analyse CR'!$K$19</definedName>
    <definedName name="pr_4">'Analyse CR'!$N$19</definedName>
    <definedName name="pr_5">'Cpte de résultat prévisionnel'!$H$18</definedName>
    <definedName name="pr_6">'Cpte de résultat prévisionnel'!$K$18</definedName>
    <definedName name="pr_7">'Cpte de résultat prévisionnel'!$N$18</definedName>
    <definedName name="prime1">'Plan de financement'!$M$104</definedName>
    <definedName name="prime2">'Plan de financement'!$P$104</definedName>
    <definedName name="prime3">'Plan de financement'!$Q$104</definedName>
    <definedName name="prov_nettes_5">'Cpte de résultat prévisionnel'!$H$137</definedName>
    <definedName name="prov_nettes_6">'Cpte de résultat prévisionnel'!$K$137</definedName>
    <definedName name="prov_nettes_7">'Cpte de résultat prévisionnel'!$N$137</definedName>
    <definedName name="quote_part_subv_5">'Cpte de résultat prévisionnel'!$H$73</definedName>
    <definedName name="quote_part_subv_6">'Cpte de résultat prévisionnel'!$K$73</definedName>
    <definedName name="quote_part_subv_7">'Cpte de résultat prévisionnel'!$N$73</definedName>
    <definedName name="r_1">'Analyse CR'!$E$90</definedName>
    <definedName name="r_1_holding">'Holding-prévisionnel'!$J$52</definedName>
    <definedName name="r_2">'Analyse CR'!$H$90</definedName>
    <definedName name="r_2_holding">'Holding-prévisionnel'!$K$52</definedName>
    <definedName name="r_3">'Analyse CR'!$K$90</definedName>
    <definedName name="r_3_holding">'Holding-prévisionnel'!$L$52</definedName>
    <definedName name="r_4">'Analyse CR'!$N$90</definedName>
    <definedName name="r_5">'Cpte de résultat prévisionnel'!$H$77</definedName>
    <definedName name="r_6">'Cpte de résultat prévisionnel'!$K$77</definedName>
    <definedName name="r_7">'Cpte de résultat prévisionnel'!$N$77</definedName>
    <definedName name="r_except_5">'Cpte de résultat prévisionnel'!$H$139</definedName>
    <definedName name="r_except_6">'Cpte de résultat prévisionnel'!$K$139</definedName>
    <definedName name="r_except_7">'Cpte de résultat prévisionnel'!$N$139</definedName>
    <definedName name="r_score_1">score!$V$15</definedName>
    <definedName name="r_score_2">score!$Z$15</definedName>
    <definedName name="r_score_3">score!$AD$15</definedName>
    <definedName name="r_score_4">score!$AH$15</definedName>
    <definedName name="r_score_5">score!$R$15</definedName>
    <definedName name="r_score_6">score!$N$15</definedName>
    <definedName name="r_score_7">score!$J$15</definedName>
    <definedName name="rc_1">'Analyse CR'!$E$77</definedName>
    <definedName name="rc_2">'Analyse CR'!$H$77</definedName>
    <definedName name="rc_3">'Analyse CR'!$K$77</definedName>
    <definedName name="rc_4">'Analyse CR'!$N$77</definedName>
    <definedName name="rc_5">'Cpte de résultat prévisionnel'!$H$68</definedName>
    <definedName name="rc_6">'Cpte de résultat prévisionnel'!$K$68</definedName>
    <definedName name="rc_7">'Cpte de résultat prévisionnel'!$N$68</definedName>
    <definedName name="re_1">'Analyse CR'!$E$62</definedName>
    <definedName name="re_2">'Analyse CR'!$H$62</definedName>
    <definedName name="re_3">'Analyse CR'!$K$62</definedName>
    <definedName name="re_4">'Analyse CR'!$N$62</definedName>
    <definedName name="re_5">'Cpte de résultat prévisionnel'!$H$57</definedName>
    <definedName name="re_6">'Cpte de résultat prévisionnel'!$K$57</definedName>
    <definedName name="re_7">'Cpte de résultat prévisionnel'!$N$57</definedName>
    <definedName name="réadispo_5">'Plan de financement'!$M$127</definedName>
    <definedName name="réadispo_6">'Plan de financement'!$P$127</definedName>
    <definedName name="réadispo_7">'Plan de financement'!$Q$127</definedName>
    <definedName name="réalisable_5">'Cpte de résultat prévisionnel'!$H$135</definedName>
    <definedName name="réalisable_6">'Cpte de résultat prévisionnel'!$K$135</definedName>
    <definedName name="réalisable_7">'Cpte de résultat prévisionnel'!$N$135</definedName>
    <definedName name="remb_5A">'Plan de financement'!$M$17</definedName>
    <definedName name="remb_5B">'Plan de financement'!$M$18</definedName>
    <definedName name="remb_6A">'Plan de financement'!$P$17</definedName>
    <definedName name="remb_6B">'Plan de financement'!$P$18</definedName>
    <definedName name="remb_7A">'Plan de financement'!$Q$17</definedName>
    <definedName name="remb_7B">'Plan de financement'!$Q$18</definedName>
    <definedName name="remontée_tréso">'Holding-prévisionnel'!$J$29</definedName>
    <definedName name="risque_cible">'Holding-prévisionnel'!$L$31</definedName>
    <definedName name="rp_1">'Analyse bilan'!$F$19</definedName>
    <definedName name="rp_2">'Analyse bilan'!$I$19</definedName>
    <definedName name="rp_3">'Analyse bilan'!$L$19</definedName>
    <definedName name="rp_4">'Analyse bilan'!$O$19</definedName>
    <definedName name="rp_5">'Plan de financement'!$M$114</definedName>
    <definedName name="rp_6">'Plan de financement'!$P$114</definedName>
    <definedName name="rp_7">'Plan de financement'!$Q$114</definedName>
    <definedName name="rsp_5">'Cpte de résultat prévisionnel'!$H$75</definedName>
    <definedName name="rsp_6">'Cpte de résultat prévisionnel'!$K$75</definedName>
    <definedName name="rsp_7">'Cpte de résultat prévisionnel'!$N$75</definedName>
    <definedName name="s_1">'Analyse bilan'!$F$134</definedName>
    <definedName name="s_2">'Analyse bilan'!$I$134</definedName>
    <definedName name="s_3">'Analyse bilan'!$L$134</definedName>
    <definedName name="s_5">'Cpte de résultat prévisionnel'!$H$95</definedName>
    <definedName name="s_6">'Cpte de résultat prévisionnel'!$K$95</definedName>
    <definedName name="s_7">'Cpte de résultat prévisionnel'!$N$95</definedName>
    <definedName name="score_1">score!$V$13</definedName>
    <definedName name="score_2">score!$Z$13</definedName>
    <definedName name="score_3">score!$AD$13</definedName>
    <definedName name="score_4">score!$AH$13</definedName>
    <definedName name="solde_financement_N1">'Plan de financement'!$M$67</definedName>
    <definedName name="solde_financement_N2">'Plan de financement'!$P$67</definedName>
    <definedName name="solde_financement_N3">'Plan de financement'!$Q$67</definedName>
    <definedName name="sous_traitance_1">'Analyse CR'!$E$30</definedName>
    <definedName name="sous_traitance_2">'Analyse CR'!$H$30</definedName>
    <definedName name="sous_traitance_3">'Analyse CR'!$K$30</definedName>
    <definedName name="st_1">'Analyse bilan'!$F$69</definedName>
    <definedName name="st_2">'Analyse bilan'!$I$69</definedName>
    <definedName name="st_3">'Analyse bilan'!$L$69</definedName>
    <definedName name="st_4">'Analyse bilan'!$O$69</definedName>
    <definedName name="stade">Accueil!$C$5</definedName>
    <definedName name="sté_exploitation">'Rachat ou reprise'!$F$114</definedName>
    <definedName name="stn_1">'Analyse bilan'!$F$57</definedName>
    <definedName name="stn_2">'Analyse bilan'!$I$57</definedName>
    <definedName name="stn_3">'Analyse bilan'!$L$57</definedName>
    <definedName name="stn_4">'Analyse bilan'!$O$57</definedName>
    <definedName name="stock_1">'Analyse bilan'!$F$53</definedName>
    <definedName name="stock_2">'Analyse bilan'!$I$53</definedName>
    <definedName name="stock_3">'Analyse bilan'!$L$53</definedName>
    <definedName name="stock_4">'Analyse bilan'!$O$53</definedName>
    <definedName name="Tableaux_d_emprunts">Accueil!$G$12</definedName>
    <definedName name="taux_actualisation">Valorisation!$T$8</definedName>
    <definedName name="taux_complt_hk1">'Plan de financement'!$N$61</definedName>
    <definedName name="taux_complt_hk2">'Holding-plan de financement'!$M$56</definedName>
    <definedName name="taux_emprunt1">'Tableaux d''emprunts'!$M$4</definedName>
    <definedName name="taux_emprunt2">'Tableaux d''emprunts'!$S$4</definedName>
    <definedName name="taux_emprunt3">'Tableaux d''emprunts'!$Y$4</definedName>
    <definedName name="taux_emprunt4">'Tableaux d''emprunts'!$AE$4</definedName>
    <definedName name="taux_emprunt5">'Tableaux d''emprunts'!$AK$4</definedName>
    <definedName name="tauxtvac1">'Analyse bilan'!$G$125</definedName>
    <definedName name="tauxtvac2">'Analyse bilan'!$G$126</definedName>
    <definedName name="tauxtvad1">'Analyse bilan'!$G$127</definedName>
    <definedName name="tauxtvad2">'Analyse bilan'!$G$128</definedName>
    <definedName name="titres_acquis">'Rachat ou reprise'!$K$106</definedName>
    <definedName name="titres_cible">'Rachat ou reprise'!$K$105</definedName>
    <definedName name="total_bilan_1">'Analyse bilan'!$F$108</definedName>
    <definedName name="total_bilan_2">'Analyse bilan'!$I$108</definedName>
    <definedName name="total_bilan_3">'Analyse bilan'!$L$108</definedName>
    <definedName name="total_bilan_4">'Analyse bilan'!$O$108</definedName>
    <definedName name="total_bilan_5">'Plan de financement'!$M$125</definedName>
    <definedName name="total_bilan_6">'Plan de financement'!$P$125</definedName>
    <definedName name="total_bilan_7">'Plan de financement'!$Q$125</definedName>
    <definedName name="tr_0">'Plan de financement'!$K$71</definedName>
    <definedName name="tr_1">'Analyse bilan'!$F$106</definedName>
    <definedName name="tr_2">'Analyse bilan'!$I$106</definedName>
    <definedName name="tr_3">'Analyse bilan'!$L$106</definedName>
    <definedName name="tr_4">'Analyse bilan'!$O$106</definedName>
    <definedName name="tr_5">'Plan de financement'!$M$71</definedName>
    <definedName name="tr_6">'Plan de financement'!$P$71</definedName>
    <definedName name="tr_7">'Plan de financement'!$Q$71</definedName>
    <definedName name="transp_achatMat_1">'Analyse CR'!$E$31</definedName>
    <definedName name="transp_achatMat_2">'Analyse CR'!$H$31</definedName>
    <definedName name="transp_achatMses_1">'Analyse CR'!$E$23</definedName>
    <definedName name="transp_achatMses_2">'Analyse CR'!$H$23</definedName>
    <definedName name="transp_achatMses_3">'Analyse CR'!$K$23</definedName>
    <definedName name="TRI">Cotation!$D$57</definedName>
    <definedName name="tvac_1">'Analyse bilan'!$F$125</definedName>
    <definedName name="tvac_1b">'Analyse bilan'!$F$126</definedName>
    <definedName name="tvac_2">'Analyse bilan'!$I$125</definedName>
    <definedName name="tvac_2b">'Analyse bilan'!$I$126</definedName>
    <definedName name="tvac_3">'Analyse bilan'!$L$125</definedName>
    <definedName name="tvac_3b">'Analyse bilan'!$L$126</definedName>
    <definedName name="tvad_1">'Analyse bilan'!$F$127</definedName>
    <definedName name="tvad_1b">'Analyse bilan'!$F$128</definedName>
    <definedName name="tvad_2">'Analyse bilan'!$I$127</definedName>
    <definedName name="tvad_2b">'Analyse bilan'!$I$128</definedName>
    <definedName name="tvad_3">'Analyse bilan'!$L$127</definedName>
    <definedName name="tvad_3b">'Analyse bilan'!$L$128</definedName>
    <definedName name="va_1">'Analyse CR'!$E$43</definedName>
    <definedName name="va_2">'Analyse CR'!$H$43</definedName>
    <definedName name="va_3">'Analyse CR'!$K$43</definedName>
    <definedName name="va_4">'Analyse CR'!$N$43</definedName>
    <definedName name="va_5">'Cpte de résultat prévisionnel'!$H$40</definedName>
    <definedName name="va_6">'Cpte de résultat prévisionnel'!$K$40</definedName>
    <definedName name="va_7">'Cpte de résultat prévisionnel'!$N$40</definedName>
    <definedName name="VE">'Rachat ou reprise'!$N$102</definedName>
    <definedName name="VFP">'Rachat ou reprise'!$N$108</definedName>
    <definedName name="vk_1">'Analyse bilan'!$F$124</definedName>
    <definedName name="vk_2">'Analyse bilan'!$I$124</definedName>
    <definedName name="vk_3">'Analyse bilan'!$L$124</definedName>
    <definedName name="yu_1">'Analyse CR'!$E$41</definedName>
    <definedName name="yu_2">'Analyse CR'!$H$41</definedName>
    <definedName name="yu_3">'Analyse CR'!$K$41</definedName>
    <definedName name="yu_4">'Analyse CR'!$N$41</definedName>
    <definedName name="_xlnm.Print_Area" localSheetId="0">Accueil!$B$2:$K$49</definedName>
    <definedName name="_xlnm.Print_Area" localSheetId="11">'Analyse bilan'!$B$2:$P$134</definedName>
    <definedName name="_xlnm.Print_Area" localSheetId="10">'Analyse CR'!$B$2:$O$126</definedName>
    <definedName name="_xlnm.Print_Area" localSheetId="16">'Avis comité technique'!$B$2:$L$50</definedName>
    <definedName name="_xlnm.Print_Area" localSheetId="15">Cotation!$B$2:$R$56</definedName>
    <definedName name="_xlnm.Print_Area" localSheetId="4">'Cpte de résultat prévisionnel'!$B$2:$O$130</definedName>
    <definedName name="_xlnm.Print_Area" localSheetId="2">'Entreprise cible'!$B$2:$N$143</definedName>
    <definedName name="_xlnm.Print_Area" localSheetId="13">'Holding-plan de financement'!$B$2:$S$67</definedName>
    <definedName name="_xlnm.Print_Area" localSheetId="5">Investissements!$B$2:$P$67</definedName>
    <definedName name="_xlnm.Print_Area" localSheetId="6">'Plan de financement'!$B$2:$Q$81</definedName>
    <definedName name="_xlnm.Print_Area" localSheetId="3">'Rachat ou reprise'!$B$2:$N$127</definedName>
    <definedName name="_xlnm.Print_Area" localSheetId="7">Simulations!$B$6:$Z$25</definedName>
    <definedName name="_xlnm.Print_Area" localSheetId="8">'Synthèse exploitation'!$A$1:$Q$74</definedName>
    <definedName name="_xlnm.Print_Area" localSheetId="9">'Synthèse structure financière'!$A$1:$R$76</definedName>
  </definedNames>
  <calcPr calcId="191029"/>
</workbook>
</file>

<file path=xl/calcChain.xml><?xml version="1.0" encoding="utf-8"?>
<calcChain xmlns="http://schemas.openxmlformats.org/spreadsheetml/2006/main">
  <c r="E18" i="25" l="1"/>
  <c r="K16" i="25" s="1"/>
  <c r="G16" i="25" l="1"/>
  <c r="O16" i="25"/>
  <c r="I16" i="25"/>
  <c r="Q16" i="25"/>
  <c r="M16" i="25"/>
  <c r="B4" i="25"/>
  <c r="B4" i="12"/>
  <c r="Q39" i="25" l="1"/>
  <c r="O39" i="25"/>
  <c r="M39" i="25"/>
  <c r="K39" i="25"/>
  <c r="I39" i="25"/>
  <c r="G39" i="25"/>
  <c r="F4" i="12"/>
  <c r="G4" i="25"/>
  <c r="Q33" i="25" l="1"/>
  <c r="O33" i="25"/>
  <c r="M33" i="25"/>
  <c r="K33" i="25"/>
  <c r="I33" i="25"/>
  <c r="G33" i="25"/>
  <c r="J4" i="12" l="1"/>
  <c r="D38" i="12"/>
  <c r="L34" i="12" l="1"/>
  <c r="J34" i="12"/>
  <c r="P34" i="12"/>
  <c r="H34" i="12"/>
  <c r="N34" i="12"/>
  <c r="F34" i="12"/>
  <c r="P53" i="22" l="1"/>
  <c r="H64" i="22"/>
  <c r="C42" i="22" l="1"/>
  <c r="C44" i="22" s="1"/>
  <c r="B42" i="22"/>
  <c r="J40" i="22"/>
  <c r="L26" i="22"/>
  <c r="H44" i="2"/>
  <c r="B39" i="18" l="1"/>
  <c r="I102" i="13" l="1"/>
  <c r="N105" i="13"/>
  <c r="L31" i="19" l="1"/>
  <c r="K31" i="19"/>
  <c r="N106" i="13" l="1"/>
  <c r="I7" i="19"/>
  <c r="I6" i="19"/>
  <c r="I9" i="19"/>
  <c r="M9" i="19"/>
  <c r="H3" i="14" l="1"/>
  <c r="Q23" i="2" l="1"/>
  <c r="P23" i="2"/>
  <c r="M23" i="2"/>
  <c r="M53" i="2"/>
  <c r="Q53" i="2"/>
  <c r="P53" i="2"/>
  <c r="Q36" i="2"/>
  <c r="P36" i="2"/>
  <c r="M36" i="2"/>
  <c r="J68" i="22" l="1"/>
  <c r="F130" i="17" l="1"/>
  <c r="F4" i="17"/>
  <c r="I4" i="17"/>
  <c r="L4" i="17"/>
  <c r="O4" i="17"/>
  <c r="F5" i="17"/>
  <c r="I5" i="17"/>
  <c r="L5" i="17"/>
  <c r="O5" i="17"/>
  <c r="N6" i="16"/>
  <c r="K6" i="16"/>
  <c r="H6" i="16"/>
  <c r="E6" i="16"/>
  <c r="N4" i="14"/>
  <c r="K4" i="14"/>
  <c r="M74" i="13" l="1"/>
  <c r="K74" i="13"/>
  <c r="I74" i="13"/>
  <c r="G74" i="13"/>
  <c r="E74" i="13"/>
  <c r="I54" i="31" l="1"/>
  <c r="J54" i="31"/>
  <c r="P18" i="22" l="1"/>
  <c r="K28" i="31" l="1"/>
  <c r="K25" i="31"/>
  <c r="K31" i="31"/>
  <c r="A31" i="31"/>
  <c r="A28" i="31"/>
  <c r="A25" i="31"/>
  <c r="K33" i="31" l="1"/>
  <c r="A33" i="31"/>
  <c r="V79" i="22" l="1"/>
  <c r="O49" i="22"/>
  <c r="O50" i="22"/>
  <c r="O51" i="22"/>
  <c r="O52" i="22"/>
  <c r="O53" i="22"/>
  <c r="O54" i="22"/>
  <c r="O55" i="22"/>
  <c r="O56" i="22"/>
  <c r="F87" i="22" l="1"/>
  <c r="P52" i="22" l="1"/>
  <c r="D90" i="22"/>
  <c r="F90" i="22"/>
  <c r="H90" i="22"/>
  <c r="J33" i="31" l="1"/>
  <c r="J29" i="31"/>
  <c r="J26" i="31"/>
  <c r="H54" i="31" l="1"/>
  <c r="G54" i="31"/>
  <c r="F54" i="31"/>
  <c r="E54" i="31"/>
  <c r="D54" i="31"/>
  <c r="B54" i="31"/>
  <c r="S8" i="31" l="1"/>
  <c r="Q31" i="31" l="1"/>
  <c r="Q25" i="31"/>
  <c r="Q27" i="31" s="1"/>
  <c r="Q28" i="31"/>
  <c r="S14" i="31"/>
  <c r="S12" i="31"/>
  <c r="S10" i="31"/>
  <c r="P26" i="31"/>
  <c r="P27" i="31" s="1"/>
  <c r="P7" i="31"/>
  <c r="O7" i="31"/>
  <c r="N7" i="31"/>
  <c r="J7" i="31"/>
  <c r="I7" i="31"/>
  <c r="H7" i="31"/>
  <c r="F7" i="31"/>
  <c r="E7" i="31"/>
  <c r="D7" i="31"/>
  <c r="P6" i="31"/>
  <c r="O6" i="31"/>
  <c r="N6" i="31"/>
  <c r="J6" i="31"/>
  <c r="I6" i="31"/>
  <c r="H6" i="31"/>
  <c r="F6" i="31"/>
  <c r="E6" i="31"/>
  <c r="D6" i="31"/>
  <c r="Q8" i="31"/>
  <c r="T12" i="31" l="1"/>
  <c r="R29" i="31" s="1"/>
  <c r="T14" i="31"/>
  <c r="N41" i="31" l="1"/>
  <c r="S11" i="31" l="1"/>
  <c r="H41" i="31"/>
  <c r="Q29" i="31" l="1"/>
  <c r="P29" i="31"/>
  <c r="Q33" i="31"/>
  <c r="P41" i="31" s="1"/>
  <c r="S13" i="31"/>
  <c r="Q30" i="31" l="1"/>
  <c r="O41" i="31" s="1"/>
  <c r="P30" i="31"/>
  <c r="P35" i="31" l="1"/>
  <c r="P36" i="31" s="1"/>
  <c r="I41" i="31"/>
  <c r="L4" i="19" l="1"/>
  <c r="H94" i="22"/>
  <c r="H93" i="22"/>
  <c r="H92" i="22"/>
  <c r="H91" i="22"/>
  <c r="H89" i="22"/>
  <c r="H88" i="22"/>
  <c r="H87" i="22"/>
  <c r="F94" i="22"/>
  <c r="F93" i="22"/>
  <c r="F92" i="22"/>
  <c r="F91" i="22"/>
  <c r="F89" i="22"/>
  <c r="F88" i="22"/>
  <c r="E94" i="22"/>
  <c r="E93" i="22"/>
  <c r="E92" i="22"/>
  <c r="E91" i="22"/>
  <c r="E87" i="22"/>
  <c r="N58" i="22" l="1"/>
  <c r="N42" i="22"/>
  <c r="P28" i="22"/>
  <c r="N60" i="22" l="1"/>
  <c r="P26" i="22"/>
  <c r="L25" i="22"/>
  <c r="P17" i="22" l="1"/>
  <c r="S80" i="22"/>
  <c r="P19" i="22"/>
  <c r="P55" i="22"/>
  <c r="P54" i="22"/>
  <c r="E88" i="22"/>
  <c r="P51" i="22"/>
  <c r="E90" i="22" l="1"/>
  <c r="P14" i="22"/>
  <c r="P13" i="22"/>
  <c r="P11" i="22"/>
  <c r="P10" i="22"/>
  <c r="P15" i="22" l="1"/>
  <c r="P56" i="22"/>
  <c r="E89" i="22" s="1"/>
  <c r="J36" i="19" l="1"/>
  <c r="M28" i="22" l="1"/>
  <c r="L27" i="22"/>
  <c r="P58" i="22" l="1"/>
  <c r="K36" i="28" l="1"/>
  <c r="I36" i="28" s="1"/>
  <c r="L35" i="28"/>
  <c r="L34" i="28"/>
  <c r="L33" i="28"/>
  <c r="K32" i="28"/>
  <c r="M28" i="28"/>
  <c r="J28" i="28"/>
  <c r="L28" i="28" s="1"/>
  <c r="M27" i="28"/>
  <c r="J27" i="28"/>
  <c r="L27" i="28" s="1"/>
  <c r="M26" i="28"/>
  <c r="J26" i="28"/>
  <c r="M21" i="28"/>
  <c r="J21" i="28"/>
  <c r="L21" i="28" s="1"/>
  <c r="M20" i="28"/>
  <c r="J20" i="28"/>
  <c r="L20" i="28" s="1"/>
  <c r="M19" i="28"/>
  <c r="J19" i="28"/>
  <c r="M14" i="28"/>
  <c r="J14" i="28"/>
  <c r="L14" i="28" s="1"/>
  <c r="M13" i="28"/>
  <c r="J13" i="28"/>
  <c r="L13" i="28" s="1"/>
  <c r="M12" i="28"/>
  <c r="J12" i="28"/>
  <c r="M7" i="28"/>
  <c r="J7" i="28"/>
  <c r="L7" i="28" s="1"/>
  <c r="M6" i="28"/>
  <c r="J6" i="28"/>
  <c r="L6" i="28" s="1"/>
  <c r="M5" i="28"/>
  <c r="J5" i="28"/>
  <c r="L5" i="28" s="1"/>
  <c r="J23" i="28" l="1"/>
  <c r="L23" i="28" s="1"/>
  <c r="M30" i="28"/>
  <c r="J30" i="28"/>
  <c r="C36" i="28" s="1"/>
  <c r="E36" i="28" s="1"/>
  <c r="F36" i="28" s="1"/>
  <c r="J16" i="28"/>
  <c r="L16" i="28" s="1"/>
  <c r="L26" i="28"/>
  <c r="J9" i="28"/>
  <c r="C33" i="28" s="1"/>
  <c r="E33" i="28" s="1"/>
  <c r="F33" i="28" s="1"/>
  <c r="L19" i="28"/>
  <c r="L36" i="28"/>
  <c r="L12" i="28"/>
  <c r="C34" i="28" l="1"/>
  <c r="E34" i="28" s="1"/>
  <c r="F34" i="28" s="1"/>
  <c r="C35" i="28"/>
  <c r="E35" i="28" s="1"/>
  <c r="F35" i="28" s="1"/>
  <c r="L30" i="28"/>
  <c r="L9" i="28"/>
  <c r="M2" i="28"/>
  <c r="E38" i="28" l="1"/>
  <c r="F38" i="28" s="1"/>
  <c r="E82" i="16"/>
  <c r="N71" i="13"/>
  <c r="M31" i="9" l="1"/>
  <c r="AK1" i="27" l="1"/>
  <c r="AE1" i="27"/>
  <c r="Y1" i="27"/>
  <c r="S1" i="27"/>
  <c r="M1" i="27"/>
  <c r="O24" i="21" l="1"/>
  <c r="Q24" i="21"/>
  <c r="I24" i="21"/>
  <c r="N24" i="21"/>
  <c r="H24" i="21"/>
  <c r="B24" i="21"/>
  <c r="Q4" i="25"/>
  <c r="P4" i="12"/>
  <c r="K4" i="2"/>
  <c r="B48" i="2" s="1"/>
  <c r="K4" i="25" l="1"/>
  <c r="E4" i="2"/>
  <c r="B4" i="2"/>
  <c r="B3" i="2" l="1"/>
  <c r="N120" i="14" l="1"/>
  <c r="K120" i="14"/>
  <c r="H120" i="14"/>
  <c r="G41" i="2" l="1"/>
  <c r="G44" i="2"/>
  <c r="J4" i="19" l="1"/>
  <c r="H4" i="19"/>
  <c r="O94" i="14" l="1"/>
  <c r="L94" i="14"/>
  <c r="O93" i="14"/>
  <c r="L93" i="14"/>
  <c r="O92" i="14"/>
  <c r="L92" i="14"/>
  <c r="N137" i="14" l="1"/>
  <c r="K137" i="14"/>
  <c r="H137" i="14"/>
  <c r="Z16" i="26"/>
  <c r="R16" i="26"/>
  <c r="N139" i="14"/>
  <c r="K139" i="14"/>
  <c r="H139" i="14"/>
  <c r="N123" i="16" l="1"/>
  <c r="K123" i="16"/>
  <c r="H123" i="16"/>
  <c r="E123" i="16"/>
  <c r="L81" i="9" l="1"/>
  <c r="N108" i="13" l="1"/>
  <c r="I23" i="20" l="1"/>
  <c r="I20" i="20"/>
  <c r="I17" i="20"/>
  <c r="I14" i="20"/>
  <c r="I11" i="20"/>
  <c r="F108" i="13" l="1"/>
  <c r="C108" i="13"/>
  <c r="AG27" i="27" l="1"/>
  <c r="AG28" i="27" s="1"/>
  <c r="AA27" i="27"/>
  <c r="AA28" i="27" s="1"/>
  <c r="AA29" i="27" s="1"/>
  <c r="U27" i="27"/>
  <c r="U28" i="27" s="1"/>
  <c r="U29" i="27" s="1"/>
  <c r="U30" i="27" s="1"/>
  <c r="O27" i="27"/>
  <c r="I27" i="27"/>
  <c r="I28" i="27" s="1"/>
  <c r="AG24" i="27"/>
  <c r="AA24" i="27"/>
  <c r="U24" i="27"/>
  <c r="O24" i="27"/>
  <c r="I24" i="27"/>
  <c r="AK6" i="27"/>
  <c r="AH25" i="27" s="1"/>
  <c r="AE6" i="27"/>
  <c r="Y6" i="27"/>
  <c r="V26" i="27" s="1"/>
  <c r="S6" i="27"/>
  <c r="P26" i="27" s="1"/>
  <c r="R26" i="27" s="1"/>
  <c r="M6" i="27"/>
  <c r="F6" i="27"/>
  <c r="E6" i="27"/>
  <c r="D6" i="27"/>
  <c r="C6" i="27"/>
  <c r="B6" i="27"/>
  <c r="F5" i="27"/>
  <c r="E5" i="27"/>
  <c r="D5" i="27"/>
  <c r="C5" i="27"/>
  <c r="B5" i="27"/>
  <c r="F4" i="27"/>
  <c r="E4" i="27"/>
  <c r="D4" i="27"/>
  <c r="C4" i="27"/>
  <c r="B4" i="27"/>
  <c r="AJ1" i="27"/>
  <c r="AD1" i="27"/>
  <c r="X1" i="27"/>
  <c r="R1" i="27"/>
  <c r="L1" i="27"/>
  <c r="P25" i="27" l="1"/>
  <c r="R25" i="27" s="1"/>
  <c r="AB27" i="27"/>
  <c r="J27" i="27"/>
  <c r="L27" i="27" s="1"/>
  <c r="K27" i="27" s="1"/>
  <c r="J26" i="27"/>
  <c r="L26" i="27" s="1"/>
  <c r="J25" i="27"/>
  <c r="AH26" i="27"/>
  <c r="AJ26" i="27" s="1"/>
  <c r="AB26" i="27"/>
  <c r="AB28" i="27"/>
  <c r="X26" i="27"/>
  <c r="W26" i="27"/>
  <c r="U31" i="27"/>
  <c r="V30" i="27"/>
  <c r="AG29" i="27"/>
  <c r="AH28" i="27"/>
  <c r="O28" i="27"/>
  <c r="P27" i="27"/>
  <c r="I29" i="27"/>
  <c r="J28" i="27"/>
  <c r="AA30" i="27"/>
  <c r="AB29" i="27"/>
  <c r="V25" i="27"/>
  <c r="AJ25" i="27"/>
  <c r="Q26" i="27"/>
  <c r="AH27" i="27"/>
  <c r="V29" i="27"/>
  <c r="V28" i="27"/>
  <c r="G4" i="27"/>
  <c r="AB25" i="27"/>
  <c r="V27" i="27"/>
  <c r="I79" i="2"/>
  <c r="T80" i="2"/>
  <c r="AD27" i="27" l="1"/>
  <c r="AC27" i="27" s="1"/>
  <c r="AI26" i="27"/>
  <c r="K26" i="27"/>
  <c r="L25" i="27"/>
  <c r="M25" i="27" s="1"/>
  <c r="M26" i="27" s="1"/>
  <c r="M27" i="27" s="1"/>
  <c r="AD25" i="27"/>
  <c r="AJ27" i="27"/>
  <c r="AI27" i="27"/>
  <c r="S25" i="27"/>
  <c r="S26" i="27" s="1"/>
  <c r="R27" i="27"/>
  <c r="AG30" i="27"/>
  <c r="AH29" i="27"/>
  <c r="X25" i="27"/>
  <c r="W25" i="27"/>
  <c r="AA31" i="27"/>
  <c r="AB30" i="27"/>
  <c r="O29" i="27"/>
  <c r="P28" i="27"/>
  <c r="X30" i="27"/>
  <c r="W30" i="27" s="1"/>
  <c r="X28" i="27"/>
  <c r="W28" i="27"/>
  <c r="AK25" i="27"/>
  <c r="AK26" i="27" s="1"/>
  <c r="I30" i="27"/>
  <c r="J29" i="27"/>
  <c r="AJ28" i="27"/>
  <c r="AD29" i="27"/>
  <c r="AC29" i="27" s="1"/>
  <c r="X27" i="27"/>
  <c r="X9" i="27" s="1"/>
  <c r="X29" i="27"/>
  <c r="W29" i="27"/>
  <c r="AI25" i="27"/>
  <c r="L28" i="27"/>
  <c r="K28" i="27" s="1"/>
  <c r="Q25" i="27"/>
  <c r="U32" i="27"/>
  <c r="V31" i="27"/>
  <c r="B6" i="26"/>
  <c r="AK27" i="27" l="1"/>
  <c r="AK28" i="27" s="1"/>
  <c r="L8" i="27"/>
  <c r="M8" i="27" s="1"/>
  <c r="K25" i="27"/>
  <c r="K8" i="27" s="1"/>
  <c r="L29" i="27"/>
  <c r="AD30" i="27"/>
  <c r="AC30" i="27" s="1"/>
  <c r="AE25" i="27"/>
  <c r="W10" i="27"/>
  <c r="AJ29" i="27"/>
  <c r="Q27" i="27"/>
  <c r="U33" i="27"/>
  <c r="V32" i="27"/>
  <c r="M28" i="27"/>
  <c r="AJ8" i="27"/>
  <c r="AK8" i="27" s="1"/>
  <c r="R28" i="27"/>
  <c r="W8" i="27"/>
  <c r="AG31" i="27"/>
  <c r="AH30" i="27"/>
  <c r="R8" i="27"/>
  <c r="X31" i="27"/>
  <c r="I31" i="27"/>
  <c r="J30" i="27"/>
  <c r="AA32" i="27"/>
  <c r="AB31" i="27"/>
  <c r="X10" i="27"/>
  <c r="W27" i="27"/>
  <c r="W9" i="27" s="1"/>
  <c r="V9" i="27" s="1"/>
  <c r="AI28" i="27"/>
  <c r="AI8" i="27" s="1"/>
  <c r="O30" i="27"/>
  <c r="P29" i="27"/>
  <c r="Y25" i="27"/>
  <c r="Y26" i="27" s="1"/>
  <c r="Y27" i="27" s="1"/>
  <c r="Y28" i="27" s="1"/>
  <c r="Y29" i="27" s="1"/>
  <c r="Y30" i="27" s="1"/>
  <c r="X8" i="27"/>
  <c r="Y8" i="27" s="1"/>
  <c r="Y9" i="27" s="1"/>
  <c r="S27" i="27"/>
  <c r="AC25" i="27"/>
  <c r="AD26" i="27" l="1"/>
  <c r="AC26" i="27" s="1"/>
  <c r="AD28" i="27"/>
  <c r="AC28" i="27" s="1"/>
  <c r="K29" i="27"/>
  <c r="J8" i="27"/>
  <c r="AH8" i="27"/>
  <c r="Y10" i="27"/>
  <c r="Y31" i="27"/>
  <c r="V10" i="27"/>
  <c r="S28" i="27"/>
  <c r="O31" i="27"/>
  <c r="P30" i="27"/>
  <c r="X11" i="27"/>
  <c r="AJ30" i="27"/>
  <c r="AI30" i="27" s="1"/>
  <c r="X32" i="27"/>
  <c r="W32" i="27"/>
  <c r="AK29" i="27"/>
  <c r="AD31" i="27"/>
  <c r="AC31" i="27" s="1"/>
  <c r="V8" i="27"/>
  <c r="AA33" i="27"/>
  <c r="AB32" i="27"/>
  <c r="S8" i="27"/>
  <c r="M29" i="27"/>
  <c r="L30" i="27"/>
  <c r="K30" i="27" s="1"/>
  <c r="W31" i="27"/>
  <c r="R29" i="27"/>
  <c r="Q29" i="27"/>
  <c r="I32" i="27"/>
  <c r="J31" i="27"/>
  <c r="AH31" i="27"/>
  <c r="AG32" i="27"/>
  <c r="Q28" i="27"/>
  <c r="U34" i="27"/>
  <c r="V33" i="27"/>
  <c r="AI29" i="27"/>
  <c r="I8" i="19"/>
  <c r="Y32" i="27" l="1"/>
  <c r="AE26" i="27"/>
  <c r="AE27" i="27" s="1"/>
  <c r="AE28" i="27" s="1"/>
  <c r="AE29" i="27" s="1"/>
  <c r="AE30" i="27" s="1"/>
  <c r="AE31" i="27" s="1"/>
  <c r="Y11" i="27"/>
  <c r="S29" i="27"/>
  <c r="U35" i="27"/>
  <c r="V34" i="27"/>
  <c r="I33" i="27"/>
  <c r="J32" i="27"/>
  <c r="AK30" i="27"/>
  <c r="Q8" i="27"/>
  <c r="AG33" i="27"/>
  <c r="AH32" i="27"/>
  <c r="AD32" i="27"/>
  <c r="R30" i="27"/>
  <c r="Q30" i="27"/>
  <c r="L31" i="27"/>
  <c r="K31" i="27" s="1"/>
  <c r="W11" i="27"/>
  <c r="V11" i="27" s="1"/>
  <c r="X33" i="27"/>
  <c r="W33" i="27" s="1"/>
  <c r="AJ31" i="27"/>
  <c r="AI31" i="27" s="1"/>
  <c r="M30" i="27"/>
  <c r="AA34" i="27"/>
  <c r="AB33" i="27"/>
  <c r="O32" i="27"/>
  <c r="P31" i="27"/>
  <c r="H41" i="19"/>
  <c r="H36" i="19"/>
  <c r="H27" i="19"/>
  <c r="H20" i="19"/>
  <c r="F41" i="19"/>
  <c r="F36" i="19"/>
  <c r="F27" i="19"/>
  <c r="F20" i="19"/>
  <c r="G41" i="19"/>
  <c r="G36" i="19"/>
  <c r="G27" i="19"/>
  <c r="G20" i="19"/>
  <c r="S30" i="27" l="1"/>
  <c r="M31" i="27"/>
  <c r="R31" i="27"/>
  <c r="S31" i="27" s="1"/>
  <c r="P8" i="27"/>
  <c r="L32" i="27"/>
  <c r="L9" i="27" s="1"/>
  <c r="M9" i="27" s="1"/>
  <c r="W34" i="27"/>
  <c r="W12" i="27" s="1"/>
  <c r="X34" i="27"/>
  <c r="X12" i="27" s="1"/>
  <c r="Y12" i="27" s="1"/>
  <c r="O33" i="27"/>
  <c r="P32" i="27"/>
  <c r="AD33" i="27"/>
  <c r="AE32" i="27"/>
  <c r="AJ32" i="27"/>
  <c r="AI32" i="27" s="1"/>
  <c r="AI9" i="27" s="1"/>
  <c r="AK31" i="27"/>
  <c r="I34" i="27"/>
  <c r="J33" i="27"/>
  <c r="U36" i="27"/>
  <c r="V35" i="27"/>
  <c r="AA35" i="27"/>
  <c r="AB34" i="27"/>
  <c r="Y33" i="27"/>
  <c r="AC32" i="27"/>
  <c r="AG34" i="27"/>
  <c r="AH33" i="27"/>
  <c r="H28" i="19"/>
  <c r="H42" i="19"/>
  <c r="G28" i="19"/>
  <c r="F28" i="19"/>
  <c r="F42" i="19"/>
  <c r="G42" i="19"/>
  <c r="F19" i="21"/>
  <c r="E19" i="21"/>
  <c r="G19" i="21"/>
  <c r="Y34" i="27" l="1"/>
  <c r="K32" i="27"/>
  <c r="K9" i="27" s="1"/>
  <c r="J9" i="27" s="1"/>
  <c r="M32" i="27"/>
  <c r="H43" i="19"/>
  <c r="H52" i="19" s="1"/>
  <c r="H53" i="19" s="1"/>
  <c r="H54" i="19" s="1"/>
  <c r="F43" i="19"/>
  <c r="F52" i="19" s="1"/>
  <c r="F53" i="19" s="1"/>
  <c r="F54" i="19" s="1"/>
  <c r="G43" i="19"/>
  <c r="G52" i="19" s="1"/>
  <c r="G53" i="19" s="1"/>
  <c r="G54" i="19" s="1"/>
  <c r="V12" i="27"/>
  <c r="AJ9" i="27"/>
  <c r="AK9" i="27" s="1"/>
  <c r="I35" i="27"/>
  <c r="J34" i="27"/>
  <c r="AE33" i="27"/>
  <c r="AD34" i="27" s="1"/>
  <c r="AC34" i="27" s="1"/>
  <c r="R32" i="27"/>
  <c r="S32" i="27" s="1"/>
  <c r="Q32" i="27"/>
  <c r="X35" i="27"/>
  <c r="AK32" i="27"/>
  <c r="P33" i="27"/>
  <c r="O34" i="27"/>
  <c r="AI33" i="27"/>
  <c r="AJ33" i="27"/>
  <c r="U37" i="27"/>
  <c r="V36" i="27"/>
  <c r="AH34" i="27"/>
  <c r="AG35" i="27"/>
  <c r="AA36" i="27"/>
  <c r="AB35" i="27"/>
  <c r="L33" i="27"/>
  <c r="AC33" i="27"/>
  <c r="Q31" i="27"/>
  <c r="T16" i="21"/>
  <c r="Y35" i="27" l="1"/>
  <c r="M33" i="27"/>
  <c r="K33" i="27"/>
  <c r="R9" i="27"/>
  <c r="S9" i="27" s="1"/>
  <c r="Q9" i="27"/>
  <c r="AJ34" i="27"/>
  <c r="AI34" i="27"/>
  <c r="AE34" i="27"/>
  <c r="X36" i="27"/>
  <c r="Y36" i="27" s="1"/>
  <c r="AA37" i="27"/>
  <c r="AB36" i="27"/>
  <c r="R33" i="27"/>
  <c r="S33" i="27" s="1"/>
  <c r="Q33" i="27"/>
  <c r="AG36" i="27"/>
  <c r="AH35" i="27"/>
  <c r="AK33" i="27"/>
  <c r="L34" i="27"/>
  <c r="K34" i="27" s="1"/>
  <c r="I36" i="27"/>
  <c r="J35" i="27"/>
  <c r="AD35" i="27"/>
  <c r="AC35" i="27" s="1"/>
  <c r="U38" i="27"/>
  <c r="V37" i="27"/>
  <c r="O35" i="27"/>
  <c r="P34" i="27"/>
  <c r="W35" i="27"/>
  <c r="AH9" i="27"/>
  <c r="AA17" i="21"/>
  <c r="E22" i="21"/>
  <c r="G22" i="21"/>
  <c r="I51" i="21"/>
  <c r="H51" i="21"/>
  <c r="G51" i="21"/>
  <c r="F51" i="21"/>
  <c r="E51" i="21"/>
  <c r="D51" i="21"/>
  <c r="AK34" i="27" l="1"/>
  <c r="M34" i="27"/>
  <c r="AE35" i="27"/>
  <c r="P9" i="27"/>
  <c r="U39" i="27"/>
  <c r="V38" i="27"/>
  <c r="I37" i="27"/>
  <c r="J36" i="27"/>
  <c r="O36" i="27"/>
  <c r="P35" i="27"/>
  <c r="AJ35" i="27"/>
  <c r="AD36" i="27"/>
  <c r="AD8" i="27" s="1"/>
  <c r="X37" i="27"/>
  <c r="Y37" i="27" s="1"/>
  <c r="L35" i="27"/>
  <c r="K35" i="27" s="1"/>
  <c r="AG37" i="27"/>
  <c r="AH36" i="27"/>
  <c r="AA38" i="27"/>
  <c r="AB37" i="27"/>
  <c r="W36" i="27"/>
  <c r="W13" i="27" s="1"/>
  <c r="R34" i="27"/>
  <c r="S34" i="27" s="1"/>
  <c r="Q34" i="27"/>
  <c r="X13" i="27"/>
  <c r="Y13" i="27" s="1"/>
  <c r="AB17" i="21"/>
  <c r="AC17" i="21" s="1"/>
  <c r="AD17" i="21" s="1"/>
  <c r="AE17" i="21" s="1"/>
  <c r="Z17" i="21"/>
  <c r="Y17" i="21" s="1"/>
  <c r="X17" i="21" s="1"/>
  <c r="W17" i="21" s="1"/>
  <c r="V17" i="21" s="1"/>
  <c r="U17" i="21" s="1"/>
  <c r="B19" i="21"/>
  <c r="AK35" i="27" l="1"/>
  <c r="B47" i="21"/>
  <c r="C52" i="21"/>
  <c r="M35" i="27"/>
  <c r="AE36" i="27"/>
  <c r="AC36" i="27"/>
  <c r="AC8" i="27" s="1"/>
  <c r="AB8" i="27" s="1"/>
  <c r="C8" i="27" s="1"/>
  <c r="V13" i="27"/>
  <c r="AG38" i="27"/>
  <c r="AH37" i="27"/>
  <c r="Q35" i="27"/>
  <c r="R35" i="27"/>
  <c r="S35" i="27" s="1"/>
  <c r="AI36" i="27"/>
  <c r="AJ36" i="27"/>
  <c r="AK36" i="27" s="1"/>
  <c r="W37" i="27"/>
  <c r="I38" i="27"/>
  <c r="J37" i="27"/>
  <c r="X38" i="27"/>
  <c r="Y38" i="27" s="1"/>
  <c r="AD37" i="27"/>
  <c r="AE8" i="27"/>
  <c r="E8" i="27"/>
  <c r="O37" i="27"/>
  <c r="P36" i="27"/>
  <c r="U40" i="27"/>
  <c r="V39" i="27"/>
  <c r="AA39" i="27"/>
  <c r="AB38" i="27"/>
  <c r="AI35" i="27"/>
  <c r="L36" i="27"/>
  <c r="I53" i="21"/>
  <c r="J53" i="21"/>
  <c r="AE37" i="27" l="1"/>
  <c r="M36" i="27"/>
  <c r="K36" i="27"/>
  <c r="K10" i="27" s="1"/>
  <c r="L10" i="27"/>
  <c r="M10" i="27" s="1"/>
  <c r="AJ10" i="27"/>
  <c r="AK10" i="27" s="1"/>
  <c r="D8" i="27"/>
  <c r="AC37" i="27"/>
  <c r="R36" i="27"/>
  <c r="S36" i="27" s="1"/>
  <c r="W39" i="27"/>
  <c r="X39" i="27"/>
  <c r="X14" i="27"/>
  <c r="Y14" i="27" s="1"/>
  <c r="AI10" i="27"/>
  <c r="U41" i="27"/>
  <c r="V40" i="27"/>
  <c r="F8" i="27"/>
  <c r="L37" i="27"/>
  <c r="AJ37" i="27"/>
  <c r="AK37" i="27" s="1"/>
  <c r="AD38" i="27"/>
  <c r="AC38" i="27" s="1"/>
  <c r="I39" i="27"/>
  <c r="J38" i="27"/>
  <c r="AG39" i="27"/>
  <c r="AH38" i="27"/>
  <c r="AA40" i="27"/>
  <c r="AB39" i="27"/>
  <c r="O38" i="27"/>
  <c r="P37" i="27"/>
  <c r="W38" i="27"/>
  <c r="W14" i="27" s="1"/>
  <c r="V14" i="27" s="1"/>
  <c r="Q77" i="2"/>
  <c r="P77" i="2"/>
  <c r="M77" i="2"/>
  <c r="AE38" i="27" l="1"/>
  <c r="AH10" i="27"/>
  <c r="J10" i="27"/>
  <c r="M37" i="27"/>
  <c r="K37" i="27"/>
  <c r="AA41" i="27"/>
  <c r="AB40" i="27"/>
  <c r="R10" i="27"/>
  <c r="R37" i="27"/>
  <c r="Q37" i="27"/>
  <c r="X15" i="27"/>
  <c r="Y15" i="27" s="1"/>
  <c r="Q36" i="27"/>
  <c r="Q10" i="27" s="1"/>
  <c r="P38" i="27"/>
  <c r="O39" i="27"/>
  <c r="AJ38" i="27"/>
  <c r="AK38" i="27" s="1"/>
  <c r="L38" i="27"/>
  <c r="K38" i="27" s="1"/>
  <c r="X40" i="27"/>
  <c r="W40" i="27"/>
  <c r="W15" i="27" s="1"/>
  <c r="AD39" i="27"/>
  <c r="AC39" i="27" s="1"/>
  <c r="AG40" i="27"/>
  <c r="AH39" i="27"/>
  <c r="I40" i="27"/>
  <c r="J39" i="27"/>
  <c r="AI37" i="27"/>
  <c r="V41" i="27"/>
  <c r="U42" i="27"/>
  <c r="Y39" i="27"/>
  <c r="AE39" i="27" l="1"/>
  <c r="Y40" i="27"/>
  <c r="V15" i="27"/>
  <c r="M38" i="27"/>
  <c r="AJ39" i="27"/>
  <c r="AD40" i="27"/>
  <c r="AC40" i="27" s="1"/>
  <c r="AG41" i="27"/>
  <c r="AH40" i="27"/>
  <c r="O40" i="27"/>
  <c r="P39" i="27"/>
  <c r="AA42" i="27"/>
  <c r="AB41" i="27"/>
  <c r="X41" i="27"/>
  <c r="W41" i="27"/>
  <c r="L39" i="27"/>
  <c r="K39" i="27" s="1"/>
  <c r="R38" i="27"/>
  <c r="Q38" i="27" s="1"/>
  <c r="S10" i="27"/>
  <c r="U43" i="27"/>
  <c r="V42" i="27"/>
  <c r="I41" i="27"/>
  <c r="J40" i="27"/>
  <c r="AI38" i="27"/>
  <c r="P10" i="27"/>
  <c r="S37" i="27"/>
  <c r="M39" i="27" l="1"/>
  <c r="X42" i="27"/>
  <c r="W42" i="27" s="1"/>
  <c r="W16" i="27" s="1"/>
  <c r="Q39" i="27"/>
  <c r="R39" i="27"/>
  <c r="I42" i="27"/>
  <c r="J41" i="27"/>
  <c r="AG42" i="27"/>
  <c r="AH41" i="27"/>
  <c r="S38" i="27"/>
  <c r="U44" i="27"/>
  <c r="V43" i="27"/>
  <c r="AD41" i="27"/>
  <c r="AC41" i="27" s="1"/>
  <c r="O41" i="27"/>
  <c r="P40" i="27"/>
  <c r="Y41" i="27"/>
  <c r="AE40" i="27"/>
  <c r="AK39" i="27"/>
  <c r="L40" i="27"/>
  <c r="L11" i="27" s="1"/>
  <c r="M11" i="27" s="1"/>
  <c r="AA43" i="27"/>
  <c r="AB42" i="27"/>
  <c r="AI40" i="27"/>
  <c r="AJ40" i="27"/>
  <c r="AJ11" i="27" s="1"/>
  <c r="AK11" i="27" s="1"/>
  <c r="AI39" i="27"/>
  <c r="T23" i="26"/>
  <c r="L23" i="26"/>
  <c r="D23" i="26"/>
  <c r="AE41" i="27" l="1"/>
  <c r="M40" i="27"/>
  <c r="K40" i="27"/>
  <c r="K11" i="27" s="1"/>
  <c r="J11" i="27" s="1"/>
  <c r="AI11" i="27"/>
  <c r="AH11" i="27" s="1"/>
  <c r="S39" i="27"/>
  <c r="AA44" i="27"/>
  <c r="AB43" i="27"/>
  <c r="X43" i="27"/>
  <c r="W43" i="27"/>
  <c r="L41" i="27"/>
  <c r="AD42" i="27"/>
  <c r="AC42" i="27" s="1"/>
  <c r="Y42" i="27"/>
  <c r="U45" i="27"/>
  <c r="V44" i="27"/>
  <c r="AJ41" i="27"/>
  <c r="I43" i="27"/>
  <c r="J42" i="27"/>
  <c r="X16" i="27"/>
  <c r="Y16" i="27" s="1"/>
  <c r="R40" i="27"/>
  <c r="R11" i="27" s="1"/>
  <c r="AG43" i="27"/>
  <c r="AH42" i="27"/>
  <c r="AK40" i="27"/>
  <c r="O42" i="27"/>
  <c r="P41" i="27"/>
  <c r="AE42" i="27" l="1"/>
  <c r="M41" i="27"/>
  <c r="K41" i="27"/>
  <c r="AK41" i="27"/>
  <c r="S40" i="27"/>
  <c r="R41" i="27"/>
  <c r="Q41" i="27"/>
  <c r="AJ42" i="27"/>
  <c r="AK42" i="27" s="1"/>
  <c r="AI42" i="27"/>
  <c r="AD43" i="27"/>
  <c r="AC43" i="27" s="1"/>
  <c r="O43" i="27"/>
  <c r="P42" i="27"/>
  <c r="AG44" i="27"/>
  <c r="AH43" i="27"/>
  <c r="L42" i="27"/>
  <c r="K42" i="27" s="1"/>
  <c r="X44" i="27"/>
  <c r="X17" i="27" s="1"/>
  <c r="Y17" i="27" s="1"/>
  <c r="W44" i="27"/>
  <c r="W17" i="27" s="1"/>
  <c r="AB44" i="27"/>
  <c r="AA45" i="27"/>
  <c r="S11" i="27"/>
  <c r="J43" i="27"/>
  <c r="I44" i="27"/>
  <c r="U46" i="27"/>
  <c r="V45" i="27"/>
  <c r="V16" i="27"/>
  <c r="Q40" i="27"/>
  <c r="Q11" i="27" s="1"/>
  <c r="AI41" i="27"/>
  <c r="Y43" i="27"/>
  <c r="K100" i="14"/>
  <c r="AE43" i="27" l="1"/>
  <c r="S41" i="27"/>
  <c r="M42" i="27"/>
  <c r="V17" i="27"/>
  <c r="Y44" i="27"/>
  <c r="P11" i="27"/>
  <c r="U47" i="27"/>
  <c r="V46" i="27"/>
  <c r="AD44" i="27"/>
  <c r="AE44" i="27" s="1"/>
  <c r="R42" i="27"/>
  <c r="Q42" i="27"/>
  <c r="I45" i="27"/>
  <c r="J44" i="27"/>
  <c r="O44" i="27"/>
  <c r="P43" i="27"/>
  <c r="L43" i="27"/>
  <c r="AJ43" i="27"/>
  <c r="AI43" i="27"/>
  <c r="X45" i="27"/>
  <c r="W45" i="27"/>
  <c r="AA46" i="27"/>
  <c r="AB45" i="27"/>
  <c r="AG45" i="27"/>
  <c r="AH44" i="27"/>
  <c r="S42" i="27" l="1"/>
  <c r="M43" i="27"/>
  <c r="K43" i="27"/>
  <c r="O45" i="27"/>
  <c r="P44" i="27"/>
  <c r="AJ44" i="27"/>
  <c r="AJ12" i="27" s="1"/>
  <c r="AK12" i="27" s="1"/>
  <c r="AG46" i="27"/>
  <c r="AH45" i="27"/>
  <c r="R43" i="27"/>
  <c r="I46" i="27"/>
  <c r="J45" i="27"/>
  <c r="AC44" i="27"/>
  <c r="AD45" i="27"/>
  <c r="AC45" i="27" s="1"/>
  <c r="AA47" i="27"/>
  <c r="AB46" i="27"/>
  <c r="Y45" i="27"/>
  <c r="AK43" i="27"/>
  <c r="W46" i="27"/>
  <c r="W18" i="27" s="1"/>
  <c r="X46" i="27"/>
  <c r="X18" i="27" s="1"/>
  <c r="Y18" i="27" s="1"/>
  <c r="L44" i="27"/>
  <c r="M44" i="27" s="1"/>
  <c r="U48" i="27"/>
  <c r="V47" i="27"/>
  <c r="K44" i="27" l="1"/>
  <c r="K12" i="27" s="1"/>
  <c r="L12" i="27"/>
  <c r="M12" i="27" s="1"/>
  <c r="V18" i="27"/>
  <c r="AK44" i="27"/>
  <c r="AA48" i="27"/>
  <c r="AB47" i="27"/>
  <c r="Q43" i="27"/>
  <c r="AI44" i="27"/>
  <c r="AI12" i="27" s="1"/>
  <c r="AH12" i="27" s="1"/>
  <c r="J46" i="27"/>
  <c r="I47" i="27"/>
  <c r="AG47" i="27"/>
  <c r="AH46" i="27"/>
  <c r="AE45" i="27"/>
  <c r="W47" i="27"/>
  <c r="X47" i="27"/>
  <c r="S43" i="27"/>
  <c r="Y46" i="27"/>
  <c r="L45" i="27"/>
  <c r="K45" i="27" s="1"/>
  <c r="AJ45" i="27"/>
  <c r="U49" i="27"/>
  <c r="V48" i="27"/>
  <c r="R44" i="27"/>
  <c r="Q44" i="27" s="1"/>
  <c r="AD46" i="27"/>
  <c r="AC46" i="27" s="1"/>
  <c r="O46" i="27"/>
  <c r="P45" i="27"/>
  <c r="N56" i="14"/>
  <c r="K56" i="14"/>
  <c r="H56" i="14"/>
  <c r="N61" i="16"/>
  <c r="K61" i="16"/>
  <c r="H61" i="16"/>
  <c r="E61" i="16"/>
  <c r="J12" i="27" l="1"/>
  <c r="M45" i="27"/>
  <c r="Y47" i="27"/>
  <c r="X48" i="27"/>
  <c r="X19" i="27" s="1"/>
  <c r="Y19" i="27" s="1"/>
  <c r="W48" i="27"/>
  <c r="W19" i="27" s="1"/>
  <c r="AG48" i="27"/>
  <c r="AH47" i="27"/>
  <c r="AK45" i="27"/>
  <c r="U50" i="27"/>
  <c r="V49" i="27"/>
  <c r="I48" i="27"/>
  <c r="J47" i="27"/>
  <c r="Q12" i="27"/>
  <c r="R12" i="27"/>
  <c r="R45" i="27"/>
  <c r="Q45" i="27"/>
  <c r="AE46" i="27"/>
  <c r="L46" i="27"/>
  <c r="M46" i="27" s="1"/>
  <c r="AD47" i="27"/>
  <c r="AC47" i="27" s="1"/>
  <c r="O47" i="27"/>
  <c r="P46" i="27"/>
  <c r="AI45" i="27"/>
  <c r="S44" i="27"/>
  <c r="AJ46" i="27"/>
  <c r="AA49" i="27"/>
  <c r="AB48" i="27"/>
  <c r="B20" i="21"/>
  <c r="D19" i="21"/>
  <c r="J52" i="21" l="1"/>
  <c r="I52" i="21"/>
  <c r="F52" i="21"/>
  <c r="H52" i="21"/>
  <c r="G52" i="21"/>
  <c r="E52" i="21"/>
  <c r="D52" i="21"/>
  <c r="K46" i="27"/>
  <c r="V19" i="27"/>
  <c r="Y48" i="27"/>
  <c r="S45" i="27"/>
  <c r="AA50" i="27"/>
  <c r="AB49" i="27"/>
  <c r="O48" i="27"/>
  <c r="P47" i="27"/>
  <c r="L47" i="27"/>
  <c r="M47" i="27" s="1"/>
  <c r="U51" i="27"/>
  <c r="V50" i="27"/>
  <c r="AE47" i="27"/>
  <c r="AD48" i="27" s="1"/>
  <c r="AD9" i="27" s="1"/>
  <c r="I49" i="27"/>
  <c r="J48" i="27"/>
  <c r="AK46" i="27"/>
  <c r="S12" i="27"/>
  <c r="AJ47" i="27"/>
  <c r="AI47" i="27"/>
  <c r="AI46" i="27"/>
  <c r="R46" i="27"/>
  <c r="P12" i="27"/>
  <c r="X49" i="27"/>
  <c r="W49" i="27"/>
  <c r="AG49" i="27"/>
  <c r="AH48" i="27"/>
  <c r="V18" i="21"/>
  <c r="V19" i="21" s="1"/>
  <c r="V22" i="21" s="1"/>
  <c r="Z18" i="21"/>
  <c r="Z19" i="21" s="1"/>
  <c r="Z22" i="21" s="1"/>
  <c r="E54" i="21" s="1"/>
  <c r="W18" i="21"/>
  <c r="W19" i="21" s="1"/>
  <c r="W22" i="21" s="1"/>
  <c r="U18" i="21"/>
  <c r="U19" i="21" s="1"/>
  <c r="U22" i="21" s="1"/>
  <c r="X18" i="21"/>
  <c r="X19" i="21" s="1"/>
  <c r="X22" i="21" s="1"/>
  <c r="Y18" i="21"/>
  <c r="Y19" i="21" s="1"/>
  <c r="Y22" i="21" s="1"/>
  <c r="AA18" i="21"/>
  <c r="AA19" i="21" s="1"/>
  <c r="Q9" i="21"/>
  <c r="P9" i="21"/>
  <c r="O9" i="21"/>
  <c r="P8" i="21"/>
  <c r="Q8" i="21"/>
  <c r="O8" i="21"/>
  <c r="Y49" i="27" l="1"/>
  <c r="AK47" i="27"/>
  <c r="AA20" i="21"/>
  <c r="AB18" i="21" s="1"/>
  <c r="AB19" i="21" s="1"/>
  <c r="K47" i="27"/>
  <c r="AE48" i="27"/>
  <c r="AC48" i="27"/>
  <c r="AC9" i="27" s="1"/>
  <c r="AB9" i="27" s="1"/>
  <c r="C9" i="27" s="1"/>
  <c r="AD49" i="27"/>
  <c r="AI48" i="27"/>
  <c r="AI13" i="27" s="1"/>
  <c r="AJ48" i="27"/>
  <c r="AJ13" i="27" s="1"/>
  <c r="AK13" i="27" s="1"/>
  <c r="L48" i="27"/>
  <c r="M48" i="27" s="1"/>
  <c r="S46" i="27"/>
  <c r="W50" i="27"/>
  <c r="X50" i="27"/>
  <c r="Y50" i="27" s="1"/>
  <c r="AA51" i="27"/>
  <c r="AB50" i="27"/>
  <c r="AG50" i="27"/>
  <c r="AH49" i="27"/>
  <c r="I50" i="27"/>
  <c r="J49" i="27"/>
  <c r="U52" i="27"/>
  <c r="V51" i="27"/>
  <c r="Q47" i="27"/>
  <c r="R47" i="27"/>
  <c r="W20" i="27"/>
  <c r="Q46" i="27"/>
  <c r="E9" i="27"/>
  <c r="AE9" i="27"/>
  <c r="O49" i="27"/>
  <c r="P48" i="27"/>
  <c r="P38" i="21"/>
  <c r="O38" i="21"/>
  <c r="Q35" i="21"/>
  <c r="P35" i="21"/>
  <c r="O35" i="21"/>
  <c r="Q34" i="21"/>
  <c r="P34" i="21"/>
  <c r="O34" i="21"/>
  <c r="Q33" i="21"/>
  <c r="P33" i="21"/>
  <c r="O33" i="21"/>
  <c r="Q32" i="21"/>
  <c r="P32" i="21"/>
  <c r="O32" i="21"/>
  <c r="C4" i="21"/>
  <c r="AA22" i="21" l="1"/>
  <c r="D53" i="21" s="1"/>
  <c r="L13" i="27"/>
  <c r="M13" i="27" s="1"/>
  <c r="AE49" i="27"/>
  <c r="F54" i="21"/>
  <c r="D54" i="21"/>
  <c r="K48" i="27"/>
  <c r="K13" i="27" s="1"/>
  <c r="J13" i="27" s="1"/>
  <c r="AK48" i="27"/>
  <c r="AH13" i="27"/>
  <c r="D9" i="27"/>
  <c r="AC49" i="27"/>
  <c r="S47" i="27"/>
  <c r="I51" i="27"/>
  <c r="J50" i="27"/>
  <c r="O50" i="27"/>
  <c r="P49" i="27"/>
  <c r="V52" i="27"/>
  <c r="U53" i="27"/>
  <c r="AJ49" i="27"/>
  <c r="F9" i="27"/>
  <c r="L49" i="27"/>
  <c r="K49" i="27" s="1"/>
  <c r="AG51" i="27"/>
  <c r="AH50" i="27"/>
  <c r="X20" i="27"/>
  <c r="Y20" i="27" s="1"/>
  <c r="AD50" i="27"/>
  <c r="AC50" i="27" s="1"/>
  <c r="Q48" i="27"/>
  <c r="Q13" i="27" s="1"/>
  <c r="R48" i="27"/>
  <c r="X51" i="27"/>
  <c r="W51" i="27"/>
  <c r="AA52" i="27"/>
  <c r="AB51" i="27"/>
  <c r="AB20" i="21"/>
  <c r="AB22" i="21" s="1"/>
  <c r="E53" i="21" s="1"/>
  <c r="AK49" i="27" l="1"/>
  <c r="G54" i="21"/>
  <c r="M49" i="27"/>
  <c r="S48" i="27"/>
  <c r="R13" i="27"/>
  <c r="P13" i="27" s="1"/>
  <c r="R49" i="27"/>
  <c r="AE50" i="27"/>
  <c r="AJ50" i="27"/>
  <c r="AI50" i="27" s="1"/>
  <c r="X21" i="27"/>
  <c r="Y21" i="27" s="1"/>
  <c r="AG52" i="27"/>
  <c r="AH51" i="27"/>
  <c r="U54" i="27"/>
  <c r="V53" i="27"/>
  <c r="O51" i="27"/>
  <c r="P50" i="27"/>
  <c r="AD51" i="27"/>
  <c r="AC51" i="27" s="1"/>
  <c r="X52" i="27"/>
  <c r="W52" i="27"/>
  <c r="W21" i="27" s="1"/>
  <c r="L50" i="27"/>
  <c r="AA53" i="27"/>
  <c r="AB52" i="27"/>
  <c r="AI49" i="27"/>
  <c r="V20" i="27"/>
  <c r="I52" i="27"/>
  <c r="J51" i="27"/>
  <c r="Y51" i="27"/>
  <c r="AC18" i="21"/>
  <c r="E69" i="20"/>
  <c r="S13" i="27" l="1"/>
  <c r="M50" i="27"/>
  <c r="K50" i="27"/>
  <c r="AK50" i="27"/>
  <c r="Y52" i="27"/>
  <c r="AA54" i="27"/>
  <c r="AB53" i="27"/>
  <c r="S49" i="27"/>
  <c r="L51" i="27"/>
  <c r="AD52" i="27"/>
  <c r="AC52" i="27"/>
  <c r="O52" i="27"/>
  <c r="P51" i="27"/>
  <c r="AG53" i="27"/>
  <c r="AH52" i="27"/>
  <c r="Q49" i="27"/>
  <c r="I53" i="27"/>
  <c r="J52" i="27"/>
  <c r="X53" i="27"/>
  <c r="W53" i="27"/>
  <c r="V21" i="27"/>
  <c r="U55" i="27"/>
  <c r="V54" i="27"/>
  <c r="R50" i="27"/>
  <c r="Q50" i="27" s="1"/>
  <c r="AJ51" i="27"/>
  <c r="AI51" i="27"/>
  <c r="AE51" i="27"/>
  <c r="AC20" i="21"/>
  <c r="AD18" i="21" s="1"/>
  <c r="AC19" i="21"/>
  <c r="M13" i="2"/>
  <c r="Q90" i="12"/>
  <c r="Q89" i="12"/>
  <c r="Q88" i="12"/>
  <c r="Q86" i="12"/>
  <c r="Q85" i="12"/>
  <c r="Q84" i="12"/>
  <c r="Q82" i="12"/>
  <c r="Q81" i="12"/>
  <c r="Q80" i="12"/>
  <c r="D90" i="12"/>
  <c r="C90" i="12"/>
  <c r="D89" i="12"/>
  <c r="C89" i="12"/>
  <c r="D88" i="12"/>
  <c r="C88" i="12"/>
  <c r="D82" i="12"/>
  <c r="C82" i="12"/>
  <c r="D81" i="12"/>
  <c r="C81" i="12"/>
  <c r="D80" i="12"/>
  <c r="C80" i="12"/>
  <c r="D86" i="12"/>
  <c r="C86" i="12"/>
  <c r="D85" i="12"/>
  <c r="C85" i="12"/>
  <c r="D84" i="12"/>
  <c r="C84" i="12"/>
  <c r="AK51" i="27" l="1"/>
  <c r="Y53" i="27"/>
  <c r="M51" i="27"/>
  <c r="K51" i="27"/>
  <c r="AE52" i="27"/>
  <c r="U56" i="27"/>
  <c r="V55" i="27"/>
  <c r="L52" i="27"/>
  <c r="AD53" i="27"/>
  <c r="AC53" i="27" s="1"/>
  <c r="W54" i="27"/>
  <c r="W22" i="27" s="1"/>
  <c r="X54" i="27"/>
  <c r="X22" i="27" s="1"/>
  <c r="Y22" i="27" s="1"/>
  <c r="O53" i="27"/>
  <c r="P52" i="27"/>
  <c r="S50" i="27"/>
  <c r="AJ52" i="27"/>
  <c r="AJ14" i="27" s="1"/>
  <c r="AK14" i="27" s="1"/>
  <c r="I54" i="27"/>
  <c r="J53" i="27"/>
  <c r="AG54" i="27"/>
  <c r="AH53" i="27"/>
  <c r="Q51" i="27"/>
  <c r="R51" i="27"/>
  <c r="AA55" i="27"/>
  <c r="AB54" i="27"/>
  <c r="AD20" i="21"/>
  <c r="AD19" i="21"/>
  <c r="AC22" i="21"/>
  <c r="F53" i="21" s="1"/>
  <c r="J127" i="17"/>
  <c r="M127" i="17"/>
  <c r="G127" i="17"/>
  <c r="M52" i="27" l="1"/>
  <c r="H54" i="21"/>
  <c r="K52" i="27"/>
  <c r="K14" i="27" s="1"/>
  <c r="L14" i="27"/>
  <c r="M14" i="27" s="1"/>
  <c r="Y54" i="27"/>
  <c r="AA56" i="27"/>
  <c r="AB55" i="27"/>
  <c r="L53" i="27"/>
  <c r="K53" i="27" s="1"/>
  <c r="AE53" i="27"/>
  <c r="AI53" i="27"/>
  <c r="AJ53" i="27"/>
  <c r="R52" i="27"/>
  <c r="R14" i="27" s="1"/>
  <c r="W55" i="27"/>
  <c r="X55" i="27"/>
  <c r="AD54" i="27"/>
  <c r="AC54" i="27" s="1"/>
  <c r="V22" i="27"/>
  <c r="AG55" i="27"/>
  <c r="AH54" i="27"/>
  <c r="AI52" i="27"/>
  <c r="AI14" i="27" s="1"/>
  <c r="AH14" i="27" s="1"/>
  <c r="O54" i="27"/>
  <c r="P53" i="27"/>
  <c r="AK52" i="27"/>
  <c r="U57" i="27"/>
  <c r="V56" i="27"/>
  <c r="I55" i="27"/>
  <c r="J54" i="27"/>
  <c r="S51" i="27"/>
  <c r="AE18" i="21"/>
  <c r="AD22" i="21"/>
  <c r="AK53" i="27" l="1"/>
  <c r="Y55" i="27"/>
  <c r="I54" i="21"/>
  <c r="G53" i="21"/>
  <c r="J14" i="27"/>
  <c r="M53" i="27"/>
  <c r="S52" i="27"/>
  <c r="S14" i="27"/>
  <c r="X56" i="27"/>
  <c r="W56" i="27"/>
  <c r="O55" i="27"/>
  <c r="P54" i="27"/>
  <c r="V57" i="27"/>
  <c r="U58" i="27"/>
  <c r="L54" i="27"/>
  <c r="K54" i="27" s="1"/>
  <c r="AJ54" i="27"/>
  <c r="AK54" i="27" s="1"/>
  <c r="AI54" i="27"/>
  <c r="Q52" i="27"/>
  <c r="Q14" i="27" s="1"/>
  <c r="AA57" i="27"/>
  <c r="AB56" i="27"/>
  <c r="I56" i="27"/>
  <c r="J55" i="27"/>
  <c r="R53" i="27"/>
  <c r="Q53" i="27"/>
  <c r="AG56" i="27"/>
  <c r="AH55" i="27"/>
  <c r="AE54" i="27"/>
  <c r="AD55" i="27"/>
  <c r="AC55" i="27" s="1"/>
  <c r="AE19" i="21"/>
  <c r="AE20" i="21"/>
  <c r="O15" i="16"/>
  <c r="L15" i="16"/>
  <c r="I15" i="16"/>
  <c r="F15" i="16"/>
  <c r="Y56" i="27" l="1"/>
  <c r="S53" i="27"/>
  <c r="M54" i="27"/>
  <c r="AD56" i="27"/>
  <c r="AC56" i="27" s="1"/>
  <c r="U59" i="27"/>
  <c r="V58" i="27"/>
  <c r="AJ55" i="27"/>
  <c r="AK55" i="27" s="1"/>
  <c r="AI55" i="27"/>
  <c r="P14" i="27"/>
  <c r="R54" i="27"/>
  <c r="Q54" i="27" s="1"/>
  <c r="AE55" i="27"/>
  <c r="L55" i="27"/>
  <c r="AG57" i="27"/>
  <c r="AH56" i="27"/>
  <c r="I57" i="27"/>
  <c r="J56" i="27"/>
  <c r="AA58" i="27"/>
  <c r="AB57" i="27"/>
  <c r="X57" i="27"/>
  <c r="W57" i="27"/>
  <c r="O56" i="27"/>
  <c r="P55" i="27"/>
  <c r="AE22" i="21"/>
  <c r="Q37" i="21"/>
  <c r="P37" i="21"/>
  <c r="O37" i="21"/>
  <c r="Y57" i="27" l="1"/>
  <c r="M55" i="27"/>
  <c r="K55" i="27"/>
  <c r="AE56" i="27"/>
  <c r="J54" i="21"/>
  <c r="H53" i="21"/>
  <c r="S54" i="27"/>
  <c r="AD57" i="27"/>
  <c r="AC57" i="27" s="1"/>
  <c r="AG58" i="27"/>
  <c r="AH57" i="27"/>
  <c r="I58" i="27"/>
  <c r="J57" i="27"/>
  <c r="Q55" i="27"/>
  <c r="R55" i="27"/>
  <c r="O57" i="27"/>
  <c r="P56" i="27"/>
  <c r="AA59" i="27"/>
  <c r="AB58" i="27"/>
  <c r="L56" i="27"/>
  <c r="M56" i="27" s="1"/>
  <c r="W58" i="27"/>
  <c r="X58" i="27"/>
  <c r="Y58" i="27" s="1"/>
  <c r="U60" i="27"/>
  <c r="V59" i="27"/>
  <c r="AI56" i="27"/>
  <c r="AI15" i="27" s="1"/>
  <c r="AJ56" i="27"/>
  <c r="AJ15" i="27" s="1"/>
  <c r="AK15" i="27" s="1"/>
  <c r="Q26" i="21"/>
  <c r="P26" i="21"/>
  <c r="O26" i="21"/>
  <c r="K56" i="27" l="1"/>
  <c r="K15" i="27" s="1"/>
  <c r="S55" i="27"/>
  <c r="L15" i="27"/>
  <c r="M15" i="27" s="1"/>
  <c r="AH15" i="27"/>
  <c r="AE57" i="27"/>
  <c r="U61" i="27"/>
  <c r="V60" i="27"/>
  <c r="O58" i="27"/>
  <c r="P57" i="27"/>
  <c r="AA60" i="27"/>
  <c r="AB59" i="27"/>
  <c r="AG59" i="27"/>
  <c r="AH58" i="27"/>
  <c r="AK56" i="27"/>
  <c r="X59" i="27"/>
  <c r="Y59" i="27" s="1"/>
  <c r="W59" i="27"/>
  <c r="R56" i="27"/>
  <c r="L57" i="27"/>
  <c r="K57" i="27" s="1"/>
  <c r="I59" i="27"/>
  <c r="J58" i="27"/>
  <c r="AD58" i="27"/>
  <c r="AJ57" i="27"/>
  <c r="AI57" i="27"/>
  <c r="S56" i="27" l="1"/>
  <c r="AK57" i="27"/>
  <c r="M57" i="27"/>
  <c r="J15" i="27"/>
  <c r="AE58" i="27"/>
  <c r="AC58" i="27"/>
  <c r="R15" i="27"/>
  <c r="I60" i="27"/>
  <c r="J59" i="27"/>
  <c r="AG60" i="27"/>
  <c r="AH59" i="27"/>
  <c r="U62" i="27"/>
  <c r="V61" i="27"/>
  <c r="L58" i="27"/>
  <c r="K58" i="27"/>
  <c r="Q56" i="27"/>
  <c r="Q15" i="27" s="1"/>
  <c r="AD59" i="27"/>
  <c r="AE59" i="27" s="1"/>
  <c r="R57" i="27"/>
  <c r="S57" i="27" s="1"/>
  <c r="Q57" i="27"/>
  <c r="AA61" i="27"/>
  <c r="AB60" i="27"/>
  <c r="O59" i="27"/>
  <c r="P58" i="27"/>
  <c r="AJ58" i="27"/>
  <c r="AI58" i="27"/>
  <c r="X60" i="27"/>
  <c r="Y60" i="27" s="1"/>
  <c r="W60" i="27"/>
  <c r="M58" i="27" l="1"/>
  <c r="X61" i="27"/>
  <c r="Y61" i="27" s="1"/>
  <c r="W61" i="27"/>
  <c r="R58" i="27"/>
  <c r="Q58" i="27" s="1"/>
  <c r="AK58" i="27"/>
  <c r="AG61" i="27"/>
  <c r="AH60" i="27"/>
  <c r="S15" i="27"/>
  <c r="O60" i="27"/>
  <c r="P59" i="27"/>
  <c r="P15" i="27"/>
  <c r="AD60" i="27"/>
  <c r="AD10" i="27" s="1"/>
  <c r="U63" i="27"/>
  <c r="V62" i="27"/>
  <c r="L59" i="27"/>
  <c r="K59" i="27" s="1"/>
  <c r="AA62" i="27"/>
  <c r="AB61" i="27"/>
  <c r="AC59" i="27"/>
  <c r="AJ59" i="27"/>
  <c r="AI59" i="27"/>
  <c r="I61" i="27"/>
  <c r="J60" i="27"/>
  <c r="L36" i="19"/>
  <c r="K36" i="19"/>
  <c r="AK59" i="27" l="1"/>
  <c r="M59" i="27"/>
  <c r="W62" i="27"/>
  <c r="X62" i="27"/>
  <c r="Y62" i="27" s="1"/>
  <c r="E10" i="27"/>
  <c r="AE10" i="27"/>
  <c r="Q59" i="27"/>
  <c r="R59" i="27"/>
  <c r="AI60" i="27"/>
  <c r="AI16" i="27" s="1"/>
  <c r="AJ60" i="27"/>
  <c r="AJ16" i="27" s="1"/>
  <c r="AK16" i="27" s="1"/>
  <c r="U64" i="27"/>
  <c r="V63" i="27"/>
  <c r="S58" i="27"/>
  <c r="O61" i="27"/>
  <c r="P60" i="27"/>
  <c r="AG62" i="27"/>
  <c r="AH61" i="27"/>
  <c r="AA63" i="27"/>
  <c r="AB62" i="27"/>
  <c r="L60" i="27"/>
  <c r="K60" i="27" s="1"/>
  <c r="K16" i="27" s="1"/>
  <c r="AE60" i="27"/>
  <c r="I62" i="27"/>
  <c r="J61" i="27"/>
  <c r="AD61" i="27"/>
  <c r="AC60" i="27"/>
  <c r="AC10" i="27" s="1"/>
  <c r="Q72" i="25"/>
  <c r="O72" i="25"/>
  <c r="M72" i="25"/>
  <c r="Q70" i="25"/>
  <c r="O70" i="25"/>
  <c r="M70" i="25"/>
  <c r="AK60" i="27" l="1"/>
  <c r="M60" i="27"/>
  <c r="L16" i="27"/>
  <c r="M16" i="27" s="1"/>
  <c r="S59" i="27"/>
  <c r="AH16" i="27"/>
  <c r="AE61" i="27"/>
  <c r="AI61" i="27"/>
  <c r="AJ61" i="27"/>
  <c r="AC61" i="27"/>
  <c r="AG63" i="27"/>
  <c r="AH62" i="27"/>
  <c r="W63" i="27"/>
  <c r="X63" i="27"/>
  <c r="Y63" i="27" s="1"/>
  <c r="L61" i="27"/>
  <c r="K61" i="27" s="1"/>
  <c r="AD62" i="27"/>
  <c r="AC62" i="27" s="1"/>
  <c r="Q60" i="27"/>
  <c r="Q16" i="27" s="1"/>
  <c r="R60" i="27"/>
  <c r="R16" i="27" s="1"/>
  <c r="U65" i="27"/>
  <c r="V64" i="27"/>
  <c r="AB10" i="27"/>
  <c r="C10" i="27" s="1"/>
  <c r="D10" i="27"/>
  <c r="I63" i="27"/>
  <c r="J62" i="27"/>
  <c r="AB63" i="27"/>
  <c r="AA64" i="27"/>
  <c r="O62" i="27"/>
  <c r="P61" i="27"/>
  <c r="F10" i="27"/>
  <c r="O64" i="25"/>
  <c r="E66" i="25"/>
  <c r="AK61" i="27" l="1"/>
  <c r="J16" i="27"/>
  <c r="M61" i="27"/>
  <c r="P16" i="27"/>
  <c r="S16" i="27"/>
  <c r="AA65" i="27"/>
  <c r="AB64" i="27"/>
  <c r="AE62" i="27"/>
  <c r="I64" i="27"/>
  <c r="J63" i="27"/>
  <c r="AD63" i="27"/>
  <c r="AC63" i="27" s="1"/>
  <c r="AJ62" i="27"/>
  <c r="AI62" i="27"/>
  <c r="S60" i="27"/>
  <c r="P62" i="27"/>
  <c r="O63" i="27"/>
  <c r="U66" i="27"/>
  <c r="V65" i="27"/>
  <c r="R61" i="27"/>
  <c r="Q61" i="27"/>
  <c r="L62" i="27"/>
  <c r="K62" i="27" s="1"/>
  <c r="X64" i="27"/>
  <c r="Y64" i="27" s="1"/>
  <c r="W64" i="27"/>
  <c r="AG64" i="27"/>
  <c r="AH63" i="27"/>
  <c r="M104" i="2"/>
  <c r="O43" i="21" s="1"/>
  <c r="M106" i="2"/>
  <c r="M107" i="2"/>
  <c r="M108" i="2"/>
  <c r="M110" i="2"/>
  <c r="M111" i="2"/>
  <c r="P106" i="2"/>
  <c r="P107" i="2"/>
  <c r="P108" i="2"/>
  <c r="P110" i="2"/>
  <c r="P111" i="2"/>
  <c r="Q106" i="2"/>
  <c r="Q107" i="2"/>
  <c r="Q108" i="2"/>
  <c r="Q110" i="2"/>
  <c r="Q111" i="2"/>
  <c r="Q67" i="25"/>
  <c r="O67" i="25"/>
  <c r="M67" i="25"/>
  <c r="K67" i="25"/>
  <c r="K65" i="25" s="1"/>
  <c r="I67" i="25"/>
  <c r="G67" i="25"/>
  <c r="P104" i="2"/>
  <c r="P43" i="21" s="1"/>
  <c r="Q104" i="2"/>
  <c r="Q43" i="21" s="1"/>
  <c r="M105" i="2"/>
  <c r="P105" i="2"/>
  <c r="P42" i="21" s="1"/>
  <c r="Q105" i="2"/>
  <c r="Q42" i="21" s="1"/>
  <c r="M109" i="2"/>
  <c r="P109" i="2"/>
  <c r="Q109" i="2"/>
  <c r="E24" i="25"/>
  <c r="F19" i="17"/>
  <c r="M28" i="2"/>
  <c r="L24" i="17"/>
  <c r="L25" i="17" s="1"/>
  <c r="L27" i="17" s="1"/>
  <c r="L153" i="17"/>
  <c r="L159" i="17" s="1"/>
  <c r="L19" i="17"/>
  <c r="F24" i="17"/>
  <c r="F25" i="17" s="1"/>
  <c r="F158" i="17" s="1"/>
  <c r="F153" i="17"/>
  <c r="F159" i="17" s="1"/>
  <c r="I24" i="17"/>
  <c r="I25" i="17" s="1"/>
  <c r="I27" i="17" s="1"/>
  <c r="I153" i="17"/>
  <c r="I159" i="17" s="1"/>
  <c r="O63" i="17"/>
  <c r="O62" i="17" s="1"/>
  <c r="L63" i="17"/>
  <c r="L62" i="17" s="1"/>
  <c r="I63" i="17"/>
  <c r="I62" i="17" s="1"/>
  <c r="F63" i="17"/>
  <c r="F62" i="17" s="1"/>
  <c r="O67" i="17"/>
  <c r="O53" i="17"/>
  <c r="O55" i="17"/>
  <c r="L53" i="17"/>
  <c r="L55" i="17"/>
  <c r="I53" i="17"/>
  <c r="I55" i="17"/>
  <c r="F53" i="17"/>
  <c r="F55" i="17"/>
  <c r="O96" i="17"/>
  <c r="O97" i="17" s="1"/>
  <c r="L96" i="17"/>
  <c r="L97" i="17" s="1"/>
  <c r="I96" i="17"/>
  <c r="I97" i="17" s="1"/>
  <c r="F96" i="17"/>
  <c r="F97" i="17" s="1"/>
  <c r="F85" i="17"/>
  <c r="F145" i="17" s="1"/>
  <c r="F99" i="17"/>
  <c r="F102" i="17" s="1"/>
  <c r="I85" i="17"/>
  <c r="I145" i="17" s="1"/>
  <c r="I19" i="17"/>
  <c r="I99" i="17"/>
  <c r="I102" i="17" s="1"/>
  <c r="L85" i="17"/>
  <c r="L145" i="17" s="1"/>
  <c r="L99" i="17"/>
  <c r="L102" i="17" s="1"/>
  <c r="L75" i="17"/>
  <c r="L79" i="17" s="1"/>
  <c r="O75" i="17"/>
  <c r="O79" i="17" s="1"/>
  <c r="O85" i="17"/>
  <c r="O145" i="17" s="1"/>
  <c r="K42" i="16"/>
  <c r="K44" i="16" s="1"/>
  <c r="O24" i="17"/>
  <c r="O25" i="17" s="1"/>
  <c r="O158" i="17" s="1"/>
  <c r="O99" i="17"/>
  <c r="O102" i="17" s="1"/>
  <c r="O19" i="17"/>
  <c r="O90" i="17"/>
  <c r="L90" i="17"/>
  <c r="I90" i="17"/>
  <c r="F90" i="17"/>
  <c r="F75" i="17"/>
  <c r="F79" i="17" s="1"/>
  <c r="Q14" i="2"/>
  <c r="Q31" i="21" s="1"/>
  <c r="P14" i="2"/>
  <c r="P31" i="21" s="1"/>
  <c r="L30" i="17"/>
  <c r="L31" i="17" s="1"/>
  <c r="O30" i="17"/>
  <c r="O31" i="17" s="1"/>
  <c r="I30" i="17"/>
  <c r="I31" i="17" s="1"/>
  <c r="F30" i="17"/>
  <c r="F31" i="17" s="1"/>
  <c r="F33" i="17"/>
  <c r="P29" i="2"/>
  <c r="P39" i="21" s="1"/>
  <c r="Q29" i="2"/>
  <c r="Q39" i="21" s="1"/>
  <c r="I75" i="17"/>
  <c r="I79" i="17" s="1"/>
  <c r="K13" i="16"/>
  <c r="N13" i="16"/>
  <c r="O92" i="17" s="1"/>
  <c r="N55" i="14"/>
  <c r="K55" i="14"/>
  <c r="H55" i="14"/>
  <c r="H39" i="14"/>
  <c r="H41" i="14" s="1"/>
  <c r="N15" i="14"/>
  <c r="N23" i="14"/>
  <c r="N24" i="14" s="1"/>
  <c r="N39" i="14"/>
  <c r="N41" i="14" s="1"/>
  <c r="N45" i="14"/>
  <c r="K15" i="14"/>
  <c r="K23" i="14"/>
  <c r="L23" i="14" s="1"/>
  <c r="K39" i="14"/>
  <c r="K41" i="14" s="1"/>
  <c r="K45" i="14"/>
  <c r="H15" i="14"/>
  <c r="H23" i="14"/>
  <c r="H24" i="14" s="1"/>
  <c r="H45" i="14"/>
  <c r="P66" i="12"/>
  <c r="N66" i="12"/>
  <c r="E34" i="16"/>
  <c r="E42" i="16"/>
  <c r="E44" i="16" s="1"/>
  <c r="H34" i="16"/>
  <c r="H42" i="16"/>
  <c r="H44" i="16" s="1"/>
  <c r="K34" i="16"/>
  <c r="K35" i="16" s="1"/>
  <c r="L35" i="16" s="1"/>
  <c r="L8" i="12"/>
  <c r="J8" i="12"/>
  <c r="N8" i="12"/>
  <c r="P8" i="12"/>
  <c r="K24" i="14"/>
  <c r="L24" i="14" s="1"/>
  <c r="N19" i="12" s="1"/>
  <c r="N110" i="14"/>
  <c r="K110" i="14"/>
  <c r="H110" i="14"/>
  <c r="Q46" i="2"/>
  <c r="P46" i="2"/>
  <c r="O153" i="17"/>
  <c r="O159" i="17" s="1"/>
  <c r="O33" i="17"/>
  <c r="L33" i="17"/>
  <c r="I33" i="17"/>
  <c r="Q64" i="25"/>
  <c r="M64" i="25"/>
  <c r="H2" i="23"/>
  <c r="L2" i="23"/>
  <c r="P2" i="23"/>
  <c r="H1" i="23"/>
  <c r="L1" i="23"/>
  <c r="M93" i="2"/>
  <c r="G40" i="2"/>
  <c r="K40" i="2"/>
  <c r="K41" i="2"/>
  <c r="G42" i="2"/>
  <c r="K42" i="2"/>
  <c r="G43" i="2"/>
  <c r="K43" i="2"/>
  <c r="M44" i="2"/>
  <c r="B46" i="2"/>
  <c r="C46" i="2"/>
  <c r="R46" i="2" s="1"/>
  <c r="P1" i="23"/>
  <c r="Q71" i="25"/>
  <c r="O71" i="25"/>
  <c r="M71" i="25"/>
  <c r="M128" i="17"/>
  <c r="J128" i="17"/>
  <c r="J101" i="14"/>
  <c r="N100" i="14"/>
  <c r="H100" i="14"/>
  <c r="J7" i="12"/>
  <c r="U6" i="12" s="1"/>
  <c r="H7" i="12"/>
  <c r="T6" i="12" s="1"/>
  <c r="F7" i="12"/>
  <c r="S6" i="12" s="1"/>
  <c r="N120" i="16"/>
  <c r="K120" i="16"/>
  <c r="H120" i="16"/>
  <c r="E120" i="16"/>
  <c r="N117" i="16"/>
  <c r="N119" i="16" s="1"/>
  <c r="N125" i="16" s="1"/>
  <c r="K117" i="16"/>
  <c r="K119" i="16" s="1"/>
  <c r="K125" i="16" s="1"/>
  <c r="H117" i="16"/>
  <c r="H119" i="16" s="1"/>
  <c r="H125" i="16" s="1"/>
  <c r="E117" i="16"/>
  <c r="E119" i="16" s="1"/>
  <c r="E125" i="16" s="1"/>
  <c r="O115" i="16"/>
  <c r="O114" i="16"/>
  <c r="L115" i="16"/>
  <c r="L114" i="16"/>
  <c r="I115" i="16"/>
  <c r="I114" i="16"/>
  <c r="F115" i="16"/>
  <c r="F114" i="16"/>
  <c r="N111" i="16"/>
  <c r="N113" i="16" s="1"/>
  <c r="N124" i="16" s="1"/>
  <c r="K111" i="16"/>
  <c r="K113" i="16" s="1"/>
  <c r="K124" i="16" s="1"/>
  <c r="K126" i="16" s="1"/>
  <c r="H111" i="16"/>
  <c r="H113" i="16" s="1"/>
  <c r="H124" i="16" s="1"/>
  <c r="E111" i="16"/>
  <c r="E113" i="16" s="1"/>
  <c r="E124" i="16" s="1"/>
  <c r="O109" i="16"/>
  <c r="O108" i="16"/>
  <c r="L109" i="16"/>
  <c r="L108" i="16"/>
  <c r="I109" i="16"/>
  <c r="I108" i="16"/>
  <c r="F109" i="16"/>
  <c r="F108" i="16"/>
  <c r="N106" i="16"/>
  <c r="K106" i="16"/>
  <c r="H106" i="16"/>
  <c r="E106" i="16"/>
  <c r="B2" i="25"/>
  <c r="B2" i="12"/>
  <c r="G7" i="25"/>
  <c r="I7" i="25"/>
  <c r="K7" i="25"/>
  <c r="Q7" i="25"/>
  <c r="O7" i="25"/>
  <c r="M7" i="25"/>
  <c r="J102" i="14"/>
  <c r="J103" i="14"/>
  <c r="B1" i="23"/>
  <c r="T2" i="23"/>
  <c r="X2" i="23"/>
  <c r="AB2" i="23"/>
  <c r="AF2" i="23"/>
  <c r="J4" i="21"/>
  <c r="Q10" i="21"/>
  <c r="Q11" i="21"/>
  <c r="E13" i="21"/>
  <c r="I13" i="21"/>
  <c r="G27" i="21"/>
  <c r="H27" i="21"/>
  <c r="I27" i="21"/>
  <c r="D28" i="21"/>
  <c r="E28" i="21"/>
  <c r="F28" i="21"/>
  <c r="G28" i="21"/>
  <c r="H28" i="21"/>
  <c r="I28" i="21"/>
  <c r="H13" i="16"/>
  <c r="E10" i="31" s="1"/>
  <c r="K52" i="21"/>
  <c r="K53" i="21"/>
  <c r="D4" i="22"/>
  <c r="J4" i="22"/>
  <c r="L12" i="22"/>
  <c r="N25" i="22"/>
  <c r="P25" i="22" s="1"/>
  <c r="R25" i="22"/>
  <c r="S25" i="22"/>
  <c r="J36" i="22"/>
  <c r="L36" i="22" s="1"/>
  <c r="P36" i="22" s="1"/>
  <c r="J37" i="22"/>
  <c r="L37" i="22" s="1"/>
  <c r="P37" i="22" s="1"/>
  <c r="J38" i="22"/>
  <c r="L38" i="22" s="1"/>
  <c r="P38" i="22" s="1"/>
  <c r="J39" i="22"/>
  <c r="L39" i="22" s="1"/>
  <c r="P39" i="22" s="1"/>
  <c r="L40" i="22"/>
  <c r="F42" i="22"/>
  <c r="R42" i="22"/>
  <c r="S42" i="22"/>
  <c r="D87" i="22"/>
  <c r="D88" i="22"/>
  <c r="K16" i="19"/>
  <c r="K20" i="19" s="1"/>
  <c r="K27" i="19"/>
  <c r="K41" i="19"/>
  <c r="R58" i="22"/>
  <c r="D89" i="22"/>
  <c r="D91" i="22"/>
  <c r="D92" i="22"/>
  <c r="D93" i="22"/>
  <c r="D94" i="22"/>
  <c r="J16" i="19"/>
  <c r="J20" i="19" s="1"/>
  <c r="J27" i="19"/>
  <c r="E13" i="16"/>
  <c r="E26" i="16"/>
  <c r="F26" i="16" s="1"/>
  <c r="E53" i="16"/>
  <c r="E54" i="16" s="1"/>
  <c r="E87" i="16"/>
  <c r="J41" i="19"/>
  <c r="L58" i="22"/>
  <c r="S58" i="22"/>
  <c r="C4" i="19"/>
  <c r="L16" i="19"/>
  <c r="L20" i="19" s="1"/>
  <c r="L27" i="19"/>
  <c r="L41" i="19"/>
  <c r="B2" i="17"/>
  <c r="F40" i="17"/>
  <c r="I40" i="17"/>
  <c r="L40" i="17"/>
  <c r="O40" i="17"/>
  <c r="F43" i="17"/>
  <c r="I43" i="17"/>
  <c r="L43" i="17"/>
  <c r="O43" i="17"/>
  <c r="F46" i="17"/>
  <c r="I46" i="17"/>
  <c r="L46" i="17"/>
  <c r="O46" i="17"/>
  <c r="F49" i="17"/>
  <c r="I49" i="17"/>
  <c r="L49" i="17"/>
  <c r="O49" i="17"/>
  <c r="F52" i="17"/>
  <c r="I52" i="17"/>
  <c r="L52" i="17"/>
  <c r="O52" i="17"/>
  <c r="F66" i="17"/>
  <c r="I66" i="17"/>
  <c r="L66" i="17"/>
  <c r="O66" i="17"/>
  <c r="F78" i="17"/>
  <c r="I78" i="17"/>
  <c r="L78" i="17"/>
  <c r="O78" i="17"/>
  <c r="F112" i="17"/>
  <c r="I112" i="17"/>
  <c r="L112" i="17"/>
  <c r="O112" i="17"/>
  <c r="F113" i="17"/>
  <c r="I113" i="17"/>
  <c r="L113" i="17"/>
  <c r="O113" i="17"/>
  <c r="F114" i="17"/>
  <c r="I114" i="17"/>
  <c r="I115" i="17" s="1"/>
  <c r="L114" i="17"/>
  <c r="O114" i="17"/>
  <c r="F115" i="17"/>
  <c r="L115" i="17"/>
  <c r="O115" i="17"/>
  <c r="F128" i="17"/>
  <c r="I128" i="17"/>
  <c r="L128" i="17"/>
  <c r="F132" i="17"/>
  <c r="I94" i="14" s="1"/>
  <c r="I130" i="17"/>
  <c r="I132" i="17" s="1"/>
  <c r="I134" i="17" s="1"/>
  <c r="L130" i="17"/>
  <c r="L132" i="17" s="1"/>
  <c r="L134" i="17" s="1"/>
  <c r="F141" i="17"/>
  <c r="I141" i="17"/>
  <c r="L141" i="17"/>
  <c r="O141" i="17"/>
  <c r="F142" i="17"/>
  <c r="I142" i="17"/>
  <c r="L142" i="17"/>
  <c r="O142" i="17"/>
  <c r="F146" i="17"/>
  <c r="I146" i="17"/>
  <c r="L146" i="17"/>
  <c r="O146" i="17"/>
  <c r="B2" i="16"/>
  <c r="F27" i="21"/>
  <c r="E27" i="21"/>
  <c r="AB1" i="23"/>
  <c r="AF1" i="23"/>
  <c r="H26" i="16"/>
  <c r="H27" i="16" s="1"/>
  <c r="I27" i="16" s="1"/>
  <c r="H19" i="12" s="1"/>
  <c r="K26" i="16"/>
  <c r="K27" i="16" s="1"/>
  <c r="N26" i="16"/>
  <c r="N34" i="16"/>
  <c r="N35" i="16" s="1"/>
  <c r="N42" i="16"/>
  <c r="N44" i="16" s="1"/>
  <c r="H53" i="16"/>
  <c r="H54" i="16" s="1"/>
  <c r="K53" i="16"/>
  <c r="K54" i="16" s="1"/>
  <c r="N53" i="16"/>
  <c r="N54" i="16" s="1"/>
  <c r="H87" i="16"/>
  <c r="K87" i="16"/>
  <c r="N87" i="16"/>
  <c r="E98" i="16"/>
  <c r="H98" i="16"/>
  <c r="K98" i="16"/>
  <c r="N98" i="16"/>
  <c r="F8" i="12"/>
  <c r="L7" i="12"/>
  <c r="V6" i="12" s="1"/>
  <c r="N7" i="12"/>
  <c r="W6" i="12" s="1"/>
  <c r="P7" i="12"/>
  <c r="X6" i="12" s="1"/>
  <c r="H8" i="12"/>
  <c r="F78" i="12"/>
  <c r="H78" i="12"/>
  <c r="J78" i="12"/>
  <c r="L78" i="12"/>
  <c r="N78" i="12"/>
  <c r="P78" i="12"/>
  <c r="B80" i="12"/>
  <c r="B84" i="12"/>
  <c r="B88" i="12"/>
  <c r="B2" i="2"/>
  <c r="M4" i="2"/>
  <c r="P4" i="2"/>
  <c r="Q4" i="2"/>
  <c r="N100" i="2"/>
  <c r="J24" i="20"/>
  <c r="J36" i="20"/>
  <c r="J42" i="20"/>
  <c r="K93" i="2"/>
  <c r="P93" i="2"/>
  <c r="Q93" i="2"/>
  <c r="B2" i="20"/>
  <c r="I4" i="20"/>
  <c r="L4" i="20"/>
  <c r="O4" i="20"/>
  <c r="I24" i="20"/>
  <c r="L24" i="20"/>
  <c r="M24" i="20"/>
  <c r="O24" i="20"/>
  <c r="P24" i="20"/>
  <c r="P36" i="20"/>
  <c r="P42" i="20"/>
  <c r="L36" i="20"/>
  <c r="M36" i="20"/>
  <c r="O36" i="20"/>
  <c r="O42" i="20"/>
  <c r="I39" i="20"/>
  <c r="I42" i="20" s="1"/>
  <c r="L42" i="20"/>
  <c r="M42" i="20"/>
  <c r="I46" i="20"/>
  <c r="I47" i="20" s="1"/>
  <c r="J46" i="20"/>
  <c r="J47" i="20" s="1"/>
  <c r="L46" i="20"/>
  <c r="L47" i="20" s="1"/>
  <c r="M46" i="20"/>
  <c r="M47" i="20" s="1"/>
  <c r="O46" i="20"/>
  <c r="O47" i="20" s="1"/>
  <c r="P46" i="20"/>
  <c r="P47" i="20" s="1"/>
  <c r="I48" i="20"/>
  <c r="J48" i="20"/>
  <c r="J49" i="20" s="1"/>
  <c r="L48" i="20"/>
  <c r="L49" i="20" s="1"/>
  <c r="M48" i="20"/>
  <c r="M49" i="20" s="1"/>
  <c r="O48" i="20"/>
  <c r="O49" i="20" s="1"/>
  <c r="P48" i="20"/>
  <c r="P49" i="20" s="1"/>
  <c r="I51" i="20"/>
  <c r="L51" i="20"/>
  <c r="L52" i="20" s="1"/>
  <c r="O51" i="20"/>
  <c r="O52" i="20" s="1"/>
  <c r="L69" i="20"/>
  <c r="B2" i="14"/>
  <c r="H85" i="14"/>
  <c r="K85" i="14"/>
  <c r="N85" i="14"/>
  <c r="I92" i="14"/>
  <c r="H95" i="14"/>
  <c r="K95" i="14"/>
  <c r="N95" i="14"/>
  <c r="G100" i="14"/>
  <c r="J100" i="14"/>
  <c r="M100" i="14"/>
  <c r="I101" i="14"/>
  <c r="H101" i="14" s="1"/>
  <c r="F106" i="14"/>
  <c r="F105" i="14" s="1"/>
  <c r="F107" i="14"/>
  <c r="I107" i="14" s="1"/>
  <c r="L107" i="14"/>
  <c r="O107" i="14"/>
  <c r="F109" i="14"/>
  <c r="I109" i="14" s="1"/>
  <c r="L109" i="14"/>
  <c r="O109" i="14"/>
  <c r="L111" i="14"/>
  <c r="O111" i="14"/>
  <c r="L113" i="14"/>
  <c r="O113" i="14"/>
  <c r="L115" i="14"/>
  <c r="O115" i="14"/>
  <c r="L117" i="14"/>
  <c r="O117" i="14"/>
  <c r="L119" i="14"/>
  <c r="O119" i="14"/>
  <c r="L121" i="14"/>
  <c r="O121" i="14"/>
  <c r="L123" i="14"/>
  <c r="O123" i="14"/>
  <c r="L125" i="14"/>
  <c r="O125" i="14"/>
  <c r="L128" i="14"/>
  <c r="O128" i="14"/>
  <c r="F15" i="13"/>
  <c r="F33" i="13"/>
  <c r="O57" i="13"/>
  <c r="G76" i="13"/>
  <c r="I76" i="13"/>
  <c r="K76" i="13"/>
  <c r="M76" i="13"/>
  <c r="I29" i="20"/>
  <c r="I36" i="20" s="1"/>
  <c r="G122" i="13"/>
  <c r="N122" i="13"/>
  <c r="G123" i="13"/>
  <c r="N123" i="13"/>
  <c r="G124" i="13"/>
  <c r="N124" i="13"/>
  <c r="G125" i="13"/>
  <c r="N125" i="13"/>
  <c r="G126" i="13"/>
  <c r="N126" i="13"/>
  <c r="G127" i="13"/>
  <c r="N127" i="13"/>
  <c r="F129" i="13"/>
  <c r="B131" i="13" s="1"/>
  <c r="M129" i="13"/>
  <c r="N15" i="9"/>
  <c r="L18" i="9"/>
  <c r="L72" i="9"/>
  <c r="D137" i="9"/>
  <c r="P80" i="12"/>
  <c r="P82" i="12" s="1"/>
  <c r="N80" i="12"/>
  <c r="N82" i="12" s="1"/>
  <c r="O11" i="14" l="1"/>
  <c r="I14" i="14"/>
  <c r="I46" i="22"/>
  <c r="F46" i="22"/>
  <c r="B46" i="22" s="1"/>
  <c r="M40" i="2"/>
  <c r="AK62" i="27"/>
  <c r="K9" i="12"/>
  <c r="M103" i="14"/>
  <c r="N103" i="14"/>
  <c r="M102" i="14"/>
  <c r="B103" i="14"/>
  <c r="N102" i="14"/>
  <c r="J10" i="31"/>
  <c r="O13" i="14"/>
  <c r="O12" i="14"/>
  <c r="O14" i="14"/>
  <c r="L11" i="14"/>
  <c r="L12" i="14"/>
  <c r="L14" i="14"/>
  <c r="L13" i="14"/>
  <c r="I131" i="13"/>
  <c r="J119" i="13"/>
  <c r="F10" i="31"/>
  <c r="F9" i="31" s="1"/>
  <c r="B102" i="14"/>
  <c r="H10" i="31"/>
  <c r="N10" i="31" s="1"/>
  <c r="I12" i="14"/>
  <c r="I13" i="14"/>
  <c r="I11" i="14"/>
  <c r="L80" i="12"/>
  <c r="L82" i="12" s="1"/>
  <c r="M44" i="20"/>
  <c r="P60" i="2" s="1"/>
  <c r="P63" i="2" s="1"/>
  <c r="I10" i="31"/>
  <c r="O10" i="31" s="1"/>
  <c r="D8" i="31"/>
  <c r="F8" i="31"/>
  <c r="E8" i="31"/>
  <c r="D10" i="31"/>
  <c r="U40" i="22"/>
  <c r="O40" i="22"/>
  <c r="O42" i="22" s="1"/>
  <c r="P40" i="22"/>
  <c r="P42" i="22" s="1"/>
  <c r="C57" i="31"/>
  <c r="P12" i="22"/>
  <c r="M38" i="22"/>
  <c r="M37" i="22"/>
  <c r="M40" i="22"/>
  <c r="M36" i="22"/>
  <c r="M39" i="22"/>
  <c r="H46" i="22"/>
  <c r="I10" i="16"/>
  <c r="E39" i="21"/>
  <c r="E38" i="21"/>
  <c r="E10" i="26"/>
  <c r="H122" i="14"/>
  <c r="H134" i="14" s="1"/>
  <c r="H126" i="14"/>
  <c r="K126" i="14"/>
  <c r="K122" i="14"/>
  <c r="K134" i="14" s="1"/>
  <c r="F38" i="21"/>
  <c r="I35" i="17"/>
  <c r="I139" i="17" s="1"/>
  <c r="D39" i="21"/>
  <c r="D38" i="21"/>
  <c r="O35" i="17"/>
  <c r="O139" i="17" s="1"/>
  <c r="L35" i="17"/>
  <c r="L139" i="17" s="1"/>
  <c r="S61" i="27"/>
  <c r="N126" i="14"/>
  <c r="N122" i="14"/>
  <c r="N134" i="14" s="1"/>
  <c r="I22" i="21"/>
  <c r="B17" i="21" s="1"/>
  <c r="M62" i="27"/>
  <c r="D69" i="20"/>
  <c r="F119" i="14"/>
  <c r="I119" i="14" s="1"/>
  <c r="E126" i="16"/>
  <c r="F154" i="17" s="1"/>
  <c r="F160" i="17" s="1"/>
  <c r="F161" i="17" s="1"/>
  <c r="F10" i="16"/>
  <c r="N126" i="16"/>
  <c r="O154" i="17" s="1"/>
  <c r="O160" i="17" s="1"/>
  <c r="O161" i="17" s="1"/>
  <c r="O10" i="16"/>
  <c r="H126" i="16"/>
  <c r="I154" i="17" s="1"/>
  <c r="L11" i="16"/>
  <c r="L10" i="16"/>
  <c r="L12" i="16"/>
  <c r="I23" i="14"/>
  <c r="O56" i="17"/>
  <c r="H46" i="14"/>
  <c r="E23" i="26"/>
  <c r="M10" i="26"/>
  <c r="K46" i="14"/>
  <c r="M23" i="26"/>
  <c r="T12" i="26"/>
  <c r="N46" i="14"/>
  <c r="U10" i="26"/>
  <c r="U23" i="26"/>
  <c r="U67" i="27"/>
  <c r="V66" i="27"/>
  <c r="O64" i="27"/>
  <c r="P63" i="27"/>
  <c r="AG65" i="27"/>
  <c r="AH64" i="27"/>
  <c r="X65" i="27"/>
  <c r="Y65" i="27" s="1"/>
  <c r="W65" i="27"/>
  <c r="AE63" i="27"/>
  <c r="AA66" i="27"/>
  <c r="AB65" i="27"/>
  <c r="L63" i="27"/>
  <c r="K63" i="27" s="1"/>
  <c r="AJ63" i="27"/>
  <c r="AI63" i="27"/>
  <c r="R62" i="27"/>
  <c r="S62" i="27" s="1"/>
  <c r="I65" i="27"/>
  <c r="J64" i="27"/>
  <c r="AD64" i="27"/>
  <c r="S46" i="2"/>
  <c r="D46" i="2"/>
  <c r="P103" i="2"/>
  <c r="P41" i="21"/>
  <c r="Q103" i="2"/>
  <c r="Q41" i="21"/>
  <c r="F12" i="16"/>
  <c r="J11" i="12"/>
  <c r="L12" i="26"/>
  <c r="D12" i="26"/>
  <c r="I12" i="16"/>
  <c r="B18" i="21"/>
  <c r="D17" i="21"/>
  <c r="Q44" i="21"/>
  <c r="P44" i="21"/>
  <c r="O44" i="21"/>
  <c r="N105" i="2"/>
  <c r="O42" i="21"/>
  <c r="N116" i="14"/>
  <c r="F35" i="17"/>
  <c r="F139" i="17" s="1"/>
  <c r="K28" i="19"/>
  <c r="F11" i="12"/>
  <c r="S7" i="12" s="1"/>
  <c r="F57" i="17"/>
  <c r="F140" i="17" s="1"/>
  <c r="S140" i="17" s="1"/>
  <c r="B69" i="20"/>
  <c r="C69" i="20"/>
  <c r="I92" i="17"/>
  <c r="H11" i="12"/>
  <c r="K7" i="14"/>
  <c r="I56" i="17"/>
  <c r="I24" i="14"/>
  <c r="L19" i="12" s="1"/>
  <c r="L21" i="12" s="1"/>
  <c r="N23" i="12"/>
  <c r="L126" i="17"/>
  <c r="E63" i="25" s="1"/>
  <c r="L92" i="17"/>
  <c r="F80" i="12"/>
  <c r="F82" i="12" s="1"/>
  <c r="H80" i="12"/>
  <c r="H82" i="12" s="1"/>
  <c r="E19" i="16"/>
  <c r="F13" i="16" s="1"/>
  <c r="F92" i="17"/>
  <c r="J80" i="12"/>
  <c r="J82" i="12" s="1"/>
  <c r="F126" i="17"/>
  <c r="F117" i="14" s="1"/>
  <c r="I117" i="14" s="1"/>
  <c r="O44" i="20"/>
  <c r="P44" i="20"/>
  <c r="Q8" i="2" s="1"/>
  <c r="L44" i="20"/>
  <c r="J44" i="20"/>
  <c r="M60" i="2" s="1"/>
  <c r="M63" i="2" s="1"/>
  <c r="N129" i="13"/>
  <c r="M131" i="13"/>
  <c r="F131" i="13"/>
  <c r="G129" i="13"/>
  <c r="O103" i="17"/>
  <c r="K69" i="20"/>
  <c r="O24" i="14"/>
  <c r="P19" i="12" s="1"/>
  <c r="P21" i="12" s="1"/>
  <c r="L27" i="16"/>
  <c r="F19" i="12" s="1"/>
  <c r="F23" i="12" s="1"/>
  <c r="L26" i="16"/>
  <c r="F56" i="17"/>
  <c r="H9" i="16"/>
  <c r="L34" i="17"/>
  <c r="L103" i="17"/>
  <c r="O57" i="17"/>
  <c r="O140" i="17" s="1"/>
  <c r="O54" i="17"/>
  <c r="I57" i="17"/>
  <c r="I58" i="17" s="1"/>
  <c r="L158" i="17"/>
  <c r="L57" i="17"/>
  <c r="L58" i="17" s="1"/>
  <c r="I72" i="25"/>
  <c r="I71" i="25" s="1"/>
  <c r="F67" i="17"/>
  <c r="F68" i="17" s="1"/>
  <c r="O34" i="17"/>
  <c r="F34" i="17"/>
  <c r="I158" i="17"/>
  <c r="F27" i="17"/>
  <c r="I126" i="17"/>
  <c r="I64" i="25" s="1"/>
  <c r="I62" i="25" s="1"/>
  <c r="H19" i="16"/>
  <c r="I45" i="16" s="1"/>
  <c r="F111" i="14"/>
  <c r="I111" i="14" s="1"/>
  <c r="F125" i="14"/>
  <c r="I125" i="14" s="1"/>
  <c r="F113" i="14"/>
  <c r="I113" i="14" s="1"/>
  <c r="I41" i="21"/>
  <c r="P11" i="12"/>
  <c r="O98" i="14"/>
  <c r="E27" i="16"/>
  <c r="F27" i="16" s="1"/>
  <c r="J19" i="12" s="1"/>
  <c r="L154" i="17"/>
  <c r="F103" i="17"/>
  <c r="F128" i="14" s="1"/>
  <c r="I128" i="14" s="1"/>
  <c r="I103" i="17"/>
  <c r="O81" i="17"/>
  <c r="I67" i="17"/>
  <c r="I81" i="17" s="1"/>
  <c r="L67" i="17"/>
  <c r="L81" i="17" s="1"/>
  <c r="L56" i="17"/>
  <c r="I34" i="17"/>
  <c r="O27" i="17"/>
  <c r="O28" i="17" s="1"/>
  <c r="O108" i="17" s="1"/>
  <c r="L28" i="17"/>
  <c r="I28" i="17"/>
  <c r="I108" i="17" s="1"/>
  <c r="N52" i="16"/>
  <c r="N19" i="16"/>
  <c r="O49" i="16" s="1"/>
  <c r="N9" i="16"/>
  <c r="L95" i="14"/>
  <c r="K63" i="14"/>
  <c r="K64" i="14" s="1"/>
  <c r="G29" i="21"/>
  <c r="Q123" i="2"/>
  <c r="I31" i="21"/>
  <c r="N112" i="14"/>
  <c r="O99" i="14"/>
  <c r="O45" i="25"/>
  <c r="O46" i="25" s="1"/>
  <c r="N7" i="14"/>
  <c r="I29" i="21"/>
  <c r="N18" i="14"/>
  <c r="O18" i="14" s="1"/>
  <c r="Q45" i="25"/>
  <c r="Q46" i="25" s="1"/>
  <c r="K54" i="21"/>
  <c r="M41" i="2"/>
  <c r="M43" i="2"/>
  <c r="M42" i="2"/>
  <c r="J28" i="19"/>
  <c r="L28" i="19"/>
  <c r="Q13" i="21"/>
  <c r="O13" i="21"/>
  <c r="G72" i="25"/>
  <c r="G71" i="25" s="1"/>
  <c r="K72" i="25"/>
  <c r="K71" i="25" s="1"/>
  <c r="H7" i="14"/>
  <c r="H129" i="14"/>
  <c r="H112" i="14"/>
  <c r="D31" i="21"/>
  <c r="K52" i="16"/>
  <c r="D29" i="21"/>
  <c r="L42" i="22"/>
  <c r="L69" i="22" s="1"/>
  <c r="E49" i="2"/>
  <c r="F49" i="2" s="1"/>
  <c r="I9" i="25"/>
  <c r="K13" i="25"/>
  <c r="G9" i="25"/>
  <c r="I13" i="25"/>
  <c r="G13" i="25"/>
  <c r="K9" i="25"/>
  <c r="K11" i="25" s="1"/>
  <c r="N63" i="14"/>
  <c r="Q101" i="2"/>
  <c r="T1" i="23"/>
  <c r="H35" i="16"/>
  <c r="I35" i="16" s="1"/>
  <c r="I34" i="16"/>
  <c r="N43" i="12"/>
  <c r="N50" i="12"/>
  <c r="N55" i="12"/>
  <c r="N65" i="12"/>
  <c r="P123" i="2"/>
  <c r="K18" i="14"/>
  <c r="L15" i="14" s="1"/>
  <c r="H31" i="21"/>
  <c r="H29" i="21"/>
  <c r="K112" i="14"/>
  <c r="H41" i="21"/>
  <c r="L99" i="14"/>
  <c r="K124" i="14"/>
  <c r="K114" i="14"/>
  <c r="L98" i="14"/>
  <c r="P101" i="2"/>
  <c r="K129" i="14"/>
  <c r="N11" i="12"/>
  <c r="H63" i="14"/>
  <c r="P122" i="2"/>
  <c r="K116" i="14"/>
  <c r="L65" i="12"/>
  <c r="L43" i="12"/>
  <c r="L50" i="12"/>
  <c r="L55" i="12"/>
  <c r="M45" i="25"/>
  <c r="M46" i="25" s="1"/>
  <c r="H18" i="14"/>
  <c r="B9" i="14" s="1"/>
  <c r="H124" i="14"/>
  <c r="L11" i="12"/>
  <c r="H114" i="14"/>
  <c r="G31" i="21"/>
  <c r="M122" i="2"/>
  <c r="H116" i="14"/>
  <c r="I99" i="14"/>
  <c r="M123" i="2"/>
  <c r="G41" i="21"/>
  <c r="I98" i="14"/>
  <c r="O23" i="14"/>
  <c r="P50" i="12"/>
  <c r="P55" i="12"/>
  <c r="P65" i="12"/>
  <c r="P43" i="12"/>
  <c r="Q122" i="2"/>
  <c r="N129" i="14"/>
  <c r="N114" i="14"/>
  <c r="N124" i="14"/>
  <c r="O95" i="14"/>
  <c r="E95" i="16"/>
  <c r="L64" i="17"/>
  <c r="H52" i="16"/>
  <c r="K95" i="16"/>
  <c r="M125" i="17"/>
  <c r="M126" i="17" s="1"/>
  <c r="D27" i="21"/>
  <c r="E29" i="21"/>
  <c r="F134" i="17"/>
  <c r="I95" i="14" s="1"/>
  <c r="K9" i="16"/>
  <c r="X1" i="23"/>
  <c r="K19" i="16"/>
  <c r="L54" i="16" s="1"/>
  <c r="N60" i="16"/>
  <c r="N63" i="16" s="1"/>
  <c r="E52" i="16"/>
  <c r="F123" i="14"/>
  <c r="I123" i="14" s="1"/>
  <c r="E9" i="16"/>
  <c r="O12" i="16"/>
  <c r="F54" i="17"/>
  <c r="F64" i="17"/>
  <c r="I54" i="17"/>
  <c r="E31" i="21"/>
  <c r="F31" i="21"/>
  <c r="F115" i="14"/>
  <c r="I115" i="14" s="1"/>
  <c r="O11" i="16"/>
  <c r="F11" i="16"/>
  <c r="I11" i="16"/>
  <c r="J125" i="17"/>
  <c r="J126" i="17" s="1"/>
  <c r="H21" i="12"/>
  <c r="H23" i="12"/>
  <c r="O35" i="16"/>
  <c r="O34" i="16"/>
  <c r="N95" i="16"/>
  <c r="O26" i="16"/>
  <c r="H95" i="16"/>
  <c r="E35" i="16"/>
  <c r="F35" i="16" s="1"/>
  <c r="F34" i="16"/>
  <c r="H60" i="16"/>
  <c r="G128" i="17"/>
  <c r="N27" i="16"/>
  <c r="O27" i="16" s="1"/>
  <c r="I26" i="16"/>
  <c r="L34" i="16"/>
  <c r="F43" i="12"/>
  <c r="F65" i="12"/>
  <c r="F55" i="12"/>
  <c r="F50" i="12"/>
  <c r="J43" i="12"/>
  <c r="J50" i="12"/>
  <c r="J65" i="12"/>
  <c r="J55" i="12"/>
  <c r="H65" i="12"/>
  <c r="H55" i="12"/>
  <c r="H43" i="12"/>
  <c r="H50" i="12"/>
  <c r="E60" i="16"/>
  <c r="E63" i="16" s="1"/>
  <c r="K60" i="16"/>
  <c r="G125" i="17"/>
  <c r="L54" i="17"/>
  <c r="O68" i="17"/>
  <c r="I64" i="17"/>
  <c r="O64" i="17"/>
  <c r="M66" i="25"/>
  <c r="E48" i="2"/>
  <c r="N28" i="2"/>
  <c r="G46" i="2"/>
  <c r="G50" i="2" s="1"/>
  <c r="I50" i="2" s="1"/>
  <c r="Q62" i="25"/>
  <c r="Q63" i="25"/>
  <c r="M62" i="25"/>
  <c r="O62" i="25"/>
  <c r="O63" i="25"/>
  <c r="M68" i="25"/>
  <c r="O68" i="25"/>
  <c r="O69" i="25"/>
  <c r="Q68" i="25"/>
  <c r="Q69" i="25"/>
  <c r="K66" i="25"/>
  <c r="G65" i="25"/>
  <c r="G66" i="25"/>
  <c r="M65" i="25"/>
  <c r="Q65" i="25"/>
  <c r="Q66" i="25"/>
  <c r="I65" i="25"/>
  <c r="I66" i="25"/>
  <c r="O65" i="25"/>
  <c r="O66" i="25"/>
  <c r="P8" i="2"/>
  <c r="I49" i="20"/>
  <c r="J69" i="20"/>
  <c r="I69" i="20"/>
  <c r="I44" i="20"/>
  <c r="O28" i="21" s="1"/>
  <c r="J25" i="12" l="1"/>
  <c r="O25" i="12" s="1"/>
  <c r="Q25" i="12" s="1"/>
  <c r="L23" i="12"/>
  <c r="P23" i="12"/>
  <c r="P112" i="2"/>
  <c r="N21" i="12"/>
  <c r="F21" i="12"/>
  <c r="H9" i="31"/>
  <c r="I9" i="31"/>
  <c r="J9" i="31"/>
  <c r="Q17" i="31"/>
  <c r="G17" i="31"/>
  <c r="P120" i="2"/>
  <c r="P10" i="31"/>
  <c r="D9" i="31"/>
  <c r="E9" i="31"/>
  <c r="G8" i="31"/>
  <c r="G26" i="31" s="1"/>
  <c r="U42" i="22"/>
  <c r="H57" i="31"/>
  <c r="M115" i="2"/>
  <c r="P115" i="2" s="1"/>
  <c r="L60" i="22"/>
  <c r="M60" i="22" s="1"/>
  <c r="Q120" i="2"/>
  <c r="M120" i="2"/>
  <c r="AG8" i="23"/>
  <c r="AG11" i="23"/>
  <c r="AG7" i="23"/>
  <c r="AG10" i="23"/>
  <c r="AG6" i="23"/>
  <c r="AG9" i="23"/>
  <c r="O143" i="17"/>
  <c r="F39" i="21"/>
  <c r="F28" i="17"/>
  <c r="F108" i="17" s="1"/>
  <c r="L108" i="17"/>
  <c r="M35" i="17" s="1"/>
  <c r="M63" i="27"/>
  <c r="Q9" i="2"/>
  <c r="Q28" i="21"/>
  <c r="P9" i="2"/>
  <c r="P28" i="21"/>
  <c r="F143" i="17"/>
  <c r="G139" i="17" s="1"/>
  <c r="F58" i="17"/>
  <c r="P12" i="12"/>
  <c r="N108" i="14"/>
  <c r="N132" i="14" s="1"/>
  <c r="N30" i="14"/>
  <c r="K108" i="14"/>
  <c r="K132" i="14" s="1"/>
  <c r="K30" i="14"/>
  <c r="H30" i="14"/>
  <c r="H108" i="14"/>
  <c r="H132" i="14" s="1"/>
  <c r="W7" i="12"/>
  <c r="H23" i="26"/>
  <c r="H12" i="26"/>
  <c r="G12" i="26" s="1"/>
  <c r="R63" i="27"/>
  <c r="S63" i="27" s="1"/>
  <c r="I66" i="27"/>
  <c r="J65" i="27"/>
  <c r="AE64" i="27"/>
  <c r="AI64" i="27"/>
  <c r="AI17" i="27" s="1"/>
  <c r="AJ64" i="27"/>
  <c r="AJ17" i="27" s="1"/>
  <c r="AK17" i="27" s="1"/>
  <c r="W66" i="27"/>
  <c r="X66" i="27"/>
  <c r="Y66" i="27" s="1"/>
  <c r="AC64" i="27"/>
  <c r="Q62" i="27"/>
  <c r="AG66" i="27"/>
  <c r="AH65" i="27"/>
  <c r="AD65" i="27"/>
  <c r="AC65" i="27" s="1"/>
  <c r="L64" i="27"/>
  <c r="K64" i="27" s="1"/>
  <c r="K17" i="27" s="1"/>
  <c r="AK63" i="27"/>
  <c r="AA67" i="27"/>
  <c r="AB66" i="27"/>
  <c r="O65" i="27"/>
  <c r="P64" i="27"/>
  <c r="U68" i="27"/>
  <c r="V67" i="27"/>
  <c r="I50" i="21"/>
  <c r="I55" i="21" s="1"/>
  <c r="I56" i="21" s="1"/>
  <c r="E50" i="21"/>
  <c r="E55" i="21" s="1"/>
  <c r="E56" i="21" s="1"/>
  <c r="H50" i="21"/>
  <c r="H55" i="21" s="1"/>
  <c r="H56" i="21" s="1"/>
  <c r="D50" i="21"/>
  <c r="G50" i="21"/>
  <c r="G55" i="21" s="1"/>
  <c r="G56" i="21" s="1"/>
  <c r="J50" i="21"/>
  <c r="F50" i="21"/>
  <c r="F55" i="21" s="1"/>
  <c r="F56" i="21" s="1"/>
  <c r="D22" i="21"/>
  <c r="C56" i="21" s="1"/>
  <c r="J51" i="21"/>
  <c r="E72" i="16"/>
  <c r="F54" i="16"/>
  <c r="K72" i="16"/>
  <c r="K63" i="16"/>
  <c r="H72" i="16"/>
  <c r="H63" i="16"/>
  <c r="O58" i="17"/>
  <c r="F49" i="16"/>
  <c r="G64" i="25"/>
  <c r="G62" i="25" s="1"/>
  <c r="F45" i="16"/>
  <c r="K14" i="25"/>
  <c r="N122" i="2"/>
  <c r="K66" i="14"/>
  <c r="K67" i="14" s="1"/>
  <c r="F19" i="16"/>
  <c r="K64" i="25"/>
  <c r="M63" i="25" s="1"/>
  <c r="F42" i="16"/>
  <c r="K70" i="25"/>
  <c r="M69" i="25" s="1"/>
  <c r="E103" i="16"/>
  <c r="F103" i="16" s="1"/>
  <c r="E36" i="16"/>
  <c r="F36" i="16" s="1"/>
  <c r="J27" i="12" s="1"/>
  <c r="M117" i="2"/>
  <c r="P117" i="2" s="1"/>
  <c r="Q117" i="2" s="1"/>
  <c r="M8" i="2"/>
  <c r="M112" i="2"/>
  <c r="Q112" i="2"/>
  <c r="Q60" i="2"/>
  <c r="Q63" i="2" s="1"/>
  <c r="L36" i="17"/>
  <c r="D40" i="21" s="1"/>
  <c r="X7" i="12"/>
  <c r="O46" i="14"/>
  <c r="O39" i="14"/>
  <c r="L160" i="17"/>
  <c r="L161" i="17" s="1"/>
  <c r="L163" i="17" s="1"/>
  <c r="G22" i="25" s="1"/>
  <c r="G24" i="25" s="1"/>
  <c r="L140" i="17"/>
  <c r="L143" i="17" s="1"/>
  <c r="M140" i="17" s="1"/>
  <c r="L93" i="17"/>
  <c r="O93" i="17"/>
  <c r="I49" i="16"/>
  <c r="I42" i="16"/>
  <c r="H36" i="16"/>
  <c r="I70" i="25"/>
  <c r="I68" i="25" s="1"/>
  <c r="I54" i="16"/>
  <c r="F12" i="12"/>
  <c r="I13" i="16"/>
  <c r="L19" i="16"/>
  <c r="I140" i="17"/>
  <c r="I143" i="17" s="1"/>
  <c r="J140" i="17" s="1"/>
  <c r="L144" i="17"/>
  <c r="F81" i="17"/>
  <c r="F121" i="14" s="1"/>
  <c r="I121" i="14" s="1"/>
  <c r="I93" i="17"/>
  <c r="I50" i="25" s="1"/>
  <c r="I68" i="17"/>
  <c r="I19" i="16"/>
  <c r="O19" i="16"/>
  <c r="L68" i="17"/>
  <c r="O36" i="17"/>
  <c r="E43" i="25" s="1"/>
  <c r="O144" i="17"/>
  <c r="J28" i="17"/>
  <c r="I36" i="17"/>
  <c r="I144" i="17"/>
  <c r="N128" i="16"/>
  <c r="N72" i="16"/>
  <c r="F152" i="17"/>
  <c r="F155" i="17" s="1"/>
  <c r="E69" i="25"/>
  <c r="O54" i="16"/>
  <c r="J15" i="12"/>
  <c r="J9" i="12"/>
  <c r="O13" i="16"/>
  <c r="F15" i="12"/>
  <c r="N36" i="16"/>
  <c r="N43" i="16" s="1"/>
  <c r="O45" i="16"/>
  <c r="O42" i="16"/>
  <c r="O15" i="14"/>
  <c r="J12" i="12"/>
  <c r="U7" i="12"/>
  <c r="N12" i="12"/>
  <c r="H12" i="12"/>
  <c r="T7" i="12"/>
  <c r="P15" i="12"/>
  <c r="M46" i="2"/>
  <c r="L12" i="12"/>
  <c r="N15" i="12"/>
  <c r="L15" i="12"/>
  <c r="V7" i="12"/>
  <c r="L95" i="16"/>
  <c r="L13" i="16"/>
  <c r="G70" i="25"/>
  <c r="K36" i="16"/>
  <c r="K43" i="16" s="1"/>
  <c r="L42" i="16"/>
  <c r="V40" i="22"/>
  <c r="V42" i="22" s="1"/>
  <c r="M11" i="25"/>
  <c r="G42" i="25"/>
  <c r="G11" i="25"/>
  <c r="N64" i="14"/>
  <c r="N66" i="14"/>
  <c r="I18" i="14"/>
  <c r="I15" i="14"/>
  <c r="H66" i="14"/>
  <c r="H64" i="14"/>
  <c r="L46" i="14"/>
  <c r="L18" i="14"/>
  <c r="I39" i="14"/>
  <c r="L39" i="14"/>
  <c r="I46" i="14"/>
  <c r="K103" i="16"/>
  <c r="L103" i="16" s="1"/>
  <c r="L152" i="17"/>
  <c r="L155" i="17" s="1"/>
  <c r="F95" i="16"/>
  <c r="F29" i="21"/>
  <c r="L49" i="16"/>
  <c r="I152" i="17"/>
  <c r="I155" i="17" s="1"/>
  <c r="L45" i="16"/>
  <c r="H15" i="12"/>
  <c r="O152" i="17"/>
  <c r="O155" i="17" s="1"/>
  <c r="I160" i="17"/>
  <c r="I161" i="17" s="1"/>
  <c r="H128" i="16"/>
  <c r="H67" i="12" s="1"/>
  <c r="E128" i="16"/>
  <c r="J67" i="12" s="1"/>
  <c r="J21" i="12"/>
  <c r="J23" i="12"/>
  <c r="O163" i="17"/>
  <c r="G126" i="17"/>
  <c r="K118" i="14" s="1"/>
  <c r="I95" i="16"/>
  <c r="H103" i="16"/>
  <c r="I103" i="16" s="1"/>
  <c r="K128" i="16"/>
  <c r="F67" i="12" s="1"/>
  <c r="O95" i="16"/>
  <c r="N103" i="16"/>
  <c r="O103" i="16" s="1"/>
  <c r="F163" i="17"/>
  <c r="N40" i="2"/>
  <c r="N41" i="2"/>
  <c r="N43" i="2"/>
  <c r="X44" i="2"/>
  <c r="X48" i="2" s="1"/>
  <c r="F48" i="2"/>
  <c r="N42" i="2"/>
  <c r="N44" i="2"/>
  <c r="J57" i="31" s="1"/>
  <c r="M69" i="20"/>
  <c r="I52" i="20"/>
  <c r="M9" i="2"/>
  <c r="H118" i="14" l="1"/>
  <c r="H133" i="14" s="1"/>
  <c r="H135" i="14" s="1"/>
  <c r="N118" i="14"/>
  <c r="N133" i="14" s="1"/>
  <c r="N135" i="14" s="1"/>
  <c r="M92" i="17"/>
  <c r="J17" i="12"/>
  <c r="O17" i="12" s="1"/>
  <c r="Q17" i="12" s="1"/>
  <c r="N40" i="14"/>
  <c r="N53" i="14" s="1"/>
  <c r="J12" i="31" s="1"/>
  <c r="J11" i="31" s="1"/>
  <c r="P12" i="31" s="1"/>
  <c r="N31" i="14"/>
  <c r="O31" i="14" s="1"/>
  <c r="K40" i="14"/>
  <c r="N35" i="12" s="1"/>
  <c r="N36" i="12" s="1"/>
  <c r="K31" i="14"/>
  <c r="L31" i="14" s="1"/>
  <c r="H40" i="14"/>
  <c r="H53" i="14" s="1"/>
  <c r="H12" i="31" s="1"/>
  <c r="H11" i="31" s="1"/>
  <c r="N12" i="31" s="1"/>
  <c r="H31" i="14"/>
  <c r="I31" i="14" s="1"/>
  <c r="L147" i="17"/>
  <c r="L148" i="17" s="1"/>
  <c r="L149" i="17" s="1"/>
  <c r="G10" i="31"/>
  <c r="Q10" i="31"/>
  <c r="F144" i="17"/>
  <c r="F147" i="17" s="1"/>
  <c r="Q26" i="31"/>
  <c r="J27" i="31"/>
  <c r="M26" i="22"/>
  <c r="G39" i="21"/>
  <c r="M58" i="22"/>
  <c r="M42" i="22"/>
  <c r="M79" i="17"/>
  <c r="K58" i="16"/>
  <c r="F44" i="12" s="1"/>
  <c r="F35" i="12"/>
  <c r="F36" i="12" s="1"/>
  <c r="I41" i="25"/>
  <c r="I44" i="25" s="1"/>
  <c r="E40" i="21"/>
  <c r="L17" i="27"/>
  <c r="M17" i="27" s="1"/>
  <c r="M64" i="27"/>
  <c r="M90" i="17"/>
  <c r="M19" i="17"/>
  <c r="G142" i="17"/>
  <c r="M27" i="17"/>
  <c r="M67" i="17"/>
  <c r="M85" i="17"/>
  <c r="AD5" i="23"/>
  <c r="M102" i="17"/>
  <c r="L156" i="17"/>
  <c r="G18" i="25" s="1"/>
  <c r="M97" i="17"/>
  <c r="M57" i="17"/>
  <c r="AB13" i="23"/>
  <c r="AB8" i="23"/>
  <c r="G145" i="17"/>
  <c r="G146" i="17"/>
  <c r="F36" i="17"/>
  <c r="K41" i="25" s="1"/>
  <c r="G28" i="17"/>
  <c r="P57" i="17"/>
  <c r="P35" i="17"/>
  <c r="M28" i="17"/>
  <c r="M81" i="17"/>
  <c r="M25" i="17"/>
  <c r="G141" i="17"/>
  <c r="G140" i="17"/>
  <c r="I105" i="17"/>
  <c r="I104" i="17"/>
  <c r="H32" i="14"/>
  <c r="D13" i="26" s="1"/>
  <c r="K32" i="14"/>
  <c r="L13" i="26" s="1"/>
  <c r="G50" i="25"/>
  <c r="L105" i="17"/>
  <c r="L104" i="17"/>
  <c r="G41" i="25"/>
  <c r="O105" i="17"/>
  <c r="O104" i="17"/>
  <c r="O30" i="14"/>
  <c r="N82" i="14"/>
  <c r="I30" i="14"/>
  <c r="H82" i="14"/>
  <c r="K82" i="14"/>
  <c r="L30" i="14"/>
  <c r="N32" i="14"/>
  <c r="AK64" i="27"/>
  <c r="AH17" i="27"/>
  <c r="J12" i="26"/>
  <c r="H13" i="26"/>
  <c r="J13" i="26" s="1"/>
  <c r="J23" i="26"/>
  <c r="P12" i="26"/>
  <c r="U69" i="27"/>
  <c r="V68" i="27"/>
  <c r="AA68" i="27"/>
  <c r="AB67" i="27"/>
  <c r="I67" i="27"/>
  <c r="J66" i="27"/>
  <c r="R64" i="27"/>
  <c r="Q64" i="27" s="1"/>
  <c r="Q17" i="27" s="1"/>
  <c r="O66" i="27"/>
  <c r="P65" i="27"/>
  <c r="Q63" i="27"/>
  <c r="AG67" i="27"/>
  <c r="AH66" i="27"/>
  <c r="W67" i="27"/>
  <c r="X67" i="27"/>
  <c r="Y67" i="27" s="1"/>
  <c r="AD66" i="27"/>
  <c r="AC66" i="27" s="1"/>
  <c r="AJ65" i="27"/>
  <c r="AI65" i="27"/>
  <c r="L65" i="27"/>
  <c r="K65" i="27" s="1"/>
  <c r="AE65" i="27"/>
  <c r="K50" i="21"/>
  <c r="D55" i="21"/>
  <c r="D56" i="21" s="1"/>
  <c r="J55" i="21"/>
  <c r="K51" i="21"/>
  <c r="G57" i="21" s="1"/>
  <c r="S48" i="2"/>
  <c r="S44" i="2"/>
  <c r="G63" i="25"/>
  <c r="O40" i="14"/>
  <c r="K63" i="25"/>
  <c r="I63" i="25"/>
  <c r="O43" i="16"/>
  <c r="N58" i="16"/>
  <c r="N62" i="16" s="1"/>
  <c r="L66" i="14"/>
  <c r="M103" i="2"/>
  <c r="O41" i="21"/>
  <c r="G14" i="25"/>
  <c r="I14" i="25"/>
  <c r="K62" i="25"/>
  <c r="M118" i="2"/>
  <c r="K68" i="25"/>
  <c r="H43" i="16"/>
  <c r="H58" i="16" s="1"/>
  <c r="E43" i="16"/>
  <c r="K69" i="25"/>
  <c r="K15" i="25"/>
  <c r="O150" i="17"/>
  <c r="J141" i="17"/>
  <c r="J145" i="17"/>
  <c r="L150" i="17"/>
  <c r="J139" i="17"/>
  <c r="J142" i="17"/>
  <c r="J146" i="17"/>
  <c r="AB11" i="23"/>
  <c r="P38" i="12"/>
  <c r="I36" i="16"/>
  <c r="H27" i="12" s="1"/>
  <c r="H29" i="12" s="1"/>
  <c r="AF9" i="23"/>
  <c r="AH9" i="23" s="1"/>
  <c r="L36" i="16"/>
  <c r="F27" i="12" s="1"/>
  <c r="F29" i="12" s="1"/>
  <c r="F93" i="17"/>
  <c r="I150" i="17"/>
  <c r="I42" i="25"/>
  <c r="G69" i="25"/>
  <c r="P142" i="17"/>
  <c r="M141" i="17"/>
  <c r="M139" i="17"/>
  <c r="M146" i="17"/>
  <c r="P146" i="17"/>
  <c r="P145" i="17"/>
  <c r="P139" i="17"/>
  <c r="P140" i="17"/>
  <c r="M145" i="17"/>
  <c r="M142" i="17"/>
  <c r="P141" i="17"/>
  <c r="M144" i="17"/>
  <c r="M147" i="17"/>
  <c r="P92" i="17"/>
  <c r="O156" i="17"/>
  <c r="O162" i="17" s="1"/>
  <c r="G92" i="17"/>
  <c r="I156" i="17"/>
  <c r="J92" i="17"/>
  <c r="J144" i="17"/>
  <c r="G57" i="17"/>
  <c r="H13" i="23"/>
  <c r="G102" i="17"/>
  <c r="G85" i="17"/>
  <c r="G67" i="17"/>
  <c r="T13" i="23"/>
  <c r="T8" i="23"/>
  <c r="G79" i="17"/>
  <c r="P13" i="23"/>
  <c r="G25" i="17"/>
  <c r="G27" i="17"/>
  <c r="G81" i="17"/>
  <c r="G35" i="17"/>
  <c r="G90" i="17"/>
  <c r="G97" i="17"/>
  <c r="V5" i="23"/>
  <c r="L13" i="23"/>
  <c r="G19" i="17"/>
  <c r="P90" i="17"/>
  <c r="P67" i="17"/>
  <c r="O147" i="17"/>
  <c r="P27" i="17"/>
  <c r="P79" i="17"/>
  <c r="AH5" i="23"/>
  <c r="AF8" i="23"/>
  <c r="AH8" i="23" s="1"/>
  <c r="P81" i="17"/>
  <c r="P85" i="17"/>
  <c r="P97" i="17"/>
  <c r="P25" i="17"/>
  <c r="P102" i="17"/>
  <c r="AF13" i="23"/>
  <c r="P19" i="17"/>
  <c r="AF11" i="23"/>
  <c r="AH11" i="23" s="1"/>
  <c r="AB7" i="23"/>
  <c r="P144" i="17"/>
  <c r="J85" i="17"/>
  <c r="X13" i="23"/>
  <c r="I147" i="17"/>
  <c r="Z5" i="23"/>
  <c r="J102" i="17"/>
  <c r="J97" i="17"/>
  <c r="J79" i="17"/>
  <c r="J27" i="17"/>
  <c r="J90" i="17"/>
  <c r="J81" i="17"/>
  <c r="J35" i="17"/>
  <c r="J67" i="17"/>
  <c r="J25" i="17"/>
  <c r="X8" i="23"/>
  <c r="J57" i="17"/>
  <c r="J19" i="17"/>
  <c r="X11" i="23"/>
  <c r="F156" i="17"/>
  <c r="P28" i="17"/>
  <c r="O36" i="16"/>
  <c r="I69" i="25"/>
  <c r="I15" i="25"/>
  <c r="K22" i="25"/>
  <c r="K24" i="25" s="1"/>
  <c r="G15" i="25"/>
  <c r="G68" i="25"/>
  <c r="O66" i="14"/>
  <c r="N67" i="14"/>
  <c r="H67" i="14"/>
  <c r="I66" i="14"/>
  <c r="K133" i="14"/>
  <c r="K135" i="14" s="1"/>
  <c r="N75" i="16"/>
  <c r="N73" i="16"/>
  <c r="O73" i="16" s="1"/>
  <c r="L43" i="16"/>
  <c r="AB9" i="23"/>
  <c r="AC9" i="23" s="1"/>
  <c r="F38" i="12"/>
  <c r="J29" i="12"/>
  <c r="J31" i="12"/>
  <c r="F164" i="17"/>
  <c r="L164" i="17"/>
  <c r="I163" i="17"/>
  <c r="Q115" i="2"/>
  <c r="P118" i="2"/>
  <c r="H39" i="21"/>
  <c r="L38" i="12" l="1"/>
  <c r="L39" i="12" s="1"/>
  <c r="I40" i="14"/>
  <c r="L35" i="12"/>
  <c r="L36" i="12" s="1"/>
  <c r="T9" i="23"/>
  <c r="J35" i="12"/>
  <c r="J36" i="12" s="1"/>
  <c r="G17" i="25"/>
  <c r="M35" i="25"/>
  <c r="N35" i="25" s="1"/>
  <c r="Q35" i="25"/>
  <c r="F45" i="12"/>
  <c r="F47" i="12" s="1"/>
  <c r="F31" i="12"/>
  <c r="N57" i="14"/>
  <c r="P51" i="12" s="1"/>
  <c r="P52" i="12" s="1"/>
  <c r="P54" i="12" s="1"/>
  <c r="P35" i="12"/>
  <c r="P36" i="12" s="1"/>
  <c r="N38" i="12"/>
  <c r="N42" i="12" s="1"/>
  <c r="L40" i="14"/>
  <c r="K53" i="14"/>
  <c r="K124" i="2"/>
  <c r="T11" i="23"/>
  <c r="U11" i="23" s="1"/>
  <c r="V11" i="23" s="1"/>
  <c r="G144" i="17"/>
  <c r="I12" i="31"/>
  <c r="I11" i="31" s="1"/>
  <c r="N58" i="14"/>
  <c r="N81" i="14" s="1"/>
  <c r="T16" i="26" s="1"/>
  <c r="U16" i="26" s="1"/>
  <c r="N136" i="14"/>
  <c r="P67" i="12" s="1"/>
  <c r="H58" i="14"/>
  <c r="H81" i="14" s="1"/>
  <c r="H136" i="14"/>
  <c r="L67" i="12" s="1"/>
  <c r="H57" i="14"/>
  <c r="H62" i="16"/>
  <c r="E12" i="31"/>
  <c r="E11" i="31" s="1"/>
  <c r="K62" i="16"/>
  <c r="D12" i="31"/>
  <c r="G44" i="25"/>
  <c r="I43" i="25" s="1"/>
  <c r="F42" i="12"/>
  <c r="F40" i="12"/>
  <c r="P39" i="12"/>
  <c r="L40" i="12"/>
  <c r="X12" i="26"/>
  <c r="W12" i="26" s="1"/>
  <c r="O12" i="26"/>
  <c r="P16" i="26" s="1"/>
  <c r="AK65" i="27"/>
  <c r="I45" i="25"/>
  <c r="I46" i="25" s="1"/>
  <c r="E41" i="21"/>
  <c r="G45" i="25"/>
  <c r="G46" i="25" s="1"/>
  <c r="D41" i="21"/>
  <c r="F40" i="21"/>
  <c r="J17" i="27"/>
  <c r="U8" i="23"/>
  <c r="V8" i="23" s="1"/>
  <c r="U9" i="23"/>
  <c r="V9" i="23" s="1"/>
  <c r="Y11" i="23"/>
  <c r="Z11" i="23" s="1"/>
  <c r="Y8" i="23"/>
  <c r="Z8" i="23" s="1"/>
  <c r="AC8" i="23"/>
  <c r="AD8" i="23" s="1"/>
  <c r="AC7" i="23"/>
  <c r="AD7" i="23" s="1"/>
  <c r="AC11" i="23"/>
  <c r="AD11" i="23" s="1"/>
  <c r="AD9" i="23"/>
  <c r="L162" i="17"/>
  <c r="L157" i="17"/>
  <c r="X9" i="23"/>
  <c r="M65" i="27"/>
  <c r="I32" i="14"/>
  <c r="I157" i="17"/>
  <c r="I18" i="25"/>
  <c r="F162" i="17"/>
  <c r="K18" i="25"/>
  <c r="I106" i="17"/>
  <c r="L106" i="17"/>
  <c r="T14" i="26"/>
  <c r="U14" i="26" s="1"/>
  <c r="L32" i="14"/>
  <c r="L151" i="17"/>
  <c r="O106" i="17"/>
  <c r="O117" i="17" s="1"/>
  <c r="I82" i="14"/>
  <c r="H88" i="14"/>
  <c r="I88" i="14" s="1"/>
  <c r="O32" i="14"/>
  <c r="D14" i="26"/>
  <c r="E14" i="26" s="1"/>
  <c r="T13" i="26"/>
  <c r="K88" i="14"/>
  <c r="L88" i="14" s="1"/>
  <c r="L82" i="14"/>
  <c r="L14" i="26"/>
  <c r="M14" i="26" s="1"/>
  <c r="O82" i="14"/>
  <c r="N88" i="14"/>
  <c r="O88" i="14" s="1"/>
  <c r="Z12" i="26"/>
  <c r="X23" i="26"/>
  <c r="R12" i="26"/>
  <c r="P23" i="26"/>
  <c r="P14" i="26"/>
  <c r="R14" i="26" s="1"/>
  <c r="P13" i="26"/>
  <c r="R13" i="26" s="1"/>
  <c r="AE66" i="27"/>
  <c r="R65" i="27"/>
  <c r="Q65" i="27"/>
  <c r="L66" i="27"/>
  <c r="K66" i="27"/>
  <c r="X68" i="27"/>
  <c r="Y68" i="27" s="1"/>
  <c r="W68" i="27"/>
  <c r="AJ66" i="27"/>
  <c r="AI66" i="27"/>
  <c r="O67" i="27"/>
  <c r="P66" i="27"/>
  <c r="I68" i="27"/>
  <c r="J67" i="27"/>
  <c r="U70" i="27"/>
  <c r="V69" i="27"/>
  <c r="R17" i="27"/>
  <c r="AD67" i="27"/>
  <c r="AC67" i="27" s="1"/>
  <c r="S64" i="27"/>
  <c r="S65" i="27" s="1"/>
  <c r="AG68" i="27"/>
  <c r="AH67" i="27"/>
  <c r="AA69" i="27"/>
  <c r="AB68" i="27"/>
  <c r="H14" i="26"/>
  <c r="H15" i="26" s="1"/>
  <c r="M14" i="25"/>
  <c r="H16" i="26"/>
  <c r="J16" i="26" s="1"/>
  <c r="J56" i="21"/>
  <c r="D57" i="21" s="1"/>
  <c r="J57" i="21" s="1"/>
  <c r="Q54" i="21" s="1"/>
  <c r="K55" i="21"/>
  <c r="Q34" i="25"/>
  <c r="Q38" i="25" s="1"/>
  <c r="R23" i="26"/>
  <c r="P44" i="12"/>
  <c r="P49" i="12" s="1"/>
  <c r="K50" i="25"/>
  <c r="F104" i="17"/>
  <c r="F41" i="21" s="1"/>
  <c r="F105" i="17"/>
  <c r="M10" i="2" s="1"/>
  <c r="O29" i="21" s="1"/>
  <c r="J38" i="12"/>
  <c r="E58" i="16"/>
  <c r="F157" i="17"/>
  <c r="I162" i="17"/>
  <c r="I32" i="21"/>
  <c r="O53" i="14"/>
  <c r="H35" i="12"/>
  <c r="H36" i="12" s="1"/>
  <c r="H31" i="12"/>
  <c r="I43" i="16"/>
  <c r="H38" i="12"/>
  <c r="F43" i="16"/>
  <c r="I151" i="17"/>
  <c r="F66" i="12"/>
  <c r="F150" i="17"/>
  <c r="F151" i="17" s="1"/>
  <c r="H66" i="12"/>
  <c r="K44" i="25"/>
  <c r="H44" i="12"/>
  <c r="M34" i="25"/>
  <c r="M36" i="25" s="1"/>
  <c r="L44" i="12"/>
  <c r="L45" i="12" s="1"/>
  <c r="L47" i="12" s="1"/>
  <c r="O58" i="16"/>
  <c r="H127" i="14"/>
  <c r="N127" i="14"/>
  <c r="P147" i="17"/>
  <c r="O148" i="17"/>
  <c r="G147" i="17"/>
  <c r="F148" i="17"/>
  <c r="I148" i="17"/>
  <c r="J147" i="17"/>
  <c r="AF6" i="23"/>
  <c r="AH6" i="23" s="1"/>
  <c r="I22" i="25"/>
  <c r="I24" i="25" s="1"/>
  <c r="G20" i="25"/>
  <c r="I53" i="14"/>
  <c r="G32" i="21"/>
  <c r="I33" i="21"/>
  <c r="K127" i="14"/>
  <c r="L127" i="14" s="1"/>
  <c r="N76" i="16"/>
  <c r="N94" i="16" s="1"/>
  <c r="O75" i="16"/>
  <c r="D32" i="21"/>
  <c r="L58" i="16"/>
  <c r="H22" i="25"/>
  <c r="G26" i="25"/>
  <c r="L22" i="25"/>
  <c r="K26" i="25"/>
  <c r="F39" i="12"/>
  <c r="I58" i="16"/>
  <c r="E32" i="21"/>
  <c r="O62" i="16"/>
  <c r="N77" i="16"/>
  <c r="I164" i="17"/>
  <c r="O14" i="25"/>
  <c r="I39" i="21"/>
  <c r="Q118" i="2"/>
  <c r="L42" i="12" l="1"/>
  <c r="O57" i="14"/>
  <c r="I20" i="25"/>
  <c r="K20" i="25"/>
  <c r="H32" i="21"/>
  <c r="O35" i="25"/>
  <c r="P35" i="25" s="1"/>
  <c r="M13" i="26"/>
  <c r="N27" i="12"/>
  <c r="N29" i="12" s="1"/>
  <c r="E13" i="26"/>
  <c r="L27" i="12"/>
  <c r="L29" i="12" s="1"/>
  <c r="U13" i="26"/>
  <c r="P27" i="12"/>
  <c r="I127" i="14"/>
  <c r="M50" i="25"/>
  <c r="N39" i="12"/>
  <c r="N40" i="12"/>
  <c r="P42" i="12"/>
  <c r="P40" i="12"/>
  <c r="O34" i="25"/>
  <c r="O38" i="25" s="1"/>
  <c r="N44" i="12"/>
  <c r="N49" i="12" s="1"/>
  <c r="L53" i="14"/>
  <c r="G43" i="25"/>
  <c r="I47" i="25"/>
  <c r="H89" i="14"/>
  <c r="D20" i="26" s="1"/>
  <c r="E20" i="26" s="1"/>
  <c r="N84" i="14"/>
  <c r="N86" i="14" s="1"/>
  <c r="O86" i="14" s="1"/>
  <c r="N89" i="14"/>
  <c r="T20" i="26" s="1"/>
  <c r="U20" i="26" s="1"/>
  <c r="X13" i="26"/>
  <c r="Z13" i="26" s="1"/>
  <c r="I49" i="25"/>
  <c r="O12" i="31"/>
  <c r="Q12" i="31" s="1"/>
  <c r="Q11" i="31" s="1"/>
  <c r="E62" i="16"/>
  <c r="J51" i="12" s="1"/>
  <c r="J52" i="12" s="1"/>
  <c r="J54" i="12" s="1"/>
  <c r="F12" i="31"/>
  <c r="F11" i="31" s="1"/>
  <c r="O81" i="14"/>
  <c r="I81" i="14"/>
  <c r="D16" i="26"/>
  <c r="E16" i="26" s="1"/>
  <c r="H84" i="14"/>
  <c r="H86" i="14" s="1"/>
  <c r="I86" i="14" s="1"/>
  <c r="K58" i="14"/>
  <c r="K81" i="14" s="1"/>
  <c r="K89" i="14" s="1"/>
  <c r="L20" i="26" s="1"/>
  <c r="M20" i="26" s="1"/>
  <c r="K136" i="14"/>
  <c r="N67" i="12" s="1"/>
  <c r="K57" i="14"/>
  <c r="N51" i="12" s="1"/>
  <c r="N52" i="12" s="1"/>
  <c r="N54" i="12" s="1"/>
  <c r="H75" i="16"/>
  <c r="H77" i="16" s="1"/>
  <c r="H84" i="12" s="1"/>
  <c r="H86" i="12" s="1"/>
  <c r="H73" i="16"/>
  <c r="I35" i="25" s="1"/>
  <c r="K75" i="16"/>
  <c r="K77" i="16" s="1"/>
  <c r="F84" i="12" s="1"/>
  <c r="F86" i="12" s="1"/>
  <c r="K73" i="16"/>
  <c r="G35" i="25" s="1"/>
  <c r="D11" i="31"/>
  <c r="G47" i="25"/>
  <c r="AK66" i="27"/>
  <c r="G49" i="25"/>
  <c r="H42" i="12"/>
  <c r="H40" i="12"/>
  <c r="J42" i="12"/>
  <c r="J40" i="12"/>
  <c r="AB10" i="23"/>
  <c r="AC10" i="23" s="1"/>
  <c r="AD10" i="23" s="1"/>
  <c r="D42" i="21"/>
  <c r="I56" i="25"/>
  <c r="E42" i="21"/>
  <c r="Y9" i="23"/>
  <c r="Z9" i="23" s="1"/>
  <c r="I117" i="17"/>
  <c r="Q50" i="25"/>
  <c r="O127" i="14"/>
  <c r="M66" i="27"/>
  <c r="I17" i="25"/>
  <c r="T15" i="26"/>
  <c r="T17" i="26" s="1"/>
  <c r="K17" i="25"/>
  <c r="I57" i="25"/>
  <c r="X10" i="23"/>
  <c r="L117" i="17"/>
  <c r="I119" i="17"/>
  <c r="G57" i="25"/>
  <c r="G56" i="25"/>
  <c r="AF10" i="23"/>
  <c r="AH10" i="23" s="1"/>
  <c r="L15" i="26"/>
  <c r="M15" i="26" s="1"/>
  <c r="I120" i="17"/>
  <c r="L119" i="17"/>
  <c r="F106" i="17"/>
  <c r="K71" i="2" s="1"/>
  <c r="D15" i="26"/>
  <c r="E15" i="26" s="1"/>
  <c r="R104" i="17"/>
  <c r="L102" i="14" s="1"/>
  <c r="M14" i="2"/>
  <c r="O31" i="21" s="1"/>
  <c r="K122" i="2"/>
  <c r="L66" i="12"/>
  <c r="K45" i="25"/>
  <c r="K47" i="25" s="1"/>
  <c r="K49" i="25" s="1"/>
  <c r="P15" i="26"/>
  <c r="P17" i="26" s="1"/>
  <c r="X14" i="26"/>
  <c r="Z14" i="26" s="1"/>
  <c r="Z23" i="26"/>
  <c r="AG69" i="27"/>
  <c r="AH68" i="27"/>
  <c r="AJ67" i="27"/>
  <c r="AI67" i="27"/>
  <c r="L67" i="27"/>
  <c r="K67" i="27" s="1"/>
  <c r="AE67" i="27"/>
  <c r="S17" i="27"/>
  <c r="I69" i="27"/>
  <c r="J68" i="27"/>
  <c r="AD68" i="27"/>
  <c r="AC68" i="27" s="1"/>
  <c r="X69" i="27"/>
  <c r="Y69" i="27" s="1"/>
  <c r="W69" i="27"/>
  <c r="R66" i="27"/>
  <c r="S66" i="27" s="1"/>
  <c r="Q66" i="27"/>
  <c r="P17" i="27"/>
  <c r="AA70" i="27"/>
  <c r="AB69" i="27"/>
  <c r="U71" i="27"/>
  <c r="V70" i="27"/>
  <c r="O68" i="27"/>
  <c r="P67" i="27"/>
  <c r="G15" i="26"/>
  <c r="J15" i="26" s="1"/>
  <c r="H17" i="26"/>
  <c r="G17" i="26" s="1"/>
  <c r="J14" i="26"/>
  <c r="Q36" i="25"/>
  <c r="P45" i="12"/>
  <c r="P47" i="12" s="1"/>
  <c r="R34" i="25"/>
  <c r="X16" i="26"/>
  <c r="I103" i="14"/>
  <c r="H103" i="14"/>
  <c r="R105" i="17"/>
  <c r="I102" i="14"/>
  <c r="H102" i="14"/>
  <c r="M29" i="2"/>
  <c r="O39" i="21" s="1"/>
  <c r="J44" i="12"/>
  <c r="J49" i="12" s="1"/>
  <c r="J39" i="12"/>
  <c r="F32" i="21"/>
  <c r="F58" i="16"/>
  <c r="N68" i="14"/>
  <c r="P84" i="12" s="1"/>
  <c r="P86" i="12" s="1"/>
  <c r="H39" i="12"/>
  <c r="J66" i="12"/>
  <c r="K123" i="2"/>
  <c r="K42" i="25"/>
  <c r="K43" i="25"/>
  <c r="H130" i="14"/>
  <c r="I130" i="14" s="1"/>
  <c r="M38" i="25"/>
  <c r="N130" i="14"/>
  <c r="O130" i="14" s="1"/>
  <c r="N34" i="25"/>
  <c r="K130" i="14"/>
  <c r="L130" i="14" s="1"/>
  <c r="O50" i="25"/>
  <c r="G148" i="17"/>
  <c r="T7" i="23"/>
  <c r="F149" i="17"/>
  <c r="AF7" i="23"/>
  <c r="AH7" i="23" s="1"/>
  <c r="O149" i="17"/>
  <c r="X7" i="23"/>
  <c r="I149" i="17"/>
  <c r="G33" i="21"/>
  <c r="L51" i="12"/>
  <c r="L52" i="12" s="1"/>
  <c r="L54" i="12" s="1"/>
  <c r="H68" i="14"/>
  <c r="I57" i="14"/>
  <c r="L49" i="12"/>
  <c r="N97" i="16"/>
  <c r="O94" i="16"/>
  <c r="N104" i="16"/>
  <c r="O104" i="16" s="1"/>
  <c r="D33" i="21"/>
  <c r="L62" i="16"/>
  <c r="F51" i="12"/>
  <c r="I26" i="25"/>
  <c r="J22" i="25"/>
  <c r="F49" i="12"/>
  <c r="E33" i="21"/>
  <c r="H51" i="12"/>
  <c r="H52" i="12" s="1"/>
  <c r="H54" i="12" s="1"/>
  <c r="I62" i="16"/>
  <c r="O77" i="16"/>
  <c r="N90" i="16"/>
  <c r="H49" i="12"/>
  <c r="H45" i="12"/>
  <c r="H47" i="12" s="1"/>
  <c r="Q14" i="25"/>
  <c r="N45" i="12" l="1"/>
  <c r="N47" i="12" s="1"/>
  <c r="O36" i="25"/>
  <c r="H35" i="25"/>
  <c r="AB6" i="23"/>
  <c r="AC6" i="23" s="1"/>
  <c r="AD6" i="23" s="1"/>
  <c r="AD13" i="23" s="1"/>
  <c r="AD15" i="23" s="1"/>
  <c r="G75" i="25" s="1"/>
  <c r="J35" i="25"/>
  <c r="X6" i="23"/>
  <c r="Y6" i="23" s="1"/>
  <c r="Z6" i="23" s="1"/>
  <c r="P34" i="25"/>
  <c r="N31" i="12"/>
  <c r="L31" i="12"/>
  <c r="J33" i="12"/>
  <c r="O33" i="12" s="1"/>
  <c r="Q33" i="12" s="1"/>
  <c r="F52" i="12"/>
  <c r="F54" i="12" s="1"/>
  <c r="P29" i="12"/>
  <c r="P31" i="12"/>
  <c r="I89" i="14"/>
  <c r="L10" i="12"/>
  <c r="V8" i="12" s="1"/>
  <c r="AK67" i="27"/>
  <c r="O84" i="14"/>
  <c r="P10" i="12"/>
  <c r="X8" i="12" s="1"/>
  <c r="O89" i="14"/>
  <c r="L57" i="14"/>
  <c r="N10" i="12"/>
  <c r="W8" i="12" s="1"/>
  <c r="H33" i="21"/>
  <c r="L89" i="14"/>
  <c r="D18" i="26"/>
  <c r="L84" i="12"/>
  <c r="L86" i="12" s="1"/>
  <c r="F33" i="21"/>
  <c r="F62" i="16"/>
  <c r="G12" i="31"/>
  <c r="G11" i="31" s="1"/>
  <c r="Q18" i="31"/>
  <c r="R30" i="31" s="1"/>
  <c r="G18" i="31"/>
  <c r="G27" i="31" s="1"/>
  <c r="C41" i="31" s="1"/>
  <c r="E73" i="16"/>
  <c r="E75" i="16"/>
  <c r="K68" i="14"/>
  <c r="K77" i="14" s="1"/>
  <c r="I84" i="14"/>
  <c r="L16" i="26"/>
  <c r="M16" i="26" s="1"/>
  <c r="L81" i="14"/>
  <c r="K84" i="14"/>
  <c r="I34" i="25"/>
  <c r="I73" i="16"/>
  <c r="I75" i="16"/>
  <c r="H76" i="16"/>
  <c r="H94" i="16" s="1"/>
  <c r="H104" i="16" s="1"/>
  <c r="I104" i="16" s="1"/>
  <c r="G29" i="31"/>
  <c r="G34" i="25"/>
  <c r="L73" i="16"/>
  <c r="L75" i="16"/>
  <c r="K76" i="16"/>
  <c r="K94" i="16" s="1"/>
  <c r="K104" i="16" s="1"/>
  <c r="F10" i="12" s="1"/>
  <c r="S8" i="12" s="1"/>
  <c r="I61" i="25"/>
  <c r="I59" i="25"/>
  <c r="K56" i="25"/>
  <c r="F42" i="21"/>
  <c r="M67" i="27"/>
  <c r="U7" i="23"/>
  <c r="V7" i="23" s="1"/>
  <c r="Y7" i="23"/>
  <c r="Z7" i="23" s="1"/>
  <c r="Y10" i="23"/>
  <c r="Z10" i="23" s="1"/>
  <c r="U15" i="26"/>
  <c r="G61" i="25"/>
  <c r="G59" i="25"/>
  <c r="AH13" i="23"/>
  <c r="AH15" i="23" s="1"/>
  <c r="T10" i="23"/>
  <c r="D17" i="26"/>
  <c r="K102" i="14"/>
  <c r="K46" i="25"/>
  <c r="F119" i="17"/>
  <c r="K57" i="25"/>
  <c r="F117" i="17"/>
  <c r="X15" i="26"/>
  <c r="W15" i="26" s="1"/>
  <c r="Z15" i="26" s="1"/>
  <c r="J17" i="26"/>
  <c r="J45" i="12"/>
  <c r="J47" i="12" s="1"/>
  <c r="T18" i="26"/>
  <c r="U18" i="26" s="1"/>
  <c r="P18" i="26"/>
  <c r="O17" i="26"/>
  <c r="O15" i="26"/>
  <c r="R15" i="26" s="1"/>
  <c r="H18" i="26"/>
  <c r="H19" i="26" s="1"/>
  <c r="U72" i="27"/>
  <c r="V71" i="27"/>
  <c r="L68" i="27"/>
  <c r="AE68" i="27"/>
  <c r="AG70" i="27"/>
  <c r="AH69" i="27"/>
  <c r="Q67" i="27"/>
  <c r="R67" i="27"/>
  <c r="S67" i="27" s="1"/>
  <c r="AD69" i="27"/>
  <c r="AC69" i="27" s="1"/>
  <c r="I70" i="27"/>
  <c r="J69" i="27"/>
  <c r="O69" i="27"/>
  <c r="P68" i="27"/>
  <c r="AA71" i="27"/>
  <c r="AB70" i="27"/>
  <c r="W70" i="27"/>
  <c r="X70" i="27"/>
  <c r="Y70" i="27" s="1"/>
  <c r="AI68" i="27"/>
  <c r="AI18" i="27" s="1"/>
  <c r="AJ68" i="27"/>
  <c r="AJ18" i="27" s="1"/>
  <c r="AK18" i="27" s="1"/>
  <c r="H20" i="26"/>
  <c r="U17" i="26"/>
  <c r="F120" i="17"/>
  <c r="K103" i="14"/>
  <c r="L103" i="14"/>
  <c r="M101" i="2"/>
  <c r="P56" i="12"/>
  <c r="P57" i="12" s="1"/>
  <c r="P59" i="12" s="1"/>
  <c r="I34" i="21"/>
  <c r="O68" i="14"/>
  <c r="G34" i="21"/>
  <c r="H77" i="14"/>
  <c r="I68" i="14"/>
  <c r="L56" i="12"/>
  <c r="L57" i="12" s="1"/>
  <c r="L59" i="12" s="1"/>
  <c r="O97" i="16"/>
  <c r="N99" i="16"/>
  <c r="K90" i="16"/>
  <c r="D34" i="21"/>
  <c r="L77" i="16"/>
  <c r="F56" i="12"/>
  <c r="N91" i="16"/>
  <c r="N92" i="16" s="1"/>
  <c r="L123" i="17"/>
  <c r="O90" i="16"/>
  <c r="I77" i="16"/>
  <c r="H56" i="12"/>
  <c r="H57" i="12" s="1"/>
  <c r="H59" i="12" s="1"/>
  <c r="E34" i="21"/>
  <c r="H90" i="16"/>
  <c r="K35" i="25" l="1"/>
  <c r="L35" i="25" s="1"/>
  <c r="Z13" i="23"/>
  <c r="Z15" i="23" s="1"/>
  <c r="I75" i="25" s="1"/>
  <c r="D14" i="31"/>
  <c r="D13" i="31" s="1"/>
  <c r="F61" i="12"/>
  <c r="F64" i="12" s="1"/>
  <c r="P13" i="12"/>
  <c r="F57" i="12"/>
  <c r="F59" i="12" s="1"/>
  <c r="F13" i="12"/>
  <c r="E18" i="26"/>
  <c r="L13" i="12"/>
  <c r="L17" i="26"/>
  <c r="M17" i="26" s="1"/>
  <c r="N13" i="12"/>
  <c r="H10" i="12"/>
  <c r="T8" i="12" s="1"/>
  <c r="L68" i="14"/>
  <c r="L18" i="26"/>
  <c r="N84" i="12"/>
  <c r="N86" i="12" s="1"/>
  <c r="N56" i="12"/>
  <c r="N57" i="12" s="1"/>
  <c r="N59" i="12" s="1"/>
  <c r="H34" i="21"/>
  <c r="L104" i="16"/>
  <c r="E14" i="31"/>
  <c r="E13" i="31" s="1"/>
  <c r="F123" i="17"/>
  <c r="E76" i="16"/>
  <c r="E94" i="16" s="1"/>
  <c r="E104" i="16" s="1"/>
  <c r="F75" i="16"/>
  <c r="E77" i="16"/>
  <c r="F73" i="16"/>
  <c r="T6" i="23"/>
  <c r="U6" i="23" s="1"/>
  <c r="V6" i="23" s="1"/>
  <c r="K34" i="25"/>
  <c r="L84" i="14"/>
  <c r="K86" i="14"/>
  <c r="L86" i="14" s="1"/>
  <c r="K78" i="14"/>
  <c r="N88" i="12" s="1"/>
  <c r="N90" i="12" s="1"/>
  <c r="I14" i="31"/>
  <c r="I13" i="31" s="1"/>
  <c r="H14" i="31"/>
  <c r="H13" i="31" s="1"/>
  <c r="N14" i="31" s="1"/>
  <c r="H97" i="16"/>
  <c r="I94" i="16"/>
  <c r="I38" i="25"/>
  <c r="I36" i="25"/>
  <c r="J34" i="25"/>
  <c r="H34" i="25"/>
  <c r="G38" i="25"/>
  <c r="G36" i="25"/>
  <c r="K97" i="16"/>
  <c r="L94" i="16"/>
  <c r="J30" i="31"/>
  <c r="G30" i="31"/>
  <c r="K59" i="25"/>
  <c r="M68" i="27"/>
  <c r="K68" i="27"/>
  <c r="K18" i="27" s="1"/>
  <c r="U10" i="23"/>
  <c r="V10" i="23" s="1"/>
  <c r="L18" i="27"/>
  <c r="M18" i="27" s="1"/>
  <c r="P20" i="26"/>
  <c r="R20" i="26" s="1"/>
  <c r="H78" i="14"/>
  <c r="M12" i="2" s="1"/>
  <c r="E17" i="26"/>
  <c r="K61" i="25"/>
  <c r="J98" i="2"/>
  <c r="N46" i="21"/>
  <c r="J97" i="2"/>
  <c r="J73" i="2"/>
  <c r="K95" i="2"/>
  <c r="AK68" i="27"/>
  <c r="AE69" i="27"/>
  <c r="X17" i="26"/>
  <c r="W17" i="26" s="1"/>
  <c r="R17" i="26"/>
  <c r="P19" i="26"/>
  <c r="N77" i="14"/>
  <c r="J14" i="31" s="1"/>
  <c r="J13" i="31" s="1"/>
  <c r="R18" i="26"/>
  <c r="AD70" i="27"/>
  <c r="AC70" i="27" s="1"/>
  <c r="L69" i="27"/>
  <c r="K69" i="27"/>
  <c r="W71" i="27"/>
  <c r="X71" i="27"/>
  <c r="Y71" i="27" s="1"/>
  <c r="AA72" i="27"/>
  <c r="AB71" i="27"/>
  <c r="J70" i="27"/>
  <c r="I71" i="27"/>
  <c r="U73" i="27"/>
  <c r="V72" i="27"/>
  <c r="AH18" i="27"/>
  <c r="Q68" i="27"/>
  <c r="Q18" i="27" s="1"/>
  <c r="R68" i="27"/>
  <c r="R18" i="27" s="1"/>
  <c r="AI69" i="27"/>
  <c r="AJ69" i="27"/>
  <c r="O70" i="27"/>
  <c r="P69" i="27"/>
  <c r="AG71" i="27"/>
  <c r="AH70" i="27"/>
  <c r="G20" i="26"/>
  <c r="J20" i="26"/>
  <c r="J18" i="26"/>
  <c r="Z18" i="26"/>
  <c r="X20" i="26"/>
  <c r="Z20" i="26" s="1"/>
  <c r="H35" i="21"/>
  <c r="N61" i="12"/>
  <c r="N64" i="12" s="1"/>
  <c r="L77" i="14"/>
  <c r="G35" i="21"/>
  <c r="M113" i="2"/>
  <c r="M9" i="25"/>
  <c r="O9" i="25" s="1"/>
  <c r="I77" i="14"/>
  <c r="L61" i="12"/>
  <c r="L64" i="12" s="1"/>
  <c r="O99" i="16"/>
  <c r="N101" i="16"/>
  <c r="O91" i="16"/>
  <c r="O92" i="16"/>
  <c r="I90" i="16"/>
  <c r="H61" i="12"/>
  <c r="H64" i="12" s="1"/>
  <c r="H91" i="16"/>
  <c r="H88" i="12" s="1"/>
  <c r="H90" i="12" s="1"/>
  <c r="E35" i="21"/>
  <c r="L90" i="16"/>
  <c r="I123" i="17"/>
  <c r="D35" i="21"/>
  <c r="K91" i="16"/>
  <c r="M18" i="26" l="1"/>
  <c r="V13" i="23"/>
  <c r="V15" i="23" s="1"/>
  <c r="K75" i="25" s="1"/>
  <c r="H13" i="12"/>
  <c r="P80" i="2"/>
  <c r="P79" i="2"/>
  <c r="M80" i="2"/>
  <c r="L88" i="12"/>
  <c r="L90" i="12" s="1"/>
  <c r="X18" i="26"/>
  <c r="J10" i="12"/>
  <c r="F104" i="16"/>
  <c r="P14" i="31"/>
  <c r="E68" i="31" s="1"/>
  <c r="F68" i="31" s="1"/>
  <c r="O14" i="31"/>
  <c r="J84" i="12"/>
  <c r="J86" i="12" s="1"/>
  <c r="F34" i="21"/>
  <c r="E90" i="16"/>
  <c r="J56" i="12"/>
  <c r="J57" i="12" s="1"/>
  <c r="J59" i="12" s="1"/>
  <c r="F77" i="16"/>
  <c r="K38" i="25"/>
  <c r="K36" i="25"/>
  <c r="L34" i="25"/>
  <c r="E97" i="16"/>
  <c r="E99" i="16" s="1"/>
  <c r="F94" i="16"/>
  <c r="H79" i="22"/>
  <c r="H80" i="22" s="1"/>
  <c r="H81" i="22" s="1"/>
  <c r="H82" i="22" s="1"/>
  <c r="C68" i="31"/>
  <c r="I97" i="16"/>
  <c r="H99" i="16"/>
  <c r="L97" i="16"/>
  <c r="K99" i="16"/>
  <c r="G35" i="31"/>
  <c r="G36" i="31" s="1"/>
  <c r="D41" i="31"/>
  <c r="M79" i="2"/>
  <c r="N79" i="2" s="1"/>
  <c r="M69" i="27"/>
  <c r="J18" i="27"/>
  <c r="M51" i="25"/>
  <c r="M53" i="25" s="1"/>
  <c r="O20" i="26"/>
  <c r="P61" i="12"/>
  <c r="P64" i="12" s="1"/>
  <c r="N78" i="14"/>
  <c r="P88" i="12" s="1"/>
  <c r="P90" i="12" s="1"/>
  <c r="Z17" i="26"/>
  <c r="X19" i="26"/>
  <c r="O77" i="14"/>
  <c r="Q9" i="25"/>
  <c r="I35" i="21"/>
  <c r="O19" i="26"/>
  <c r="S18" i="27"/>
  <c r="P18" i="27"/>
  <c r="P70" i="27"/>
  <c r="O71" i="27"/>
  <c r="U74" i="27"/>
  <c r="V73" i="27"/>
  <c r="AD71" i="27"/>
  <c r="AC71" i="27" s="1"/>
  <c r="AJ70" i="27"/>
  <c r="AI70" i="27"/>
  <c r="AA73" i="27"/>
  <c r="AB72" i="27"/>
  <c r="S68" i="27"/>
  <c r="AH71" i="27"/>
  <c r="AG72" i="27"/>
  <c r="I72" i="27"/>
  <c r="J71" i="27"/>
  <c r="AE70" i="27"/>
  <c r="R69" i="27"/>
  <c r="Q69" i="27"/>
  <c r="X72" i="27"/>
  <c r="Y72" i="27" s="1"/>
  <c r="W72" i="27"/>
  <c r="L70" i="27"/>
  <c r="K70" i="27" s="1"/>
  <c r="AK69" i="27"/>
  <c r="G19" i="26"/>
  <c r="W20" i="26"/>
  <c r="O51" i="25"/>
  <c r="O55" i="25" s="1"/>
  <c r="L19" i="26"/>
  <c r="M19" i="26" s="1"/>
  <c r="M30" i="2"/>
  <c r="O40" i="21" s="1"/>
  <c r="O45" i="21" s="1"/>
  <c r="D19" i="26"/>
  <c r="G51" i="25"/>
  <c r="G55" i="25" s="1"/>
  <c r="F88" i="12"/>
  <c r="F90" i="12" s="1"/>
  <c r="H92" i="16"/>
  <c r="H68" i="12" s="1"/>
  <c r="H71" i="12" s="1"/>
  <c r="I51" i="25"/>
  <c r="I55" i="25" s="1"/>
  <c r="K92" i="16"/>
  <c r="F68" i="12" s="1"/>
  <c r="L42" i="19"/>
  <c r="K42" i="19"/>
  <c r="J42" i="19"/>
  <c r="N62" i="12"/>
  <c r="H79" i="14"/>
  <c r="L68" i="12" s="1"/>
  <c r="L71" i="12" s="1"/>
  <c r="O30" i="21"/>
  <c r="O36" i="21" s="1"/>
  <c r="I78" i="14"/>
  <c r="M102" i="2"/>
  <c r="G36" i="21"/>
  <c r="L62" i="12"/>
  <c r="P113" i="2"/>
  <c r="M114" i="2"/>
  <c r="M78" i="2" s="1"/>
  <c r="G38" i="21"/>
  <c r="P12" i="2"/>
  <c r="P30" i="21" s="1"/>
  <c r="P36" i="21" s="1"/>
  <c r="K79" i="14"/>
  <c r="N68" i="12" s="1"/>
  <c r="N71" i="12" s="1"/>
  <c r="P30" i="2"/>
  <c r="P102" i="2"/>
  <c r="H36" i="21"/>
  <c r="L78" i="14"/>
  <c r="L91" i="16"/>
  <c r="D36" i="21"/>
  <c r="I91" i="16"/>
  <c r="E36" i="21"/>
  <c r="F62" i="12"/>
  <c r="H62" i="12"/>
  <c r="I28" i="25" l="1"/>
  <c r="U8" i="12"/>
  <c r="J13" i="12"/>
  <c r="Q14" i="31"/>
  <c r="J35" i="31" s="1"/>
  <c r="J36" i="31" s="1"/>
  <c r="D68" i="31"/>
  <c r="F14" i="31"/>
  <c r="G14" i="31" s="1"/>
  <c r="I35" i="31" s="1"/>
  <c r="E91" i="16"/>
  <c r="F90" i="16"/>
  <c r="K32" i="19"/>
  <c r="J61" i="12"/>
  <c r="J64" i="12" s="1"/>
  <c r="J31" i="19"/>
  <c r="J32" i="19" s="1"/>
  <c r="F35" i="21"/>
  <c r="F97" i="16"/>
  <c r="G68" i="31"/>
  <c r="H101" i="16"/>
  <c r="I99" i="16"/>
  <c r="K101" i="16"/>
  <c r="L99" i="16"/>
  <c r="M70" i="27"/>
  <c r="M55" i="25"/>
  <c r="P62" i="12"/>
  <c r="K43" i="19"/>
  <c r="K52" i="19" s="1"/>
  <c r="J43" i="19"/>
  <c r="J52" i="19" s="1"/>
  <c r="L43" i="19"/>
  <c r="L52" i="19" s="1"/>
  <c r="S69" i="27"/>
  <c r="Q80" i="2"/>
  <c r="D79" i="2" s="1"/>
  <c r="T79" i="2" s="1"/>
  <c r="Q79" i="2"/>
  <c r="T19" i="26"/>
  <c r="U19" i="26" s="1"/>
  <c r="Q102" i="2"/>
  <c r="Q12" i="2"/>
  <c r="O78" i="14"/>
  <c r="Q30" i="2"/>
  <c r="N79" i="14"/>
  <c r="Q51" i="25"/>
  <c r="I36" i="21"/>
  <c r="R19" i="26"/>
  <c r="J19" i="26"/>
  <c r="W19" i="26"/>
  <c r="Z19" i="26" s="1"/>
  <c r="I73" i="27"/>
  <c r="J72" i="27"/>
  <c r="X73" i="27"/>
  <c r="Y73" i="27" s="1"/>
  <c r="W73" i="27"/>
  <c r="AE71" i="27"/>
  <c r="AG73" i="27"/>
  <c r="AH72" i="27"/>
  <c r="AB73" i="27"/>
  <c r="AA74" i="27"/>
  <c r="O72" i="27"/>
  <c r="P71" i="27"/>
  <c r="AD72" i="27"/>
  <c r="AD11" i="27" s="1"/>
  <c r="U75" i="27"/>
  <c r="V74" i="27"/>
  <c r="AK70" i="27"/>
  <c r="L71" i="27"/>
  <c r="AJ71" i="27"/>
  <c r="AI71" i="27"/>
  <c r="R70" i="27"/>
  <c r="Q70" i="27"/>
  <c r="E19" i="26"/>
  <c r="O53" i="25"/>
  <c r="P40" i="21"/>
  <c r="P45" i="21" s="1"/>
  <c r="G53" i="25"/>
  <c r="I53" i="25"/>
  <c r="G28" i="25"/>
  <c r="M65" i="2"/>
  <c r="P65" i="2"/>
  <c r="M21" i="2"/>
  <c r="N16" i="2" s="1"/>
  <c r="I79" i="14"/>
  <c r="M28" i="25"/>
  <c r="N69" i="12"/>
  <c r="N73" i="12" s="1"/>
  <c r="L79" i="14"/>
  <c r="O28" i="25"/>
  <c r="M116" i="2"/>
  <c r="M22" i="25"/>
  <c r="M13" i="25"/>
  <c r="L69" i="12"/>
  <c r="L73" i="12" s="1"/>
  <c r="P21" i="2"/>
  <c r="Q113" i="2"/>
  <c r="I38" i="21"/>
  <c r="H38" i="21"/>
  <c r="P114" i="2"/>
  <c r="P78" i="2" s="1"/>
  <c r="I92" i="16"/>
  <c r="H69" i="12"/>
  <c r="H73" i="12" s="1"/>
  <c r="L92" i="16"/>
  <c r="F69" i="12"/>
  <c r="F73" i="12" s="1"/>
  <c r="F71" i="12"/>
  <c r="N108" i="2" l="1"/>
  <c r="N104" i="2"/>
  <c r="N112" i="2"/>
  <c r="N27" i="2"/>
  <c r="Q13" i="31"/>
  <c r="P33" i="31"/>
  <c r="J41" i="31" s="1"/>
  <c r="J88" i="12"/>
  <c r="J90" i="12" s="1"/>
  <c r="K51" i="25"/>
  <c r="J62" i="12"/>
  <c r="L53" i="19"/>
  <c r="L54" i="19" s="1"/>
  <c r="E61" i="31"/>
  <c r="F61" i="31" s="1"/>
  <c r="G61" i="31" s="1"/>
  <c r="H61" i="31" s="1"/>
  <c r="I61" i="31" s="1"/>
  <c r="J61" i="31" s="1"/>
  <c r="K53" i="19"/>
  <c r="K54" i="19" s="1"/>
  <c r="D61" i="31"/>
  <c r="J53" i="19"/>
  <c r="J54" i="19" s="1"/>
  <c r="C61" i="31"/>
  <c r="C62" i="31" s="1"/>
  <c r="L32" i="19"/>
  <c r="S79" i="22"/>
  <c r="U79" i="22" s="1"/>
  <c r="F99" i="16"/>
  <c r="E101" i="16"/>
  <c r="F91" i="16"/>
  <c r="R80" i="22"/>
  <c r="U80" i="22" s="1"/>
  <c r="F36" i="21"/>
  <c r="E92" i="16"/>
  <c r="F13" i="31"/>
  <c r="H68" i="31"/>
  <c r="M71" i="27"/>
  <c r="L72" i="27" s="1"/>
  <c r="K72" i="27" s="1"/>
  <c r="K71" i="27"/>
  <c r="S70" i="27"/>
  <c r="N18" i="2"/>
  <c r="N8" i="2"/>
  <c r="L21" i="22"/>
  <c r="AK71" i="27"/>
  <c r="AC72" i="27"/>
  <c r="AC11" i="27" s="1"/>
  <c r="AB11" i="27" s="1"/>
  <c r="C11" i="27" s="1"/>
  <c r="Q55" i="25"/>
  <c r="Q53" i="25"/>
  <c r="Q30" i="21"/>
  <c r="Q36" i="21" s="1"/>
  <c r="Q21" i="2"/>
  <c r="S79" i="2"/>
  <c r="R79" i="2"/>
  <c r="P68" i="12"/>
  <c r="O79" i="14"/>
  <c r="Q28" i="25"/>
  <c r="Q40" i="21"/>
  <c r="Q71" i="27"/>
  <c r="R71" i="27"/>
  <c r="I74" i="27"/>
  <c r="J73" i="27"/>
  <c r="X74" i="27"/>
  <c r="Y74" i="27" s="1"/>
  <c r="W74" i="27"/>
  <c r="O73" i="27"/>
  <c r="P72" i="27"/>
  <c r="AH73" i="27"/>
  <c r="AG74" i="27"/>
  <c r="AD73" i="27"/>
  <c r="AC73" i="27" s="1"/>
  <c r="E11" i="27"/>
  <c r="AE11" i="27"/>
  <c r="AI72" i="27"/>
  <c r="AI19" i="27" s="1"/>
  <c r="AJ72" i="27"/>
  <c r="AJ19" i="27" s="1"/>
  <c r="AK19" i="27" s="1"/>
  <c r="U76" i="27"/>
  <c r="V75" i="27"/>
  <c r="AA75" i="27"/>
  <c r="AB74" i="27"/>
  <c r="AE72" i="27"/>
  <c r="N78" i="2"/>
  <c r="N102" i="2"/>
  <c r="N29" i="2"/>
  <c r="N101" i="2"/>
  <c r="Q114" i="2"/>
  <c r="M125" i="2"/>
  <c r="N12" i="2"/>
  <c r="N10" i="2"/>
  <c r="P32" i="2"/>
  <c r="P33" i="2" s="1"/>
  <c r="P67" i="2"/>
  <c r="N110" i="2"/>
  <c r="N65" i="2"/>
  <c r="N109" i="2"/>
  <c r="N111" i="2"/>
  <c r="N103" i="2"/>
  <c r="N107" i="2"/>
  <c r="N46" i="2"/>
  <c r="N63" i="2"/>
  <c r="N106" i="2"/>
  <c r="P116" i="2"/>
  <c r="O22" i="25"/>
  <c r="O13" i="25"/>
  <c r="M26" i="25"/>
  <c r="N22" i="25"/>
  <c r="M24" i="25"/>
  <c r="P28" i="25"/>
  <c r="O32" i="25"/>
  <c r="O30" i="25"/>
  <c r="N28" i="25"/>
  <c r="M32" i="25"/>
  <c r="M30" i="25"/>
  <c r="N19" i="2"/>
  <c r="N9" i="2"/>
  <c r="N11" i="2"/>
  <c r="N15" i="2"/>
  <c r="M67" i="2"/>
  <c r="M71" i="2" s="1"/>
  <c r="N21" i="2"/>
  <c r="N17" i="2"/>
  <c r="N14" i="2"/>
  <c r="N13" i="2"/>
  <c r="M32" i="2"/>
  <c r="N30" i="2"/>
  <c r="H28" i="25"/>
  <c r="H74" i="25" s="1"/>
  <c r="G74" i="25" s="1"/>
  <c r="G30" i="25"/>
  <c r="G32" i="25"/>
  <c r="J28" i="25"/>
  <c r="J74" i="25" s="1"/>
  <c r="I74" i="25" s="1"/>
  <c r="I30" i="25"/>
  <c r="I32" i="25"/>
  <c r="S71" i="27" l="1"/>
  <c r="Q78" i="2"/>
  <c r="K55" i="25"/>
  <c r="K53" i="25"/>
  <c r="S27" i="22"/>
  <c r="S60" i="22" s="1"/>
  <c r="S16" i="22"/>
  <c r="S21" i="22" s="1"/>
  <c r="R16" i="22"/>
  <c r="R21" i="22" s="1"/>
  <c r="R27" i="22"/>
  <c r="R60" i="22" s="1"/>
  <c r="D62" i="31"/>
  <c r="C69" i="31"/>
  <c r="N16" i="22"/>
  <c r="N21" i="22" s="1"/>
  <c r="N27" i="22"/>
  <c r="P27" i="22" s="1"/>
  <c r="P60" i="22" s="1"/>
  <c r="J68" i="12"/>
  <c r="K28" i="25"/>
  <c r="K30" i="25" s="1"/>
  <c r="F92" i="16"/>
  <c r="G13" i="31"/>
  <c r="I36" i="31"/>
  <c r="G33" i="31"/>
  <c r="E41" i="31" s="1"/>
  <c r="I68" i="31"/>
  <c r="L30" i="22"/>
  <c r="L44" i="22" s="1"/>
  <c r="M44" i="22" s="1"/>
  <c r="M14" i="22"/>
  <c r="M10" i="22"/>
  <c r="M13" i="22"/>
  <c r="M15" i="22"/>
  <c r="M11" i="22"/>
  <c r="M12" i="22"/>
  <c r="M21" i="22"/>
  <c r="G42" i="21"/>
  <c r="M81" i="2"/>
  <c r="N81" i="2" s="1"/>
  <c r="K19" i="27"/>
  <c r="AE73" i="27"/>
  <c r="D11" i="27"/>
  <c r="P6" i="23"/>
  <c r="Q6" i="23" s="1"/>
  <c r="R6" i="23" s="1"/>
  <c r="P9" i="23"/>
  <c r="Q9" i="23" s="1"/>
  <c r="R9" i="23" s="1"/>
  <c r="M72" i="27"/>
  <c r="L19" i="27"/>
  <c r="M19" i="27" s="1"/>
  <c r="AH19" i="27"/>
  <c r="Q30" i="25"/>
  <c r="Q32" i="25"/>
  <c r="R28" i="25"/>
  <c r="P71" i="12"/>
  <c r="P69" i="12"/>
  <c r="P73" i="12" s="1"/>
  <c r="Q72" i="27"/>
  <c r="Q19" i="27" s="1"/>
  <c r="R72" i="27"/>
  <c r="R19" i="27" s="1"/>
  <c r="AK72" i="27"/>
  <c r="O74" i="27"/>
  <c r="P73" i="27"/>
  <c r="K73" i="27"/>
  <c r="L73" i="27"/>
  <c r="W75" i="27"/>
  <c r="X75" i="27"/>
  <c r="Y75" i="27" s="1"/>
  <c r="AG75" i="27"/>
  <c r="AH74" i="27"/>
  <c r="I75" i="27"/>
  <c r="J74" i="27"/>
  <c r="AD74" i="27"/>
  <c r="AC74" i="27" s="1"/>
  <c r="AA76" i="27"/>
  <c r="AB75" i="27"/>
  <c r="U77" i="27"/>
  <c r="V76" i="27"/>
  <c r="F11" i="27"/>
  <c r="AJ73" i="27"/>
  <c r="AI73" i="27"/>
  <c r="Q13" i="25"/>
  <c r="O46" i="21"/>
  <c r="M56" i="25"/>
  <c r="P69" i="2"/>
  <c r="P71" i="2"/>
  <c r="P81" i="2" s="1"/>
  <c r="M127" i="2"/>
  <c r="M124" i="2"/>
  <c r="Q22" i="25"/>
  <c r="R22" i="25" s="1"/>
  <c r="P125" i="2"/>
  <c r="Q116" i="2"/>
  <c r="R5" i="23"/>
  <c r="P8" i="23"/>
  <c r="Q8" i="23" s="1"/>
  <c r="R8" i="23" s="1"/>
  <c r="P10" i="23"/>
  <c r="M57" i="25"/>
  <c r="M59" i="25" s="1"/>
  <c r="M73" i="2"/>
  <c r="M97" i="2"/>
  <c r="N74" i="25"/>
  <c r="M74" i="25" s="1"/>
  <c r="M48" i="2"/>
  <c r="M33" i="2"/>
  <c r="N32" i="2"/>
  <c r="M69" i="2"/>
  <c r="N67" i="2"/>
  <c r="O24" i="25"/>
  <c r="O26" i="25"/>
  <c r="P22" i="25"/>
  <c r="P74" i="25" s="1"/>
  <c r="O74" i="25" s="1"/>
  <c r="P48" i="2"/>
  <c r="P49" i="2" s="1"/>
  <c r="R30" i="22" l="1"/>
  <c r="R31" i="22" s="1"/>
  <c r="P16" i="22"/>
  <c r="P21" i="22" s="1"/>
  <c r="P30" i="22" s="1"/>
  <c r="P44" i="22" s="1"/>
  <c r="P46" i="22" s="1"/>
  <c r="J71" i="12"/>
  <c r="J69" i="12"/>
  <c r="J73" i="12" s="1"/>
  <c r="M30" i="22"/>
  <c r="R62" i="22"/>
  <c r="R64" i="22" s="1"/>
  <c r="S62" i="22"/>
  <c r="S64" i="22" s="1"/>
  <c r="S30" i="22"/>
  <c r="S31" i="22" s="1"/>
  <c r="S69" i="22"/>
  <c r="S70" i="22" s="1"/>
  <c r="R69" i="22"/>
  <c r="R70" i="22" s="1"/>
  <c r="P69" i="22"/>
  <c r="P70" i="22" s="1"/>
  <c r="E62" i="31"/>
  <c r="D69" i="31"/>
  <c r="L28" i="25"/>
  <c r="L74" i="25" s="1"/>
  <c r="K74" i="25" s="1"/>
  <c r="K32" i="25"/>
  <c r="J68" i="31"/>
  <c r="N62" i="22"/>
  <c r="N30" i="22"/>
  <c r="N44" i="22" s="1"/>
  <c r="L9" i="23"/>
  <c r="M9" i="23" s="1"/>
  <c r="N9" i="23" s="1"/>
  <c r="L6" i="23"/>
  <c r="M6" i="23" s="1"/>
  <c r="N6" i="23" s="1"/>
  <c r="M73" i="27"/>
  <c r="J19" i="27"/>
  <c r="L31" i="22"/>
  <c r="L62" i="22"/>
  <c r="M62" i="22" s="1"/>
  <c r="L70" i="22"/>
  <c r="R44" i="22"/>
  <c r="R46" i="22" s="1"/>
  <c r="AE74" i="27"/>
  <c r="R74" i="25"/>
  <c r="Q74" i="25" s="1"/>
  <c r="D22" i="26"/>
  <c r="D25" i="26" s="1"/>
  <c r="H22" i="26"/>
  <c r="W76" i="27"/>
  <c r="X76" i="27"/>
  <c r="Y76" i="27" s="1"/>
  <c r="AB76" i="27"/>
  <c r="AA77" i="27"/>
  <c r="P19" i="27"/>
  <c r="I76" i="27"/>
  <c r="J75" i="27"/>
  <c r="R73" i="27"/>
  <c r="Q73" i="27"/>
  <c r="S19" i="27"/>
  <c r="AJ74" i="27"/>
  <c r="AI74" i="27"/>
  <c r="S72" i="27"/>
  <c r="O75" i="27"/>
  <c r="P74" i="27"/>
  <c r="L74" i="27"/>
  <c r="K74" i="27"/>
  <c r="U78" i="27"/>
  <c r="V77" i="27"/>
  <c r="AD75" i="27"/>
  <c r="AH75" i="27"/>
  <c r="AG76" i="27"/>
  <c r="AK73" i="27"/>
  <c r="D78" i="2"/>
  <c r="O56" i="25"/>
  <c r="P46" i="21"/>
  <c r="Q26" i="25"/>
  <c r="Q24" i="25"/>
  <c r="N5" i="23"/>
  <c r="L8" i="23"/>
  <c r="M8" i="23" s="1"/>
  <c r="N8" i="23" s="1"/>
  <c r="Q125" i="2"/>
  <c r="M61" i="25"/>
  <c r="N71" i="2"/>
  <c r="M119" i="2"/>
  <c r="M95" i="2"/>
  <c r="M98" i="2"/>
  <c r="P124" i="2"/>
  <c r="Q10" i="23"/>
  <c r="R10" i="23" s="1"/>
  <c r="M49" i="2"/>
  <c r="N48" i="2"/>
  <c r="L46" i="22"/>
  <c r="P62" i="22" l="1"/>
  <c r="P67" i="22" s="1"/>
  <c r="S44" i="22"/>
  <c r="S46" i="22" s="1"/>
  <c r="I81" i="22"/>
  <c r="J81" i="22" s="1"/>
  <c r="S81" i="22"/>
  <c r="U81" i="22" s="1"/>
  <c r="P31" i="22"/>
  <c r="F62" i="31"/>
  <c r="E69" i="31"/>
  <c r="L73" i="22"/>
  <c r="P64" i="22"/>
  <c r="L72" i="22"/>
  <c r="M69" i="22"/>
  <c r="M70" i="22"/>
  <c r="M74" i="27"/>
  <c r="H8" i="23"/>
  <c r="I8" i="23" s="1"/>
  <c r="J8" i="23" s="1"/>
  <c r="H9" i="23"/>
  <c r="I9" i="23" s="1"/>
  <c r="J9" i="23" s="1"/>
  <c r="H6" i="23"/>
  <c r="I6" i="23" s="1"/>
  <c r="J6" i="23" s="1"/>
  <c r="L67" i="22"/>
  <c r="L64" i="22"/>
  <c r="M121" i="2"/>
  <c r="M15" i="25" s="1"/>
  <c r="M126" i="2"/>
  <c r="M18" i="25" s="1"/>
  <c r="D27" i="26"/>
  <c r="E25" i="26"/>
  <c r="H25" i="26"/>
  <c r="G25" i="26" s="1"/>
  <c r="G22" i="26"/>
  <c r="J22" i="26"/>
  <c r="H24" i="26"/>
  <c r="D24" i="26"/>
  <c r="E22" i="26"/>
  <c r="L22" i="26"/>
  <c r="L25" i="26" s="1"/>
  <c r="P22" i="26"/>
  <c r="J76" i="27"/>
  <c r="I77" i="27"/>
  <c r="AC76" i="27"/>
  <c r="AD76" i="27"/>
  <c r="AK74" i="27"/>
  <c r="AC75" i="27"/>
  <c r="O76" i="27"/>
  <c r="P75" i="27"/>
  <c r="AE75" i="27"/>
  <c r="AJ75" i="27"/>
  <c r="AI75" i="27"/>
  <c r="X77" i="27"/>
  <c r="W77" i="27"/>
  <c r="AA78" i="27"/>
  <c r="AB77" i="27"/>
  <c r="U79" i="27"/>
  <c r="V78" i="27"/>
  <c r="R74" i="27"/>
  <c r="Q74" i="27"/>
  <c r="Y77" i="27"/>
  <c r="AH76" i="27"/>
  <c r="AG77" i="27"/>
  <c r="S73" i="27"/>
  <c r="L75" i="27"/>
  <c r="M75" i="27" s="1"/>
  <c r="K75" i="27"/>
  <c r="R78" i="2"/>
  <c r="T78" i="2"/>
  <c r="S78" i="2"/>
  <c r="J5" i="23"/>
  <c r="M128" i="2"/>
  <c r="M129" i="2" s="1"/>
  <c r="O57" i="25"/>
  <c r="P127" i="2"/>
  <c r="L7" i="23" s="1"/>
  <c r="L10" i="23"/>
  <c r="M10" i="23" s="1"/>
  <c r="N10" i="23" s="1"/>
  <c r="P7" i="23"/>
  <c r="Q7" i="23" s="1"/>
  <c r="R7" i="23" s="1"/>
  <c r="P11" i="23"/>
  <c r="Q11" i="23" s="1"/>
  <c r="R11" i="23" s="1"/>
  <c r="H11" i="23"/>
  <c r="I11" i="23" s="1"/>
  <c r="J11" i="23" s="1"/>
  <c r="P73" i="2"/>
  <c r="P97" i="2"/>
  <c r="P119" i="2"/>
  <c r="P98" i="2"/>
  <c r="M41" i="25"/>
  <c r="M44" i="25" s="1"/>
  <c r="G40" i="21"/>
  <c r="N124" i="2"/>
  <c r="H42" i="21"/>
  <c r="P95" i="2"/>
  <c r="G62" i="31" l="1"/>
  <c r="F69" i="31"/>
  <c r="J75" i="22"/>
  <c r="L75" i="22"/>
  <c r="R67" i="22"/>
  <c r="S67" i="22" s="1"/>
  <c r="P121" i="2"/>
  <c r="O15" i="25" s="1"/>
  <c r="P126" i="2"/>
  <c r="O18" i="25" s="1"/>
  <c r="S74" i="27"/>
  <c r="J25" i="26"/>
  <c r="G27" i="26"/>
  <c r="L27" i="26"/>
  <c r="M25" i="26"/>
  <c r="M22" i="26"/>
  <c r="L24" i="26"/>
  <c r="P24" i="26"/>
  <c r="R22" i="26"/>
  <c r="O22" i="26"/>
  <c r="P25" i="26"/>
  <c r="O25" i="26" s="1"/>
  <c r="AG78" i="27"/>
  <c r="AH77" i="27"/>
  <c r="AD77" i="27"/>
  <c r="AC77" i="27"/>
  <c r="AE76" i="27"/>
  <c r="AK75" i="27"/>
  <c r="J77" i="27"/>
  <c r="I78" i="27"/>
  <c r="X78" i="27"/>
  <c r="Y78" i="27" s="1"/>
  <c r="W78" i="27"/>
  <c r="P76" i="27"/>
  <c r="O77" i="27"/>
  <c r="V79" i="27"/>
  <c r="U80" i="27"/>
  <c r="AJ76" i="27"/>
  <c r="AI76" i="27"/>
  <c r="AI20" i="27" s="1"/>
  <c r="AA79" i="27"/>
  <c r="AB78" i="27"/>
  <c r="AJ20" i="27"/>
  <c r="AK20" i="27" s="1"/>
  <c r="R75" i="27"/>
  <c r="Q75" i="27"/>
  <c r="L76" i="27"/>
  <c r="M76" i="27" s="1"/>
  <c r="K76" i="27"/>
  <c r="K20" i="27" s="1"/>
  <c r="L11" i="23"/>
  <c r="M11" i="23" s="1"/>
  <c r="N11" i="23" s="1"/>
  <c r="P128" i="2"/>
  <c r="P129" i="2" s="1"/>
  <c r="O61" i="25"/>
  <c r="O59" i="25"/>
  <c r="R13" i="23"/>
  <c r="R15" i="23" s="1"/>
  <c r="M75" i="25" s="1"/>
  <c r="M7" i="23"/>
  <c r="N7" i="23" s="1"/>
  <c r="O41" i="25"/>
  <c r="O44" i="25" s="1"/>
  <c r="H40" i="21"/>
  <c r="M20" i="25"/>
  <c r="M17" i="25"/>
  <c r="M47" i="25"/>
  <c r="M49" i="25" s="1"/>
  <c r="O20" i="25" l="1"/>
  <c r="H62" i="31"/>
  <c r="H64" i="31" s="1"/>
  <c r="G69" i="31"/>
  <c r="AK76" i="27"/>
  <c r="AH20" i="27"/>
  <c r="L20" i="27"/>
  <c r="M20" i="27" s="1"/>
  <c r="O17" i="25"/>
  <c r="X22" i="26"/>
  <c r="O27" i="26"/>
  <c r="R25" i="26"/>
  <c r="AC78" i="27"/>
  <c r="AD78" i="27"/>
  <c r="O78" i="27"/>
  <c r="P77" i="27"/>
  <c r="I79" i="27"/>
  <c r="J78" i="27"/>
  <c r="W79" i="27"/>
  <c r="X79" i="27"/>
  <c r="Y79" i="27" s="1"/>
  <c r="AI77" i="27"/>
  <c r="AJ77" i="27"/>
  <c r="AK77" i="27" s="1"/>
  <c r="Q20" i="27"/>
  <c r="AA80" i="27"/>
  <c r="AB79" i="27"/>
  <c r="U81" i="27"/>
  <c r="V80" i="27"/>
  <c r="Q76" i="27"/>
  <c r="R76" i="27"/>
  <c r="R20" i="27" s="1"/>
  <c r="K77" i="27"/>
  <c r="L77" i="27"/>
  <c r="S75" i="27"/>
  <c r="AE77" i="27"/>
  <c r="AG79" i="27"/>
  <c r="AH78" i="27"/>
  <c r="N13" i="23"/>
  <c r="N15" i="23" s="1"/>
  <c r="O75" i="25" s="1"/>
  <c r="M42" i="25"/>
  <c r="M43" i="25"/>
  <c r="O47" i="25"/>
  <c r="O49" i="25" s="1"/>
  <c r="I62" i="31" l="1"/>
  <c r="I64" i="31" s="1"/>
  <c r="H69" i="31"/>
  <c r="H71" i="31" s="1"/>
  <c r="M77" i="27"/>
  <c r="J20" i="27"/>
  <c r="AE78" i="27"/>
  <c r="S76" i="27"/>
  <c r="X24" i="26"/>
  <c r="X25" i="26"/>
  <c r="W25" i="26" s="1"/>
  <c r="W22" i="26"/>
  <c r="Z22" i="26"/>
  <c r="S20" i="27"/>
  <c r="U82" i="27"/>
  <c r="V81" i="27"/>
  <c r="J79" i="27"/>
  <c r="I80" i="27"/>
  <c r="AI78" i="27"/>
  <c r="AJ78" i="27"/>
  <c r="AK78" i="27" s="1"/>
  <c r="AD79" i="27"/>
  <c r="AC79" i="27" s="1"/>
  <c r="R77" i="27"/>
  <c r="Q77" i="27"/>
  <c r="AH79" i="27"/>
  <c r="AG80" i="27"/>
  <c r="AA81" i="27"/>
  <c r="AB80" i="27"/>
  <c r="O79" i="27"/>
  <c r="P78" i="27"/>
  <c r="X80" i="27"/>
  <c r="Y80" i="27" s="1"/>
  <c r="W80" i="27"/>
  <c r="P20" i="27"/>
  <c r="L78" i="27"/>
  <c r="K78" i="27"/>
  <c r="O42" i="25"/>
  <c r="O43" i="25"/>
  <c r="J62" i="31" l="1"/>
  <c r="J64" i="31" s="1"/>
  <c r="I69" i="31"/>
  <c r="I71" i="31" s="1"/>
  <c r="M78" i="27"/>
  <c r="S77" i="27"/>
  <c r="W27" i="26"/>
  <c r="Z25" i="26"/>
  <c r="P79" i="27"/>
  <c r="O80" i="27"/>
  <c r="AI79" i="27"/>
  <c r="AJ79" i="27"/>
  <c r="AK79" i="27" s="1"/>
  <c r="J80" i="27"/>
  <c r="I81" i="27"/>
  <c r="AE79" i="27"/>
  <c r="K79" i="27"/>
  <c r="L79" i="27"/>
  <c r="X81" i="27"/>
  <c r="Y81" i="27" s="1"/>
  <c r="W81" i="27"/>
  <c r="AD80" i="27"/>
  <c r="AC80" i="27" s="1"/>
  <c r="AA82" i="27"/>
  <c r="AB81" i="27"/>
  <c r="R78" i="27"/>
  <c r="Q78" i="27"/>
  <c r="AG81" i="27"/>
  <c r="AH80" i="27"/>
  <c r="U83" i="27"/>
  <c r="V82" i="27"/>
  <c r="Q42" i="25"/>
  <c r="J69" i="31" l="1"/>
  <c r="J71" i="31" s="1"/>
  <c r="M79" i="27"/>
  <c r="AE80" i="27"/>
  <c r="X82" i="27"/>
  <c r="Y82" i="27" s="1"/>
  <c r="W82" i="27"/>
  <c r="S78" i="27"/>
  <c r="AD81" i="27"/>
  <c r="AC81" i="27" s="1"/>
  <c r="I82" i="27"/>
  <c r="J81" i="27"/>
  <c r="P80" i="27"/>
  <c r="O81" i="27"/>
  <c r="U84" i="27"/>
  <c r="V83" i="27"/>
  <c r="AJ80" i="27"/>
  <c r="AJ21" i="27" s="1"/>
  <c r="AK21" i="27" s="1"/>
  <c r="AI80" i="27"/>
  <c r="AI21" i="27" s="1"/>
  <c r="AG82" i="27"/>
  <c r="AH81" i="27"/>
  <c r="AA83" i="27"/>
  <c r="AB82" i="27"/>
  <c r="L80" i="27"/>
  <c r="K80" i="27"/>
  <c r="K21" i="27" s="1"/>
  <c r="R79" i="27"/>
  <c r="Q79" i="27"/>
  <c r="AH21" i="27" l="1"/>
  <c r="AK80" i="27"/>
  <c r="M80" i="27"/>
  <c r="L21" i="27"/>
  <c r="M21" i="27" s="1"/>
  <c r="AE81" i="27"/>
  <c r="AG83" i="27"/>
  <c r="AH82" i="27"/>
  <c r="W83" i="27"/>
  <c r="X83" i="27"/>
  <c r="Y83" i="27" s="1"/>
  <c r="I83" i="27"/>
  <c r="J82" i="27"/>
  <c r="U85" i="27"/>
  <c r="V84" i="27"/>
  <c r="O82" i="27"/>
  <c r="P81" i="27"/>
  <c r="AA84" i="27"/>
  <c r="AB83" i="27"/>
  <c r="Q80" i="27"/>
  <c r="Q21" i="27" s="1"/>
  <c r="R80" i="27"/>
  <c r="R21" i="27" s="1"/>
  <c r="AD82" i="27"/>
  <c r="AI81" i="27"/>
  <c r="AJ81" i="27"/>
  <c r="K81" i="27"/>
  <c r="L81" i="27"/>
  <c r="S79" i="27"/>
  <c r="M81" i="27" l="1"/>
  <c r="J21" i="27"/>
  <c r="AE82" i="27"/>
  <c r="S80" i="27"/>
  <c r="P82" i="27"/>
  <c r="O83" i="27"/>
  <c r="P21" i="27"/>
  <c r="AC82" i="27"/>
  <c r="W84" i="27"/>
  <c r="X84" i="27"/>
  <c r="Y84" i="27" s="1"/>
  <c r="I84" i="27"/>
  <c r="J83" i="27"/>
  <c r="S21" i="27"/>
  <c r="AA85" i="27"/>
  <c r="AB84" i="27"/>
  <c r="V85" i="27"/>
  <c r="U86" i="27"/>
  <c r="AK81" i="27"/>
  <c r="AG84" i="27"/>
  <c r="AH83" i="27"/>
  <c r="K82" i="27"/>
  <c r="L82" i="27"/>
  <c r="AD83" i="27"/>
  <c r="AC83" i="27"/>
  <c r="AI82" i="27"/>
  <c r="AJ82" i="27"/>
  <c r="R81" i="27"/>
  <c r="Q81" i="27"/>
  <c r="S81" i="27" l="1"/>
  <c r="M82" i="27"/>
  <c r="AE83" i="27"/>
  <c r="AJ83" i="27"/>
  <c r="AI83" i="27"/>
  <c r="AD84" i="27"/>
  <c r="AD12" i="27" s="1"/>
  <c r="AK82" i="27"/>
  <c r="AA86" i="27"/>
  <c r="AB85" i="27"/>
  <c r="L83" i="27"/>
  <c r="K83" i="27"/>
  <c r="R82" i="27"/>
  <c r="Q82" i="27"/>
  <c r="X85" i="27"/>
  <c r="Y85" i="27" s="1"/>
  <c r="W85" i="27"/>
  <c r="AH84" i="27"/>
  <c r="AG85" i="27"/>
  <c r="O84" i="27"/>
  <c r="P83" i="27"/>
  <c r="U87" i="27"/>
  <c r="V86" i="27"/>
  <c r="I85" i="27"/>
  <c r="J84" i="27"/>
  <c r="S82" i="27" l="1"/>
  <c r="M83" i="27"/>
  <c r="AK83" i="27"/>
  <c r="AE84" i="27"/>
  <c r="X86" i="27"/>
  <c r="Y86" i="27" s="1"/>
  <c r="W86" i="27"/>
  <c r="I86" i="27"/>
  <c r="J85" i="27"/>
  <c r="O85" i="27"/>
  <c r="P84" i="27"/>
  <c r="AG86" i="27"/>
  <c r="AH85" i="27"/>
  <c r="AD85" i="27"/>
  <c r="AC84" i="27"/>
  <c r="AC12" i="27" s="1"/>
  <c r="L84" i="27"/>
  <c r="K84" i="27"/>
  <c r="K22" i="27" s="1"/>
  <c r="R83" i="27"/>
  <c r="S83" i="27" s="1"/>
  <c r="Q83" i="27"/>
  <c r="U88" i="27"/>
  <c r="V87" i="27"/>
  <c r="AJ84" i="27"/>
  <c r="AJ22" i="27" s="1"/>
  <c r="AK22" i="27" s="1"/>
  <c r="AI84" i="27"/>
  <c r="AI22" i="27" s="1"/>
  <c r="AA87" i="27"/>
  <c r="AB86" i="27"/>
  <c r="E12" i="27"/>
  <c r="AE12" i="27"/>
  <c r="M84" i="27" l="1"/>
  <c r="L22" i="27"/>
  <c r="M22" i="27" s="1"/>
  <c r="AH22" i="27"/>
  <c r="AE85" i="27"/>
  <c r="AC85" i="27"/>
  <c r="Q84" i="27"/>
  <c r="R84" i="27"/>
  <c r="R22" i="27" s="1"/>
  <c r="W87" i="27"/>
  <c r="X87" i="27"/>
  <c r="Y87" i="27" s="1"/>
  <c r="Q22" i="27"/>
  <c r="AI85" i="27"/>
  <c r="AJ85" i="27"/>
  <c r="O86" i="27"/>
  <c r="P85" i="27"/>
  <c r="F12" i="27"/>
  <c r="I87" i="27"/>
  <c r="J86" i="27"/>
  <c r="AK84" i="27"/>
  <c r="AD86" i="27"/>
  <c r="AA88" i="27"/>
  <c r="AB87" i="27"/>
  <c r="U89" i="27"/>
  <c r="V88" i="27"/>
  <c r="AB12" i="27"/>
  <c r="C12" i="27" s="1"/>
  <c r="D12" i="27"/>
  <c r="AG87" i="27"/>
  <c r="AH86" i="27"/>
  <c r="K85" i="27"/>
  <c r="L85" i="27"/>
  <c r="M85" i="27" s="1"/>
  <c r="AE86" i="27" l="1"/>
  <c r="J22" i="27"/>
  <c r="AK85" i="27"/>
  <c r="AJ86" i="27"/>
  <c r="AI86" i="27"/>
  <c r="X88" i="27"/>
  <c r="Y88" i="27" s="1"/>
  <c r="W88" i="27"/>
  <c r="R85" i="27"/>
  <c r="Q85" i="27"/>
  <c r="P22" i="27"/>
  <c r="AG88" i="27"/>
  <c r="AH87" i="27"/>
  <c r="U90" i="27"/>
  <c r="V89" i="27"/>
  <c r="AC86" i="27"/>
  <c r="O87" i="27"/>
  <c r="P86" i="27"/>
  <c r="I88" i="27"/>
  <c r="J87" i="27"/>
  <c r="S22" i="27"/>
  <c r="AD87" i="27"/>
  <c r="AB88" i="27"/>
  <c r="AA89" i="27"/>
  <c r="K86" i="27"/>
  <c r="L86" i="27"/>
  <c r="M86" i="27" s="1"/>
  <c r="S84" i="27"/>
  <c r="S85" i="27" l="1"/>
  <c r="AK86" i="27"/>
  <c r="AD88" i="27"/>
  <c r="AC88" i="27" s="1"/>
  <c r="AG89" i="27"/>
  <c r="AH88" i="27"/>
  <c r="L87" i="27"/>
  <c r="M87" i="27" s="1"/>
  <c r="K87" i="27"/>
  <c r="X89" i="27"/>
  <c r="Y89" i="27" s="1"/>
  <c r="W89" i="27"/>
  <c r="AC87" i="27"/>
  <c r="I89" i="27"/>
  <c r="J88" i="27"/>
  <c r="R86" i="27"/>
  <c r="S86" i="27" s="1"/>
  <c r="Q86" i="27"/>
  <c r="U91" i="27"/>
  <c r="V90" i="27"/>
  <c r="AE87" i="27"/>
  <c r="AA90" i="27"/>
  <c r="AB89" i="27"/>
  <c r="O88" i="27"/>
  <c r="P87" i="27"/>
  <c r="AJ87" i="27"/>
  <c r="AI87" i="27"/>
  <c r="AK87" i="27" l="1"/>
  <c r="AE88" i="27"/>
  <c r="AA91" i="27"/>
  <c r="AB90" i="27"/>
  <c r="AD89" i="27"/>
  <c r="U92" i="27"/>
  <c r="V91" i="27"/>
  <c r="I90" i="27"/>
  <c r="J89" i="27"/>
  <c r="AG90" i="27"/>
  <c r="AH89" i="27"/>
  <c r="R87" i="27"/>
  <c r="S87" i="27" s="1"/>
  <c r="Q87" i="27"/>
  <c r="O89" i="27"/>
  <c r="P88" i="27"/>
  <c r="X90" i="27"/>
  <c r="Y90" i="27" s="1"/>
  <c r="W90" i="27"/>
  <c r="L88" i="27"/>
  <c r="M88" i="27" s="1"/>
  <c r="K88" i="27"/>
  <c r="AJ88" i="27"/>
  <c r="AK88" i="27" s="1"/>
  <c r="AI88" i="27"/>
  <c r="AE89" i="27" l="1"/>
  <c r="Q88" i="27"/>
  <c r="R88" i="27"/>
  <c r="S88" i="27" s="1"/>
  <c r="W91" i="27"/>
  <c r="X91" i="27"/>
  <c r="Y91" i="27" s="1"/>
  <c r="AD90" i="27"/>
  <c r="I91" i="27"/>
  <c r="J90" i="27"/>
  <c r="AI89" i="27"/>
  <c r="AJ89" i="27"/>
  <c r="AK89" i="27" s="1"/>
  <c r="O90" i="27"/>
  <c r="P89" i="27"/>
  <c r="AG91" i="27"/>
  <c r="AH90" i="27"/>
  <c r="U93" i="27"/>
  <c r="V92" i="27"/>
  <c r="AA92" i="27"/>
  <c r="AB91" i="27"/>
  <c r="K89" i="27"/>
  <c r="L89" i="27"/>
  <c r="M89" i="27" s="1"/>
  <c r="AC89" i="27"/>
  <c r="AE90" i="27" l="1"/>
  <c r="AC90" i="27"/>
  <c r="U94" i="27"/>
  <c r="V93" i="27"/>
  <c r="AD91" i="27"/>
  <c r="AE91" i="27" s="1"/>
  <c r="AI90" i="27"/>
  <c r="AJ90" i="27"/>
  <c r="AK90" i="27" s="1"/>
  <c r="O91" i="27"/>
  <c r="P90" i="27"/>
  <c r="I92" i="27"/>
  <c r="J91" i="27"/>
  <c r="AA93" i="27"/>
  <c r="AB92" i="27"/>
  <c r="AH91" i="27"/>
  <c r="AG92" i="27"/>
  <c r="W92" i="27"/>
  <c r="X92" i="27"/>
  <c r="Y92" i="27" s="1"/>
  <c r="Q89" i="27"/>
  <c r="R89" i="27"/>
  <c r="S89" i="27" s="1"/>
  <c r="L90" i="27"/>
  <c r="M90" i="27" s="1"/>
  <c r="K90" i="27"/>
  <c r="AD92" i="27" l="1"/>
  <c r="AE92" i="27" s="1"/>
  <c r="I93" i="27"/>
  <c r="J92" i="27"/>
  <c r="V94" i="27"/>
  <c r="U95" i="27"/>
  <c r="AA94" i="27"/>
  <c r="AB93" i="27"/>
  <c r="R90" i="27"/>
  <c r="S90" i="27" s="1"/>
  <c r="Q90" i="27"/>
  <c r="AC91" i="27"/>
  <c r="AG93" i="27"/>
  <c r="AH92" i="27"/>
  <c r="P91" i="27"/>
  <c r="O92" i="27"/>
  <c r="AJ91" i="27"/>
  <c r="AK91" i="27" s="1"/>
  <c r="AI91" i="27"/>
  <c r="L91" i="27"/>
  <c r="M91" i="27" s="1"/>
  <c r="K91" i="27"/>
  <c r="X93" i="27"/>
  <c r="Y93" i="27" s="1"/>
  <c r="W93" i="27"/>
  <c r="X94" i="27" l="1"/>
  <c r="Y94" i="27" s="1"/>
  <c r="W94" i="27"/>
  <c r="O93" i="27"/>
  <c r="P92" i="27"/>
  <c r="AD93" i="27"/>
  <c r="AE93" i="27" s="1"/>
  <c r="AC93" i="27"/>
  <c r="L92" i="27"/>
  <c r="M92" i="27" s="1"/>
  <c r="K92" i="27"/>
  <c r="AJ92" i="27"/>
  <c r="AK92" i="27" s="1"/>
  <c r="AI92" i="27"/>
  <c r="AG94" i="27"/>
  <c r="AH93" i="27"/>
  <c r="R91" i="27"/>
  <c r="S91" i="27" s="1"/>
  <c r="Q91" i="27"/>
  <c r="AA95" i="27"/>
  <c r="AB94" i="27"/>
  <c r="I94" i="27"/>
  <c r="J93" i="27"/>
  <c r="U96" i="27"/>
  <c r="V95" i="27"/>
  <c r="AC92" i="27"/>
  <c r="AD94" i="27" l="1"/>
  <c r="AC94" i="27" s="1"/>
  <c r="U97" i="27"/>
  <c r="V96" i="27"/>
  <c r="AA96" i="27"/>
  <c r="AB95" i="27"/>
  <c r="AG95" i="27"/>
  <c r="AH94" i="27"/>
  <c r="O94" i="27"/>
  <c r="P93" i="27"/>
  <c r="K93" i="27"/>
  <c r="L93" i="27"/>
  <c r="M93" i="27" s="1"/>
  <c r="I95" i="27"/>
  <c r="J94" i="27"/>
  <c r="W95" i="27"/>
  <c r="X95" i="27"/>
  <c r="Y95" i="27" s="1"/>
  <c r="AI93" i="27"/>
  <c r="AJ93" i="27"/>
  <c r="AK93" i="27" s="1"/>
  <c r="Q92" i="27"/>
  <c r="R92" i="27"/>
  <c r="S92" i="27" s="1"/>
  <c r="J95" i="27" l="1"/>
  <c r="I96" i="27"/>
  <c r="R93" i="27"/>
  <c r="S93" i="27" s="1"/>
  <c r="Q93" i="27"/>
  <c r="AJ94" i="27"/>
  <c r="AK94" i="27" s="1"/>
  <c r="AI94" i="27"/>
  <c r="X96" i="27"/>
  <c r="Y96" i="27" s="1"/>
  <c r="W96" i="27"/>
  <c r="AE94" i="27"/>
  <c r="AD95" i="27"/>
  <c r="AC95" i="27" s="1"/>
  <c r="L94" i="27"/>
  <c r="M94" i="27" s="1"/>
  <c r="K94" i="27"/>
  <c r="AG96" i="27"/>
  <c r="AH95" i="27"/>
  <c r="U98" i="27"/>
  <c r="V97" i="27"/>
  <c r="O95" i="27"/>
  <c r="P94" i="27"/>
  <c r="AB96" i="27"/>
  <c r="AA97" i="27"/>
  <c r="R94" i="27" l="1"/>
  <c r="S94" i="27" s="1"/>
  <c r="Q94" i="27"/>
  <c r="O96" i="27"/>
  <c r="P95" i="27"/>
  <c r="AD96" i="27"/>
  <c r="AD13" i="27" s="1"/>
  <c r="U99" i="27"/>
  <c r="V98" i="27"/>
  <c r="AJ95" i="27"/>
  <c r="AK95" i="27" s="1"/>
  <c r="AI95" i="27"/>
  <c r="AG97" i="27"/>
  <c r="AH96" i="27"/>
  <c r="I97" i="27"/>
  <c r="J96" i="27"/>
  <c r="AA98" i="27"/>
  <c r="AB97" i="27"/>
  <c r="X97" i="27"/>
  <c r="Y97" i="27" s="1"/>
  <c r="W97" i="27"/>
  <c r="AE95" i="27"/>
  <c r="L95" i="27"/>
  <c r="M95" i="27" s="1"/>
  <c r="K95" i="27"/>
  <c r="AE96" i="27" l="1"/>
  <c r="E13" i="27"/>
  <c r="AE13" i="27"/>
  <c r="I98" i="27"/>
  <c r="J97" i="27"/>
  <c r="AJ96" i="27"/>
  <c r="AK96" i="27" s="1"/>
  <c r="AI96" i="27"/>
  <c r="X98" i="27"/>
  <c r="Y98" i="27" s="1"/>
  <c r="W98" i="27"/>
  <c r="R95" i="27"/>
  <c r="S95" i="27" s="1"/>
  <c r="Q95" i="27"/>
  <c r="AG98" i="27"/>
  <c r="AH97" i="27"/>
  <c r="U100" i="27"/>
  <c r="V99" i="27"/>
  <c r="O97" i="27"/>
  <c r="P96" i="27"/>
  <c r="AD97" i="27"/>
  <c r="AC97" i="27"/>
  <c r="AA99" i="27"/>
  <c r="AB98" i="27"/>
  <c r="L96" i="27"/>
  <c r="M96" i="27" s="1"/>
  <c r="K96" i="27"/>
  <c r="AC96" i="27"/>
  <c r="AC13" i="27" s="1"/>
  <c r="AE97" i="27" l="1"/>
  <c r="W99" i="27"/>
  <c r="X99" i="27"/>
  <c r="Y99" i="27" s="1"/>
  <c r="AD98" i="27"/>
  <c r="U101" i="27"/>
  <c r="V100" i="27"/>
  <c r="Q96" i="27"/>
  <c r="R96" i="27"/>
  <c r="S96" i="27" s="1"/>
  <c r="AI97" i="27"/>
  <c r="AJ97" i="27"/>
  <c r="AK97" i="27" s="1"/>
  <c r="K97" i="27"/>
  <c r="L97" i="27"/>
  <c r="M97" i="27" s="1"/>
  <c r="F13" i="27"/>
  <c r="AB13" i="27"/>
  <c r="C13" i="27" s="1"/>
  <c r="D13" i="27"/>
  <c r="AA100" i="27"/>
  <c r="AB99" i="27"/>
  <c r="O98" i="27"/>
  <c r="P97" i="27"/>
  <c r="AG99" i="27"/>
  <c r="AH98" i="27"/>
  <c r="I99" i="27"/>
  <c r="J98" i="27"/>
  <c r="AE98" i="27" l="1"/>
  <c r="AC98" i="27"/>
  <c r="AJ98" i="27"/>
  <c r="AK98" i="27" s="1"/>
  <c r="AI98" i="27"/>
  <c r="AH99" i="27"/>
  <c r="AG100" i="27"/>
  <c r="AA101" i="27"/>
  <c r="AB100" i="27"/>
  <c r="X100" i="27"/>
  <c r="Y100" i="27" s="1"/>
  <c r="W100" i="27"/>
  <c r="L98" i="27"/>
  <c r="M98" i="27" s="1"/>
  <c r="K98" i="27"/>
  <c r="R97" i="27"/>
  <c r="S97" i="27" s="1"/>
  <c r="Q97" i="27"/>
  <c r="U102" i="27"/>
  <c r="V101" i="27"/>
  <c r="AD99" i="27"/>
  <c r="AC99" i="27" s="1"/>
  <c r="I100" i="27"/>
  <c r="J99" i="27"/>
  <c r="P98" i="27"/>
  <c r="O99" i="27"/>
  <c r="X101" i="27" l="1"/>
  <c r="Y101" i="27" s="1"/>
  <c r="W101" i="27"/>
  <c r="AD100" i="27"/>
  <c r="AC100" i="27" s="1"/>
  <c r="O100" i="27"/>
  <c r="P99" i="27"/>
  <c r="AH100" i="27"/>
  <c r="AG101" i="27"/>
  <c r="R98" i="27"/>
  <c r="S98" i="27" s="1"/>
  <c r="Q98" i="27"/>
  <c r="L99" i="27"/>
  <c r="M99" i="27" s="1"/>
  <c r="K99" i="27"/>
  <c r="I101" i="27"/>
  <c r="J100" i="27"/>
  <c r="U103" i="27"/>
  <c r="V102" i="27"/>
  <c r="AA102" i="27"/>
  <c r="AB101" i="27"/>
  <c r="AJ99" i="27"/>
  <c r="AK99" i="27" s="1"/>
  <c r="AI99" i="27"/>
  <c r="AE99" i="27"/>
  <c r="AE100" i="27" l="1"/>
  <c r="I102" i="27"/>
  <c r="J101" i="27"/>
  <c r="O101" i="27"/>
  <c r="P100" i="27"/>
  <c r="U104" i="27"/>
  <c r="V103" i="27"/>
  <c r="AJ100" i="27"/>
  <c r="AK100" i="27" s="1"/>
  <c r="AI100" i="27"/>
  <c r="AD101" i="27"/>
  <c r="AC101" i="27" s="1"/>
  <c r="L100" i="27"/>
  <c r="M100" i="27" s="1"/>
  <c r="K100" i="27"/>
  <c r="R99" i="27"/>
  <c r="S99" i="27" s="1"/>
  <c r="Q99" i="27"/>
  <c r="AA103" i="27"/>
  <c r="AB102" i="27"/>
  <c r="X102" i="27"/>
  <c r="Y102" i="27" s="1"/>
  <c r="W102" i="27"/>
  <c r="AG102" i="27"/>
  <c r="AH101" i="27"/>
  <c r="AG103" i="27" l="1"/>
  <c r="AH102" i="27"/>
  <c r="AA104" i="27"/>
  <c r="AB103" i="27"/>
  <c r="Q100" i="27"/>
  <c r="R100" i="27"/>
  <c r="S100" i="27" s="1"/>
  <c r="O102" i="27"/>
  <c r="P101" i="27"/>
  <c r="W103" i="27"/>
  <c r="X103" i="27"/>
  <c r="Y103" i="27" s="1"/>
  <c r="K101" i="27"/>
  <c r="L101" i="27"/>
  <c r="M101" i="27" s="1"/>
  <c r="AI101" i="27"/>
  <c r="AJ101" i="27"/>
  <c r="AK101" i="27" s="1"/>
  <c r="AD102" i="27"/>
  <c r="AC102" i="27" s="1"/>
  <c r="AE101" i="27"/>
  <c r="U105" i="27"/>
  <c r="V104" i="27"/>
  <c r="I103" i="27"/>
  <c r="J102" i="27"/>
  <c r="AE102" i="27" l="1"/>
  <c r="L102" i="27"/>
  <c r="M102" i="27" s="1"/>
  <c r="K102" i="27"/>
  <c r="AJ102" i="27"/>
  <c r="AK102" i="27" s="1"/>
  <c r="AI102" i="27"/>
  <c r="X104" i="27"/>
  <c r="Y104" i="27" s="1"/>
  <c r="W104" i="27"/>
  <c r="AD103" i="27"/>
  <c r="J103" i="27"/>
  <c r="I104" i="27"/>
  <c r="R101" i="27"/>
  <c r="S101" i="27" s="1"/>
  <c r="Q101" i="27"/>
  <c r="U106" i="27"/>
  <c r="V105" i="27"/>
  <c r="O103" i="27"/>
  <c r="P102" i="27"/>
  <c r="AB104" i="27"/>
  <c r="AA105" i="27"/>
  <c r="AG104" i="27"/>
  <c r="AH103" i="27"/>
  <c r="AE103" i="27" l="1"/>
  <c r="AG105" i="27"/>
  <c r="AH104" i="27"/>
  <c r="AD104" i="27"/>
  <c r="AC104" i="27" s="1"/>
  <c r="U107" i="27"/>
  <c r="V106" i="27"/>
  <c r="L103" i="27"/>
  <c r="M103" i="27" s="1"/>
  <c r="K103" i="27"/>
  <c r="O104" i="27"/>
  <c r="P103" i="27"/>
  <c r="AC103" i="27"/>
  <c r="AA106" i="27"/>
  <c r="AB105" i="27"/>
  <c r="X105" i="27"/>
  <c r="Y105" i="27" s="1"/>
  <c r="W105" i="27"/>
  <c r="J104" i="27"/>
  <c r="I105" i="27"/>
  <c r="AJ103" i="27"/>
  <c r="AK103" i="27" s="1"/>
  <c r="AI103" i="27"/>
  <c r="R102" i="27"/>
  <c r="S102" i="27" s="1"/>
  <c r="Q102" i="27"/>
  <c r="AE104" i="27" l="1"/>
  <c r="AD105" i="27"/>
  <c r="AC105" i="27" s="1"/>
  <c r="U108" i="27"/>
  <c r="V107" i="27"/>
  <c r="AG106" i="27"/>
  <c r="AH105" i="27"/>
  <c r="R103" i="27"/>
  <c r="S103" i="27" s="1"/>
  <c r="Q103" i="27"/>
  <c r="X106" i="27"/>
  <c r="Y106" i="27" s="1"/>
  <c r="W106" i="27"/>
  <c r="AJ104" i="27"/>
  <c r="AK104" i="27" s="1"/>
  <c r="AI104" i="27"/>
  <c r="I106" i="27"/>
  <c r="J105" i="27"/>
  <c r="O105" i="27"/>
  <c r="P104" i="27"/>
  <c r="L104" i="27"/>
  <c r="M104" i="27" s="1"/>
  <c r="K104" i="27"/>
  <c r="AA107" i="27"/>
  <c r="AB106" i="27"/>
  <c r="AE105" i="27" l="1"/>
  <c r="AD106" i="27"/>
  <c r="AC106" i="27" s="1"/>
  <c r="AA108" i="27"/>
  <c r="AB107" i="27"/>
  <c r="Q104" i="27"/>
  <c r="R104" i="27"/>
  <c r="S104" i="27" s="1"/>
  <c r="W107" i="27"/>
  <c r="X107" i="27"/>
  <c r="Y107" i="27" s="1"/>
  <c r="K105" i="27"/>
  <c r="L105" i="27"/>
  <c r="M105" i="27" s="1"/>
  <c r="O106" i="27"/>
  <c r="P105" i="27"/>
  <c r="U109" i="27"/>
  <c r="V108" i="27"/>
  <c r="AI105" i="27"/>
  <c r="AJ105" i="27"/>
  <c r="AK105" i="27" s="1"/>
  <c r="I107" i="27"/>
  <c r="J106" i="27"/>
  <c r="AG107" i="27"/>
  <c r="AH106" i="27"/>
  <c r="AE106" i="27" l="1"/>
  <c r="R105" i="27"/>
  <c r="S105" i="27" s="1"/>
  <c r="Q105" i="27"/>
  <c r="AG108" i="27"/>
  <c r="AH107" i="27"/>
  <c r="P106" i="27"/>
  <c r="O107" i="27"/>
  <c r="L106" i="27"/>
  <c r="M106" i="27" s="1"/>
  <c r="K106" i="27"/>
  <c r="X108" i="27"/>
  <c r="Y108" i="27" s="1"/>
  <c r="W108" i="27"/>
  <c r="AD107" i="27"/>
  <c r="AC107" i="27" s="1"/>
  <c r="I108" i="27"/>
  <c r="J107" i="27"/>
  <c r="U110" i="27"/>
  <c r="V109" i="27"/>
  <c r="AA109" i="27"/>
  <c r="AB108" i="27"/>
  <c r="AJ106" i="27"/>
  <c r="AK106" i="27" s="1"/>
  <c r="AI106" i="27"/>
  <c r="U111" i="27" l="1"/>
  <c r="V110" i="27"/>
  <c r="AJ107" i="27"/>
  <c r="AK107" i="27" s="1"/>
  <c r="AI107" i="27"/>
  <c r="AD108" i="27"/>
  <c r="AD14" i="27" s="1"/>
  <c r="L107" i="27"/>
  <c r="M107" i="27" s="1"/>
  <c r="K107" i="27"/>
  <c r="AE107" i="27"/>
  <c r="AG109" i="27"/>
  <c r="AH108" i="27"/>
  <c r="AA110" i="27"/>
  <c r="AB109" i="27"/>
  <c r="I109" i="27"/>
  <c r="J108" i="27"/>
  <c r="O108" i="27"/>
  <c r="P107" i="27"/>
  <c r="W109" i="27"/>
  <c r="X109" i="27"/>
  <c r="Y109" i="27" s="1"/>
  <c r="R106" i="27"/>
  <c r="S106" i="27" s="1"/>
  <c r="Q106" i="27"/>
  <c r="E14" i="27" l="1"/>
  <c r="AE14" i="27"/>
  <c r="U112" i="27"/>
  <c r="V111" i="27"/>
  <c r="AD109" i="27"/>
  <c r="AC109" i="27" s="1"/>
  <c r="AE108" i="27"/>
  <c r="O109" i="27"/>
  <c r="P108" i="27"/>
  <c r="AB110" i="27"/>
  <c r="AA111" i="27"/>
  <c r="R107" i="27"/>
  <c r="S107" i="27" s="1"/>
  <c r="Q107" i="27"/>
  <c r="L108" i="27"/>
  <c r="M108" i="27" s="1"/>
  <c r="K108" i="27"/>
  <c r="AJ108" i="27"/>
  <c r="AK108" i="27" s="1"/>
  <c r="AI108" i="27"/>
  <c r="I110" i="27"/>
  <c r="J109" i="27"/>
  <c r="AH109" i="27"/>
  <c r="AG110" i="27"/>
  <c r="AC108" i="27"/>
  <c r="AC14" i="27" s="1"/>
  <c r="W110" i="27"/>
  <c r="X110" i="27"/>
  <c r="Y110" i="27" s="1"/>
  <c r="AH110" i="27" l="1"/>
  <c r="AG111" i="27"/>
  <c r="AJ109" i="27"/>
  <c r="AK109" i="27" s="1"/>
  <c r="AI109" i="27"/>
  <c r="P109" i="27"/>
  <c r="O110" i="27"/>
  <c r="X111" i="27"/>
  <c r="Y111" i="27" s="1"/>
  <c r="W111" i="27"/>
  <c r="K109" i="27"/>
  <c r="L109" i="27"/>
  <c r="M109" i="27" s="1"/>
  <c r="AA112" i="27"/>
  <c r="AB111" i="27"/>
  <c r="AE109" i="27"/>
  <c r="U113" i="27"/>
  <c r="V112" i="27"/>
  <c r="AB14" i="27"/>
  <c r="C14" i="27" s="1"/>
  <c r="D14" i="27"/>
  <c r="J110" i="27"/>
  <c r="I111" i="27"/>
  <c r="AD110" i="27"/>
  <c r="AC110" i="27" s="1"/>
  <c r="F14" i="27"/>
  <c r="Q108" i="27"/>
  <c r="R108" i="27"/>
  <c r="S108" i="27" s="1"/>
  <c r="U114" i="27" l="1"/>
  <c r="V113" i="27"/>
  <c r="J111" i="27"/>
  <c r="I112" i="27"/>
  <c r="X112" i="27"/>
  <c r="Y112" i="27" s="1"/>
  <c r="W112" i="27"/>
  <c r="AA113" i="27"/>
  <c r="AB112" i="27"/>
  <c r="AG112" i="27"/>
  <c r="AH111" i="27"/>
  <c r="AE110" i="27"/>
  <c r="R109" i="27"/>
  <c r="S109" i="27" s="1"/>
  <c r="Q109" i="27"/>
  <c r="AJ110" i="27"/>
  <c r="AK110" i="27" s="1"/>
  <c r="AI110" i="27"/>
  <c r="L110" i="27"/>
  <c r="M110" i="27" s="1"/>
  <c r="K110" i="27"/>
  <c r="P110" i="27"/>
  <c r="O111" i="27"/>
  <c r="AD111" i="27"/>
  <c r="AE111" i="27" l="1"/>
  <c r="AA114" i="27"/>
  <c r="AB113" i="27"/>
  <c r="K111" i="27"/>
  <c r="L111" i="27"/>
  <c r="M111" i="27" s="1"/>
  <c r="W113" i="27"/>
  <c r="X113" i="27"/>
  <c r="Y113" i="27" s="1"/>
  <c r="O112" i="27"/>
  <c r="P111" i="27"/>
  <c r="Q110" i="27"/>
  <c r="R110" i="27"/>
  <c r="S110" i="27" s="1"/>
  <c r="AI111" i="27"/>
  <c r="AJ111" i="27"/>
  <c r="AK111" i="27" s="1"/>
  <c r="AC111" i="27"/>
  <c r="AG113" i="27"/>
  <c r="AH112" i="27"/>
  <c r="AD112" i="27"/>
  <c r="I113" i="27"/>
  <c r="J112" i="27"/>
  <c r="U115" i="27"/>
  <c r="V114" i="27"/>
  <c r="X114" i="27" l="1"/>
  <c r="Y114" i="27" s="1"/>
  <c r="W114" i="27"/>
  <c r="AJ112" i="27"/>
  <c r="AK112" i="27" s="1"/>
  <c r="AI112" i="27"/>
  <c r="O113" i="27"/>
  <c r="P112" i="27"/>
  <c r="J113" i="27"/>
  <c r="I114" i="27"/>
  <c r="AG114" i="27"/>
  <c r="AH113" i="27"/>
  <c r="AD113" i="27"/>
  <c r="AC113" i="27" s="1"/>
  <c r="AA115" i="27"/>
  <c r="AB114" i="27"/>
  <c r="U116" i="27"/>
  <c r="V115" i="27"/>
  <c r="AC112" i="27"/>
  <c r="R111" i="27"/>
  <c r="S111" i="27" s="1"/>
  <c r="Q111" i="27"/>
  <c r="AE112" i="27"/>
  <c r="L112" i="27"/>
  <c r="M112" i="27" s="1"/>
  <c r="K112" i="27"/>
  <c r="AD114" i="27" l="1"/>
  <c r="AC114" i="27" s="1"/>
  <c r="R112" i="27"/>
  <c r="S112" i="27" s="1"/>
  <c r="Q112" i="27"/>
  <c r="U117" i="27"/>
  <c r="V116" i="27"/>
  <c r="I115" i="27"/>
  <c r="J114" i="27"/>
  <c r="L113" i="27"/>
  <c r="M113" i="27" s="1"/>
  <c r="K113" i="27"/>
  <c r="AB115" i="27"/>
  <c r="AA116" i="27"/>
  <c r="AJ113" i="27"/>
  <c r="AK113" i="27" s="1"/>
  <c r="AI113" i="27"/>
  <c r="AE113" i="27"/>
  <c r="X115" i="27"/>
  <c r="Y115" i="27" s="1"/>
  <c r="W115" i="27"/>
  <c r="AG115" i="27"/>
  <c r="AH114" i="27"/>
  <c r="O114" i="27"/>
  <c r="P113" i="27"/>
  <c r="AE114" i="27" l="1"/>
  <c r="O115" i="27"/>
  <c r="P114" i="27"/>
  <c r="AA117" i="27"/>
  <c r="AB116" i="27"/>
  <c r="L114" i="27"/>
  <c r="M114" i="27" s="1"/>
  <c r="K114" i="27"/>
  <c r="AJ114" i="27"/>
  <c r="AK114" i="27" s="1"/>
  <c r="AI114" i="27"/>
  <c r="AD115" i="27"/>
  <c r="AC115" i="27" s="1"/>
  <c r="I116" i="27"/>
  <c r="J115" i="27"/>
  <c r="AG116" i="27"/>
  <c r="AH115" i="27"/>
  <c r="X116" i="27"/>
  <c r="Y116" i="27" s="1"/>
  <c r="W116" i="27"/>
  <c r="R113" i="27"/>
  <c r="S113" i="27" s="1"/>
  <c r="Q113" i="27"/>
  <c r="U118" i="27"/>
  <c r="V117" i="27"/>
  <c r="AI115" i="27" l="1"/>
  <c r="AJ115" i="27"/>
  <c r="AK115" i="27" s="1"/>
  <c r="K115" i="27"/>
  <c r="L115" i="27"/>
  <c r="M115" i="27" s="1"/>
  <c r="U119" i="27"/>
  <c r="V118" i="27"/>
  <c r="AE115" i="27"/>
  <c r="Q114" i="27"/>
  <c r="R114" i="27"/>
  <c r="S114" i="27" s="1"/>
  <c r="O116" i="27"/>
  <c r="P115" i="27"/>
  <c r="AD116" i="27"/>
  <c r="AC116" i="27" s="1"/>
  <c r="W117" i="27"/>
  <c r="X117" i="27"/>
  <c r="Y117" i="27" s="1"/>
  <c r="AG117" i="27"/>
  <c r="AH116" i="27"/>
  <c r="I117" i="27"/>
  <c r="J116" i="27"/>
  <c r="AA118" i="27"/>
  <c r="AB117" i="27"/>
  <c r="AA119" i="27" l="1"/>
  <c r="AB118" i="27"/>
  <c r="AG118" i="27"/>
  <c r="AH117" i="27"/>
  <c r="L116" i="27"/>
  <c r="M116" i="27" s="1"/>
  <c r="K116" i="27"/>
  <c r="V119" i="27"/>
  <c r="U120" i="27"/>
  <c r="I118" i="27"/>
  <c r="J117" i="27"/>
  <c r="R115" i="27"/>
  <c r="S115" i="27" s="1"/>
  <c r="Q115" i="27"/>
  <c r="X118" i="27"/>
  <c r="Y118" i="27" s="1"/>
  <c r="W118" i="27"/>
  <c r="AD117" i="27"/>
  <c r="AC117" i="27" s="1"/>
  <c r="AJ116" i="27"/>
  <c r="AK116" i="27" s="1"/>
  <c r="AI116" i="27"/>
  <c r="P116" i="27"/>
  <c r="O117" i="27"/>
  <c r="AE116" i="27"/>
  <c r="L117" i="27" l="1"/>
  <c r="M117" i="27" s="1"/>
  <c r="K117" i="27"/>
  <c r="AH118" i="27"/>
  <c r="AG119" i="27"/>
  <c r="AE117" i="27"/>
  <c r="I119" i="27"/>
  <c r="J118" i="27"/>
  <c r="O118" i="27"/>
  <c r="P117" i="27"/>
  <c r="U121" i="27"/>
  <c r="V120" i="27"/>
  <c r="AA120" i="27"/>
  <c r="AB119" i="27"/>
  <c r="X119" i="27"/>
  <c r="Y119" i="27" s="1"/>
  <c r="W119" i="27"/>
  <c r="AJ117" i="27"/>
  <c r="AK117" i="27" s="1"/>
  <c r="AI117" i="27"/>
  <c r="R116" i="27"/>
  <c r="S116" i="27" s="1"/>
  <c r="Q116" i="27"/>
  <c r="AD118" i="27"/>
  <c r="AC118" i="27" s="1"/>
  <c r="AD119" i="27" l="1"/>
  <c r="AC119" i="27" s="1"/>
  <c r="R117" i="27"/>
  <c r="S117" i="27" s="1"/>
  <c r="Q117" i="27"/>
  <c r="AE118" i="27"/>
  <c r="AA121" i="27"/>
  <c r="AB120" i="27"/>
  <c r="O119" i="27"/>
  <c r="P118" i="27"/>
  <c r="AG120" i="27"/>
  <c r="AH119" i="27"/>
  <c r="X120" i="27"/>
  <c r="Y120" i="27" s="1"/>
  <c r="W120" i="27"/>
  <c r="L118" i="27"/>
  <c r="M118" i="27" s="1"/>
  <c r="K118" i="27"/>
  <c r="AJ118" i="27"/>
  <c r="AK118" i="27" s="1"/>
  <c r="AI118" i="27"/>
  <c r="U122" i="27"/>
  <c r="V121" i="27"/>
  <c r="I120" i="27"/>
  <c r="J119" i="27"/>
  <c r="AE119" i="27" l="1"/>
  <c r="I121" i="27"/>
  <c r="J120" i="27"/>
  <c r="Q118" i="27"/>
  <c r="R118" i="27"/>
  <c r="S118" i="27" s="1"/>
  <c r="W121" i="27"/>
  <c r="X121" i="27"/>
  <c r="Y121" i="27" s="1"/>
  <c r="O120" i="27"/>
  <c r="P119" i="27"/>
  <c r="U123" i="27"/>
  <c r="V122" i="27"/>
  <c r="AI119" i="27"/>
  <c r="AJ119" i="27"/>
  <c r="AK119" i="27" s="1"/>
  <c r="AD120" i="27"/>
  <c r="AD15" i="27" s="1"/>
  <c r="K119" i="27"/>
  <c r="L119" i="27"/>
  <c r="M119" i="27" s="1"/>
  <c r="AG121" i="27"/>
  <c r="AH120" i="27"/>
  <c r="AA122" i="27"/>
  <c r="AB121" i="27"/>
  <c r="AJ120" i="27" l="1"/>
  <c r="AK120" i="27" s="1"/>
  <c r="AI120" i="27"/>
  <c r="AE120" i="27"/>
  <c r="I122" i="27"/>
  <c r="J121" i="27"/>
  <c r="E15" i="27"/>
  <c r="AE15" i="27"/>
  <c r="X122" i="27"/>
  <c r="Y122" i="27" s="1"/>
  <c r="W122" i="27"/>
  <c r="R119" i="27"/>
  <c r="S119" i="27" s="1"/>
  <c r="Q119" i="27"/>
  <c r="AB122" i="27"/>
  <c r="AA123" i="27"/>
  <c r="L120" i="27"/>
  <c r="M120" i="27" s="1"/>
  <c r="K120" i="27"/>
  <c r="AG122" i="27"/>
  <c r="AH121" i="27"/>
  <c r="AD121" i="27"/>
  <c r="AC121" i="27"/>
  <c r="AC120" i="27"/>
  <c r="AC15" i="27" s="1"/>
  <c r="U124" i="27"/>
  <c r="V123" i="27"/>
  <c r="O121" i="27"/>
  <c r="P120" i="27"/>
  <c r="AE121" i="27" l="1"/>
  <c r="O122" i="27"/>
  <c r="P121" i="27"/>
  <c r="R120" i="27"/>
  <c r="S120" i="27" s="1"/>
  <c r="Q120" i="27"/>
  <c r="AB15" i="27"/>
  <c r="C15" i="27" s="1"/>
  <c r="D15" i="27"/>
  <c r="AG123" i="27"/>
  <c r="AH122" i="27"/>
  <c r="AD122" i="27"/>
  <c r="AE122" i="27" s="1"/>
  <c r="AC122" i="27"/>
  <c r="J122" i="27"/>
  <c r="I123" i="27"/>
  <c r="F15" i="27"/>
  <c r="X123" i="27"/>
  <c r="Y123" i="27" s="1"/>
  <c r="W123" i="27"/>
  <c r="U125" i="27"/>
  <c r="V124" i="27"/>
  <c r="AJ121" i="27"/>
  <c r="AK121" i="27" s="1"/>
  <c r="AI121" i="27"/>
  <c r="AA124" i="27"/>
  <c r="AB123" i="27"/>
  <c r="L121" i="27"/>
  <c r="M121" i="27" s="1"/>
  <c r="K121" i="27"/>
  <c r="AA125" i="27" l="1"/>
  <c r="AB124" i="27"/>
  <c r="U126" i="27"/>
  <c r="V125" i="27"/>
  <c r="R121" i="27"/>
  <c r="S121" i="27" s="1"/>
  <c r="Q121" i="27"/>
  <c r="I124" i="27"/>
  <c r="J123" i="27"/>
  <c r="AJ122" i="27"/>
  <c r="AK122" i="27" s="1"/>
  <c r="AI122" i="27"/>
  <c r="O123" i="27"/>
  <c r="P122" i="27"/>
  <c r="AD123" i="27"/>
  <c r="AC123" i="27"/>
  <c r="X124" i="27"/>
  <c r="Y124" i="27" s="1"/>
  <c r="W124" i="27"/>
  <c r="L122" i="27"/>
  <c r="M122" i="27" s="1"/>
  <c r="K122" i="27"/>
  <c r="AG124" i="27"/>
  <c r="AH123" i="27"/>
  <c r="AA126" i="27" l="1"/>
  <c r="AB125" i="27"/>
  <c r="Q122" i="27"/>
  <c r="R122" i="27"/>
  <c r="S122" i="27" s="1"/>
  <c r="W125" i="27"/>
  <c r="X125" i="27"/>
  <c r="Y125" i="27" s="1"/>
  <c r="AE123" i="27"/>
  <c r="AI123" i="27"/>
  <c r="AJ123" i="27"/>
  <c r="AK123" i="27" s="1"/>
  <c r="K123" i="27"/>
  <c r="L123" i="27"/>
  <c r="M123" i="27" s="1"/>
  <c r="AG125" i="27"/>
  <c r="AH124" i="27"/>
  <c r="O124" i="27"/>
  <c r="P123" i="27"/>
  <c r="I125" i="27"/>
  <c r="J124" i="27"/>
  <c r="U127" i="27"/>
  <c r="V126" i="27"/>
  <c r="AC124" i="27"/>
  <c r="AD124" i="27"/>
  <c r="AE124" i="27" l="1"/>
  <c r="U128" i="27"/>
  <c r="V127" i="27"/>
  <c r="O125" i="27"/>
  <c r="P124" i="27"/>
  <c r="AD125" i="27"/>
  <c r="AC125" i="27"/>
  <c r="R123" i="27"/>
  <c r="S123" i="27" s="1"/>
  <c r="Q123" i="27"/>
  <c r="L124" i="27"/>
  <c r="M124" i="27" s="1"/>
  <c r="K124" i="27"/>
  <c r="AJ124" i="27"/>
  <c r="AK124" i="27" s="1"/>
  <c r="AI124" i="27"/>
  <c r="AA127" i="27"/>
  <c r="AB126" i="27"/>
  <c r="X126" i="27"/>
  <c r="Y126" i="27" s="1"/>
  <c r="W126" i="27"/>
  <c r="I126" i="27"/>
  <c r="J125" i="27"/>
  <c r="AH125" i="27"/>
  <c r="AG126" i="27"/>
  <c r="AE125" i="27" l="1"/>
  <c r="I127" i="27"/>
  <c r="J126" i="27"/>
  <c r="P125" i="27"/>
  <c r="O126" i="27"/>
  <c r="L125" i="27"/>
  <c r="M125" i="27" s="1"/>
  <c r="K125" i="27"/>
  <c r="R124" i="27"/>
  <c r="S124" i="27" s="1"/>
  <c r="Q124" i="27"/>
  <c r="AA128" i="27"/>
  <c r="AB127" i="27"/>
  <c r="X127" i="27"/>
  <c r="Y127" i="27" s="1"/>
  <c r="W127" i="27"/>
  <c r="AD126" i="27"/>
  <c r="AC126" i="27"/>
  <c r="AG127" i="27"/>
  <c r="AH126" i="27"/>
  <c r="AJ125" i="27"/>
  <c r="AK125" i="27" s="1"/>
  <c r="AI125" i="27"/>
  <c r="V128" i="27"/>
  <c r="U129" i="27"/>
  <c r="AE126" i="27" l="1"/>
  <c r="AJ126" i="27"/>
  <c r="AK126" i="27" s="1"/>
  <c r="AI126" i="27"/>
  <c r="AA129" i="27"/>
  <c r="AB128" i="27"/>
  <c r="I128" i="27"/>
  <c r="J127" i="27"/>
  <c r="AG128" i="27"/>
  <c r="AH127" i="27"/>
  <c r="O127" i="27"/>
  <c r="P126" i="27"/>
  <c r="X128" i="27"/>
  <c r="Y128" i="27" s="1"/>
  <c r="W128" i="27"/>
  <c r="R125" i="27"/>
  <c r="Q125" i="27"/>
  <c r="U130" i="27"/>
  <c r="V129" i="27"/>
  <c r="AD127" i="27"/>
  <c r="AC127" i="27"/>
  <c r="L126" i="27"/>
  <c r="M126" i="27" s="1"/>
  <c r="K126" i="27"/>
  <c r="S125" i="27"/>
  <c r="AE127" i="27" l="1"/>
  <c r="I129" i="27"/>
  <c r="J128" i="27"/>
  <c r="AC128" i="27"/>
  <c r="AD128" i="27"/>
  <c r="AE128" i="27" s="1"/>
  <c r="O128" i="27"/>
  <c r="P127" i="27"/>
  <c r="U131" i="27"/>
  <c r="V130" i="27"/>
  <c r="AI127" i="27"/>
  <c r="AJ127" i="27"/>
  <c r="AK127" i="27" s="1"/>
  <c r="AG129" i="27"/>
  <c r="AH128" i="27"/>
  <c r="AA130" i="27"/>
  <c r="AB129" i="27"/>
  <c r="W129" i="27"/>
  <c r="X129" i="27"/>
  <c r="Y129" i="27" s="1"/>
  <c r="Q126" i="27"/>
  <c r="R126" i="27"/>
  <c r="S126" i="27" s="1"/>
  <c r="K127" i="27"/>
  <c r="L127" i="27"/>
  <c r="M127" i="27" s="1"/>
  <c r="AJ128" i="27" l="1"/>
  <c r="AK128" i="27" s="1"/>
  <c r="AI128" i="27"/>
  <c r="X130" i="27"/>
  <c r="Y130" i="27" s="1"/>
  <c r="W130" i="27"/>
  <c r="AG130" i="27"/>
  <c r="AH129" i="27"/>
  <c r="U132" i="27"/>
  <c r="V131" i="27"/>
  <c r="AD129" i="27"/>
  <c r="AE129" i="27" s="1"/>
  <c r="AC129" i="27"/>
  <c r="R127" i="27"/>
  <c r="S127" i="27" s="1"/>
  <c r="Q127" i="27"/>
  <c r="L128" i="27"/>
  <c r="M128" i="27" s="1"/>
  <c r="K128" i="27"/>
  <c r="AA131" i="27"/>
  <c r="AB130" i="27"/>
  <c r="O129" i="27"/>
  <c r="P128" i="27"/>
  <c r="J129" i="27"/>
  <c r="I130" i="27"/>
  <c r="L129" i="27" l="1"/>
  <c r="M129" i="27" s="1"/>
  <c r="K129" i="27"/>
  <c r="R128" i="27"/>
  <c r="S128" i="27" s="1"/>
  <c r="Q128" i="27"/>
  <c r="U133" i="27"/>
  <c r="V132" i="27"/>
  <c r="X131" i="27"/>
  <c r="Y131" i="27" s="1"/>
  <c r="W131" i="27"/>
  <c r="O130" i="27"/>
  <c r="P129" i="27"/>
  <c r="AJ129" i="27"/>
  <c r="AK129" i="27" s="1"/>
  <c r="AI129" i="27"/>
  <c r="AB131" i="27"/>
  <c r="AA132" i="27"/>
  <c r="I131" i="27"/>
  <c r="J130" i="27"/>
  <c r="AD130" i="27"/>
  <c r="AE130" i="27" s="1"/>
  <c r="AC130" i="27"/>
  <c r="AG131" i="27"/>
  <c r="AH130" i="27"/>
  <c r="AA133" i="27" l="1"/>
  <c r="AB132" i="27"/>
  <c r="AG132" i="27"/>
  <c r="AH131" i="27"/>
  <c r="I132" i="27"/>
  <c r="J131" i="27"/>
  <c r="U134" i="27"/>
  <c r="V133" i="27"/>
  <c r="R129" i="27"/>
  <c r="S129" i="27" s="1"/>
  <c r="Q129" i="27"/>
  <c r="AD131" i="27"/>
  <c r="AE131" i="27" s="1"/>
  <c r="AC131" i="27"/>
  <c r="O131" i="27"/>
  <c r="P130" i="27"/>
  <c r="AJ130" i="27"/>
  <c r="AK130" i="27" s="1"/>
  <c r="AI130" i="27"/>
  <c r="L130" i="27"/>
  <c r="M130" i="27" s="1"/>
  <c r="K130" i="27"/>
  <c r="X132" i="27"/>
  <c r="Y132" i="27" s="1"/>
  <c r="W132" i="27"/>
  <c r="I133" i="27" l="1"/>
  <c r="J132" i="27"/>
  <c r="U135" i="27"/>
  <c r="V134" i="27"/>
  <c r="W133" i="27"/>
  <c r="X133" i="27"/>
  <c r="Y133" i="27" s="1"/>
  <c r="AA134" i="27"/>
  <c r="AB133" i="27"/>
  <c r="Q130" i="27"/>
  <c r="R130" i="27"/>
  <c r="S130" i="27" s="1"/>
  <c r="AI131" i="27"/>
  <c r="AJ131" i="27"/>
  <c r="AK131" i="27" s="1"/>
  <c r="O132" i="27"/>
  <c r="P131" i="27"/>
  <c r="AG133" i="27"/>
  <c r="AH132" i="27"/>
  <c r="K131" i="27"/>
  <c r="L131" i="27"/>
  <c r="M131" i="27" s="1"/>
  <c r="AC132" i="27"/>
  <c r="AC16" i="27" s="1"/>
  <c r="AD132" i="27"/>
  <c r="AD16" i="27" s="1"/>
  <c r="AB16" i="27" l="1"/>
  <c r="C16" i="27" s="1"/>
  <c r="D16" i="27"/>
  <c r="AG134" i="27"/>
  <c r="AH133" i="27"/>
  <c r="AA135" i="27"/>
  <c r="AB134" i="27"/>
  <c r="V135" i="27"/>
  <c r="U136" i="27"/>
  <c r="R131" i="27"/>
  <c r="S131" i="27" s="1"/>
  <c r="Q131" i="27"/>
  <c r="L132" i="27"/>
  <c r="M132" i="27" s="1"/>
  <c r="K132" i="27"/>
  <c r="AE132" i="27"/>
  <c r="P132" i="27"/>
  <c r="O133" i="27"/>
  <c r="I134" i="27"/>
  <c r="J133" i="27"/>
  <c r="E16" i="27"/>
  <c r="AE16" i="27"/>
  <c r="AJ132" i="27"/>
  <c r="AK132" i="27" s="1"/>
  <c r="AI132" i="27"/>
  <c r="AD133" i="27"/>
  <c r="AC133" i="27"/>
  <c r="X134" i="27"/>
  <c r="Y134" i="27" s="1"/>
  <c r="W134" i="27"/>
  <c r="X135" i="27" l="1"/>
  <c r="Y135" i="27" s="1"/>
  <c r="W135" i="27"/>
  <c r="I135" i="27"/>
  <c r="J134" i="27"/>
  <c r="U137" i="27"/>
  <c r="V136" i="27"/>
  <c r="AJ133" i="27"/>
  <c r="AK133" i="27" s="1"/>
  <c r="AI133" i="27"/>
  <c r="F16" i="27"/>
  <c r="O134" i="27"/>
  <c r="P133" i="27"/>
  <c r="AH134" i="27"/>
  <c r="AG135" i="27"/>
  <c r="R132" i="27"/>
  <c r="S132" i="27" s="1"/>
  <c r="Q132" i="27"/>
  <c r="AD134" i="27"/>
  <c r="AC134" i="27"/>
  <c r="L133" i="27"/>
  <c r="M133" i="27" s="1"/>
  <c r="K133" i="27"/>
  <c r="AE133" i="27"/>
  <c r="AA136" i="27"/>
  <c r="AB135" i="27"/>
  <c r="AE134" i="27" l="1"/>
  <c r="AA137" i="27"/>
  <c r="AB136" i="27"/>
  <c r="AJ134" i="27"/>
  <c r="AK134" i="27" s="1"/>
  <c r="AI134" i="27"/>
  <c r="U138" i="27"/>
  <c r="V137" i="27"/>
  <c r="R133" i="27"/>
  <c r="S133" i="27" s="1"/>
  <c r="Q133" i="27"/>
  <c r="O135" i="27"/>
  <c r="P134" i="27"/>
  <c r="I136" i="27"/>
  <c r="J135" i="27"/>
  <c r="L134" i="27"/>
  <c r="M134" i="27" s="1"/>
  <c r="K134" i="27"/>
  <c r="AD135" i="27"/>
  <c r="AC135" i="27"/>
  <c r="AG136" i="27"/>
  <c r="AH135" i="27"/>
  <c r="X136" i="27"/>
  <c r="Y136" i="27" s="1"/>
  <c r="W136" i="27"/>
  <c r="I137" i="27" l="1"/>
  <c r="J136" i="27"/>
  <c r="AI135" i="27"/>
  <c r="AJ135" i="27"/>
  <c r="AK135" i="27" s="1"/>
  <c r="Q134" i="27"/>
  <c r="R134" i="27"/>
  <c r="S134" i="27" s="1"/>
  <c r="W137" i="27"/>
  <c r="X137" i="27"/>
  <c r="Y137" i="27" s="1"/>
  <c r="AE135" i="27"/>
  <c r="AG137" i="27"/>
  <c r="AH136" i="27"/>
  <c r="O136" i="27"/>
  <c r="P135" i="27"/>
  <c r="U139" i="27"/>
  <c r="V138" i="27"/>
  <c r="AC136" i="27"/>
  <c r="AD136" i="27"/>
  <c r="K135" i="27"/>
  <c r="L135" i="27"/>
  <c r="M135" i="27" s="1"/>
  <c r="AA138" i="27"/>
  <c r="AB137" i="27"/>
  <c r="L136" i="27" l="1"/>
  <c r="K136" i="27"/>
  <c r="AJ136" i="27"/>
  <c r="AK136" i="27" s="1"/>
  <c r="AI136" i="27"/>
  <c r="M136" i="27"/>
  <c r="AD137" i="27"/>
  <c r="AC137" i="27"/>
  <c r="U140" i="27"/>
  <c r="V139" i="27"/>
  <c r="AG138" i="27"/>
  <c r="AH137" i="27"/>
  <c r="AB138" i="27"/>
  <c r="AA139" i="27"/>
  <c r="R135" i="27"/>
  <c r="S135" i="27" s="1"/>
  <c r="Q135" i="27"/>
  <c r="AE136" i="27"/>
  <c r="I138" i="27"/>
  <c r="J137" i="27"/>
  <c r="X138" i="27"/>
  <c r="Y138" i="27" s="1"/>
  <c r="W138" i="27"/>
  <c r="O137" i="27"/>
  <c r="P136" i="27"/>
  <c r="R136" i="27" l="1"/>
  <c r="S136" i="27" s="1"/>
  <c r="Q136" i="27"/>
  <c r="L137" i="27"/>
  <c r="M137" i="27" s="1"/>
  <c r="K137" i="27"/>
  <c r="AG139" i="27"/>
  <c r="AH138" i="27"/>
  <c r="AE137" i="27"/>
  <c r="AD138" i="27"/>
  <c r="AC138" i="27"/>
  <c r="U141" i="27"/>
  <c r="V140" i="27"/>
  <c r="AJ137" i="27"/>
  <c r="AK137" i="27" s="1"/>
  <c r="AI137" i="27"/>
  <c r="O138" i="27"/>
  <c r="P137" i="27"/>
  <c r="J138" i="27"/>
  <c r="I139" i="27"/>
  <c r="AA140" i="27"/>
  <c r="AB139" i="27"/>
  <c r="X139" i="27"/>
  <c r="Y139" i="27" s="1"/>
  <c r="W139" i="27"/>
  <c r="AE138" i="27" l="1"/>
  <c r="AA141" i="27"/>
  <c r="AB140" i="27"/>
  <c r="L138" i="27"/>
  <c r="M138" i="27" s="1"/>
  <c r="K138" i="27"/>
  <c r="AG140" i="27"/>
  <c r="AH139" i="27"/>
  <c r="O139" i="27"/>
  <c r="P138" i="27"/>
  <c r="AD139" i="27"/>
  <c r="AC139" i="27"/>
  <c r="R137" i="27"/>
  <c r="S137" i="27" s="1"/>
  <c r="Q137" i="27"/>
  <c r="X140" i="27"/>
  <c r="Y140" i="27" s="1"/>
  <c r="W140" i="27"/>
  <c r="I140" i="27"/>
  <c r="J139" i="27"/>
  <c r="U142" i="27"/>
  <c r="V141" i="27"/>
  <c r="AJ138" i="27"/>
  <c r="AK138" i="27" s="1"/>
  <c r="AI138" i="27"/>
  <c r="AE139" i="27" l="1"/>
  <c r="I141" i="27"/>
  <c r="J140" i="27"/>
  <c r="Q138" i="27"/>
  <c r="R138" i="27"/>
  <c r="S138" i="27" s="1"/>
  <c r="AG141" i="27"/>
  <c r="AH140" i="27"/>
  <c r="AC140" i="27"/>
  <c r="AD140" i="27"/>
  <c r="AE140" i="27" s="1"/>
  <c r="W141" i="27"/>
  <c r="X141" i="27"/>
  <c r="Y141" i="27" s="1"/>
  <c r="O140" i="27"/>
  <c r="P139" i="27"/>
  <c r="AA142" i="27"/>
  <c r="AB141" i="27"/>
  <c r="U143" i="27"/>
  <c r="V142" i="27"/>
  <c r="K139" i="27"/>
  <c r="L139" i="27"/>
  <c r="M139" i="27" s="1"/>
  <c r="AI139" i="27"/>
  <c r="AJ139" i="27"/>
  <c r="AK139" i="27" s="1"/>
  <c r="X142" i="27" l="1"/>
  <c r="Y142" i="27" s="1"/>
  <c r="W142" i="27"/>
  <c r="R139" i="27"/>
  <c r="S139" i="27" s="1"/>
  <c r="Q139" i="27"/>
  <c r="O141" i="27"/>
  <c r="P140" i="27"/>
  <c r="AD141" i="27"/>
  <c r="AE141" i="27" s="1"/>
  <c r="AC141" i="27"/>
  <c r="AJ140" i="27"/>
  <c r="AK140" i="27" s="1"/>
  <c r="AI140" i="27"/>
  <c r="L140" i="27"/>
  <c r="M140" i="27" s="1"/>
  <c r="K140" i="27"/>
  <c r="U144" i="27"/>
  <c r="V143" i="27"/>
  <c r="AA143" i="27"/>
  <c r="AB142" i="27"/>
  <c r="AH141" i="27"/>
  <c r="AG142" i="27"/>
  <c r="I142" i="27"/>
  <c r="J141" i="27"/>
  <c r="AJ141" i="27" l="1"/>
  <c r="AK141" i="27" s="1"/>
  <c r="AI141" i="27"/>
  <c r="I143" i="27"/>
  <c r="J142" i="27"/>
  <c r="AA144" i="27"/>
  <c r="AB143" i="27"/>
  <c r="X143" i="27"/>
  <c r="Y143" i="27" s="1"/>
  <c r="W143" i="27"/>
  <c r="V144" i="27"/>
  <c r="U145" i="27"/>
  <c r="R140" i="27"/>
  <c r="S140" i="27" s="1"/>
  <c r="Q140" i="27"/>
  <c r="AG143" i="27"/>
  <c r="AH142" i="27"/>
  <c r="L141" i="27"/>
  <c r="M141" i="27" s="1"/>
  <c r="K141" i="27"/>
  <c r="AD142" i="27"/>
  <c r="AE142" i="27" s="1"/>
  <c r="AC142" i="27"/>
  <c r="P141" i="27"/>
  <c r="O142" i="27"/>
  <c r="AJ142" i="27" l="1"/>
  <c r="AK142" i="27" s="1"/>
  <c r="AI142" i="27"/>
  <c r="R141" i="27"/>
  <c r="S141" i="27" s="1"/>
  <c r="Q141" i="27"/>
  <c r="L142" i="27"/>
  <c r="M142" i="27" s="1"/>
  <c r="K142" i="27"/>
  <c r="X144" i="27"/>
  <c r="Y144" i="27" s="1"/>
  <c r="W144" i="27"/>
  <c r="AD143" i="27"/>
  <c r="AE143" i="27" s="1"/>
  <c r="AC143" i="27"/>
  <c r="U146" i="27"/>
  <c r="V145" i="27"/>
  <c r="I144" i="27"/>
  <c r="J143" i="27"/>
  <c r="AG144" i="27"/>
  <c r="AH143" i="27"/>
  <c r="O143" i="27"/>
  <c r="P142" i="27"/>
  <c r="AA145" i="27"/>
  <c r="AB144" i="27"/>
  <c r="Q142" i="27" l="1"/>
  <c r="R142" i="27"/>
  <c r="S142" i="27" s="1"/>
  <c r="AI143" i="27"/>
  <c r="AJ143" i="27"/>
  <c r="AK143" i="27" s="1"/>
  <c r="W145" i="27"/>
  <c r="X145" i="27"/>
  <c r="Y145" i="27" s="1"/>
  <c r="AA146" i="27"/>
  <c r="AB145" i="27"/>
  <c r="AG145" i="27"/>
  <c r="AH144" i="27"/>
  <c r="V146" i="27"/>
  <c r="U147" i="27"/>
  <c r="K143" i="27"/>
  <c r="L143" i="27"/>
  <c r="M143" i="27" s="1"/>
  <c r="AC144" i="27"/>
  <c r="AC17" i="27" s="1"/>
  <c r="AD144" i="27"/>
  <c r="AD17" i="27" s="1"/>
  <c r="O144" i="27"/>
  <c r="P143" i="27"/>
  <c r="I145" i="27"/>
  <c r="J144" i="27"/>
  <c r="AE144" i="27" l="1"/>
  <c r="J145" i="27"/>
  <c r="I146" i="27"/>
  <c r="AB17" i="27"/>
  <c r="C17" i="27" s="1"/>
  <c r="D17" i="27"/>
  <c r="V147" i="27"/>
  <c r="U148" i="27"/>
  <c r="AJ144" i="27"/>
  <c r="AK144" i="27" s="1"/>
  <c r="AI144" i="27"/>
  <c r="AA147" i="27"/>
  <c r="AB146" i="27"/>
  <c r="R143" i="27"/>
  <c r="S143" i="27" s="1"/>
  <c r="Q143" i="27"/>
  <c r="X146" i="27"/>
  <c r="Y146" i="27" s="1"/>
  <c r="W146" i="27"/>
  <c r="AD145" i="27"/>
  <c r="AC145" i="27"/>
  <c r="O145" i="27"/>
  <c r="P144" i="27"/>
  <c r="L144" i="27"/>
  <c r="M144" i="27" s="1"/>
  <c r="K144" i="27"/>
  <c r="E17" i="27"/>
  <c r="AE17" i="27"/>
  <c r="AG146" i="27"/>
  <c r="AH145" i="27"/>
  <c r="AE145" i="27" l="1"/>
  <c r="AH146" i="27"/>
  <c r="AG147" i="27"/>
  <c r="AB147" i="27"/>
  <c r="AA148" i="27"/>
  <c r="L145" i="27"/>
  <c r="M145" i="27" s="1"/>
  <c r="K145" i="27"/>
  <c r="R144" i="27"/>
  <c r="S144" i="27" s="1"/>
  <c r="Q144" i="27"/>
  <c r="X147" i="27"/>
  <c r="Y147" i="27" s="1"/>
  <c r="W147" i="27"/>
  <c r="F17" i="27"/>
  <c r="AJ145" i="27"/>
  <c r="AK145" i="27" s="1"/>
  <c r="AI145" i="27"/>
  <c r="O146" i="27"/>
  <c r="P145" i="27"/>
  <c r="AD146" i="27"/>
  <c r="AC146" i="27"/>
  <c r="U149" i="27"/>
  <c r="V148" i="27"/>
  <c r="I147" i="27"/>
  <c r="J146" i="27"/>
  <c r="I148" i="27" l="1"/>
  <c r="J147" i="27"/>
  <c r="AC147" i="27"/>
  <c r="AD147" i="27"/>
  <c r="AE146" i="27"/>
  <c r="W148" i="27"/>
  <c r="X148" i="27"/>
  <c r="Y148" i="27" s="1"/>
  <c r="AG148" i="27"/>
  <c r="AH147" i="27"/>
  <c r="U150" i="27"/>
  <c r="V149" i="27"/>
  <c r="O147" i="27"/>
  <c r="P146" i="27"/>
  <c r="AJ146" i="27"/>
  <c r="AK146" i="27" s="1"/>
  <c r="AI146" i="27"/>
  <c r="R145" i="27"/>
  <c r="S145" i="27" s="1"/>
  <c r="Q145" i="27"/>
  <c r="L146" i="27"/>
  <c r="M146" i="27" s="1"/>
  <c r="K146" i="27"/>
  <c r="AA149" i="27"/>
  <c r="AB148" i="27"/>
  <c r="Q146" i="27" l="1"/>
  <c r="R146" i="27"/>
  <c r="S146" i="27" s="1"/>
  <c r="X149" i="27"/>
  <c r="Y149" i="27" s="1"/>
  <c r="W149" i="27"/>
  <c r="AG149" i="27"/>
  <c r="AH148" i="27"/>
  <c r="V150" i="27"/>
  <c r="U151" i="27"/>
  <c r="AD148" i="27"/>
  <c r="AC148" i="27"/>
  <c r="K147" i="27"/>
  <c r="L147" i="27"/>
  <c r="M147" i="27" s="1"/>
  <c r="AB149" i="27"/>
  <c r="AA150" i="27"/>
  <c r="P147" i="27"/>
  <c r="O148" i="27"/>
  <c r="AJ147" i="27"/>
  <c r="AK147" i="27" s="1"/>
  <c r="AI147" i="27"/>
  <c r="AE147" i="27"/>
  <c r="I149" i="27"/>
  <c r="J148" i="27"/>
  <c r="AJ148" i="27" l="1"/>
  <c r="AK148" i="27" s="1"/>
  <c r="AI148" i="27"/>
  <c r="AE148" i="27"/>
  <c r="Q147" i="27"/>
  <c r="R147" i="27"/>
  <c r="S147" i="27" s="1"/>
  <c r="V151" i="27"/>
  <c r="U152" i="27"/>
  <c r="L148" i="27"/>
  <c r="M148" i="27" s="1"/>
  <c r="K148" i="27"/>
  <c r="AD149" i="27"/>
  <c r="AC149" i="27"/>
  <c r="AA151" i="27"/>
  <c r="AB150" i="27"/>
  <c r="W150" i="27"/>
  <c r="X150" i="27"/>
  <c r="Y150" i="27" s="1"/>
  <c r="I150" i="27"/>
  <c r="J149" i="27"/>
  <c r="O149" i="27"/>
  <c r="P148" i="27"/>
  <c r="AH149" i="27"/>
  <c r="AG150" i="27"/>
  <c r="AJ149" i="27" l="1"/>
  <c r="AK149" i="27" s="1"/>
  <c r="AI149" i="27"/>
  <c r="AA152" i="27"/>
  <c r="AB151" i="27"/>
  <c r="J150" i="27"/>
  <c r="I151" i="27"/>
  <c r="O150" i="27"/>
  <c r="P149" i="27"/>
  <c r="AG151" i="27"/>
  <c r="AH150" i="27"/>
  <c r="L149" i="27"/>
  <c r="M149" i="27" s="1"/>
  <c r="K149" i="27"/>
  <c r="U153" i="27"/>
  <c r="V152" i="27"/>
  <c r="AE149" i="27"/>
  <c r="X151" i="27"/>
  <c r="Y151" i="27" s="1"/>
  <c r="W151" i="27"/>
  <c r="R148" i="27"/>
  <c r="S148" i="27" s="1"/>
  <c r="Q148" i="27"/>
  <c r="AD150" i="27"/>
  <c r="AC150" i="27"/>
  <c r="Q149" i="27" l="1"/>
  <c r="R149" i="27"/>
  <c r="S149" i="27" s="1"/>
  <c r="AE150" i="27"/>
  <c r="O151" i="27"/>
  <c r="P150" i="27"/>
  <c r="K150" i="27"/>
  <c r="L150" i="27"/>
  <c r="M150" i="27" s="1"/>
  <c r="W152" i="27"/>
  <c r="X152" i="27"/>
  <c r="Y152" i="27" s="1"/>
  <c r="AI150" i="27"/>
  <c r="AJ150" i="27"/>
  <c r="AK150" i="27" s="1"/>
  <c r="AC151" i="27"/>
  <c r="AD151" i="27"/>
  <c r="I152" i="27"/>
  <c r="J151" i="27"/>
  <c r="U154" i="27"/>
  <c r="V153" i="27"/>
  <c r="AG152" i="27"/>
  <c r="AH151" i="27"/>
  <c r="AA153" i="27"/>
  <c r="AB152" i="27"/>
  <c r="AD152" i="27" l="1"/>
  <c r="AC152" i="27"/>
  <c r="AA154" i="27"/>
  <c r="AB153" i="27"/>
  <c r="U155" i="27"/>
  <c r="V154" i="27"/>
  <c r="O152" i="27"/>
  <c r="P151" i="27"/>
  <c r="AJ151" i="27"/>
  <c r="AK151" i="27" s="1"/>
  <c r="AI151" i="27"/>
  <c r="L151" i="27"/>
  <c r="M151" i="27" s="1"/>
  <c r="K151" i="27"/>
  <c r="AE151" i="27"/>
  <c r="AG153" i="27"/>
  <c r="AH152" i="27"/>
  <c r="J152" i="27"/>
  <c r="I153" i="27"/>
  <c r="X153" i="27"/>
  <c r="Y153" i="27" s="1"/>
  <c r="W153" i="27"/>
  <c r="Q150" i="27"/>
  <c r="R150" i="27"/>
  <c r="S150" i="27" s="1"/>
  <c r="AE152" i="27" l="1"/>
  <c r="L152" i="27"/>
  <c r="M152" i="27" s="1"/>
  <c r="K152" i="27"/>
  <c r="R151" i="27"/>
  <c r="S151" i="27" s="1"/>
  <c r="Q151" i="27"/>
  <c r="AD153" i="27"/>
  <c r="AC153" i="27"/>
  <c r="O153" i="27"/>
  <c r="P152" i="27"/>
  <c r="AB154" i="27"/>
  <c r="AA155" i="27"/>
  <c r="X154" i="27"/>
  <c r="Y154" i="27" s="1"/>
  <c r="W154" i="27"/>
  <c r="AJ152" i="27"/>
  <c r="AK152" i="27" s="1"/>
  <c r="AI152" i="27"/>
  <c r="AG154" i="27"/>
  <c r="AH153" i="27"/>
  <c r="I154" i="27"/>
  <c r="J153" i="27"/>
  <c r="U156" i="27"/>
  <c r="V155" i="27"/>
  <c r="AE153" i="27" l="1"/>
  <c r="AG155" i="27"/>
  <c r="AH154" i="27"/>
  <c r="U157" i="27"/>
  <c r="V156" i="27"/>
  <c r="AJ153" i="27"/>
  <c r="AK153" i="27" s="1"/>
  <c r="AI153" i="27"/>
  <c r="AD154" i="27"/>
  <c r="AE154" i="27" s="1"/>
  <c r="AC154" i="27"/>
  <c r="R152" i="27"/>
  <c r="S152" i="27" s="1"/>
  <c r="Q152" i="27"/>
  <c r="O154" i="27"/>
  <c r="P153" i="27"/>
  <c r="L153" i="27"/>
  <c r="M153" i="27" s="1"/>
  <c r="K153" i="27"/>
  <c r="X155" i="27"/>
  <c r="Y155" i="27" s="1"/>
  <c r="W155" i="27"/>
  <c r="I155" i="27"/>
  <c r="J154" i="27"/>
  <c r="AA156" i="27"/>
  <c r="AB155" i="27"/>
  <c r="K154" i="27" l="1"/>
  <c r="L154" i="27"/>
  <c r="M154" i="27" s="1"/>
  <c r="Q153" i="27"/>
  <c r="R153" i="27"/>
  <c r="S153" i="27" s="1"/>
  <c r="AG156" i="27"/>
  <c r="AH155" i="27"/>
  <c r="I156" i="27"/>
  <c r="J155" i="27"/>
  <c r="O155" i="27"/>
  <c r="P154" i="27"/>
  <c r="W156" i="27"/>
  <c r="X156" i="27"/>
  <c r="Y156" i="27" s="1"/>
  <c r="AA157" i="27"/>
  <c r="AB156" i="27"/>
  <c r="AI154" i="27"/>
  <c r="AJ154" i="27"/>
  <c r="AK154" i="27" s="1"/>
  <c r="AC155" i="27"/>
  <c r="AD155" i="27"/>
  <c r="AE155" i="27" s="1"/>
  <c r="U158" i="27"/>
  <c r="V157" i="27"/>
  <c r="I157" i="27" l="1"/>
  <c r="J156" i="27"/>
  <c r="V158" i="27"/>
  <c r="U159" i="27"/>
  <c r="L155" i="27"/>
  <c r="M155" i="27" s="1"/>
  <c r="K155" i="27"/>
  <c r="AD156" i="27"/>
  <c r="AD18" i="27" s="1"/>
  <c r="AC156" i="27"/>
  <c r="AC18" i="27" s="1"/>
  <c r="AJ155" i="27"/>
  <c r="AK155" i="27" s="1"/>
  <c r="AI155" i="27"/>
  <c r="R154" i="27"/>
  <c r="S154" i="27" s="1"/>
  <c r="Q154" i="27"/>
  <c r="X157" i="27"/>
  <c r="Y157" i="27" s="1"/>
  <c r="W157" i="27"/>
  <c r="AA158" i="27"/>
  <c r="AB157" i="27"/>
  <c r="P155" i="27"/>
  <c r="O156" i="27"/>
  <c r="AG157" i="27"/>
  <c r="AH156" i="27"/>
  <c r="O157" i="27" l="1"/>
  <c r="P156" i="27"/>
  <c r="U160" i="27"/>
  <c r="V159" i="27"/>
  <c r="R155" i="27"/>
  <c r="S155" i="27" s="1"/>
  <c r="Q155" i="27"/>
  <c r="AH157" i="27"/>
  <c r="AG158" i="27"/>
  <c r="AA159" i="27"/>
  <c r="AB158" i="27"/>
  <c r="I158" i="27"/>
  <c r="J157" i="27"/>
  <c r="AB18" i="27"/>
  <c r="C18" i="27" s="1"/>
  <c r="D18" i="27"/>
  <c r="E18" i="27"/>
  <c r="AE18" i="27"/>
  <c r="X158" i="27"/>
  <c r="Y158" i="27" s="1"/>
  <c r="W158" i="27"/>
  <c r="AE156" i="27"/>
  <c r="AJ156" i="27"/>
  <c r="AK156" i="27" s="1"/>
  <c r="AI156" i="27"/>
  <c r="AD157" i="27"/>
  <c r="AC157" i="27"/>
  <c r="L156" i="27"/>
  <c r="M156" i="27" s="1"/>
  <c r="K156" i="27"/>
  <c r="AA160" i="27" l="1"/>
  <c r="AB159" i="27"/>
  <c r="AD158" i="27"/>
  <c r="AC158" i="27"/>
  <c r="U161" i="27"/>
  <c r="V160" i="27"/>
  <c r="F18" i="27"/>
  <c r="L157" i="27"/>
  <c r="M157" i="27" s="1"/>
  <c r="K157" i="27"/>
  <c r="AG159" i="27"/>
  <c r="AH158" i="27"/>
  <c r="O158" i="27"/>
  <c r="P157" i="27"/>
  <c r="R156" i="27"/>
  <c r="S156" i="27" s="1"/>
  <c r="Q156" i="27"/>
  <c r="AE157" i="27"/>
  <c r="I159" i="27"/>
  <c r="J158" i="27"/>
  <c r="AJ157" i="27"/>
  <c r="AK157" i="27" s="1"/>
  <c r="AI157" i="27"/>
  <c r="X159" i="27"/>
  <c r="Y159" i="27" s="1"/>
  <c r="W159" i="27"/>
  <c r="AE158" i="27" l="1"/>
  <c r="K158" i="27"/>
  <c r="L158" i="27"/>
  <c r="M158" i="27" s="1"/>
  <c r="I160" i="27"/>
  <c r="J159" i="27"/>
  <c r="AG160" i="27"/>
  <c r="AH159" i="27"/>
  <c r="W160" i="27"/>
  <c r="X160" i="27"/>
  <c r="Y160" i="27" s="1"/>
  <c r="AC159" i="27"/>
  <c r="AD159" i="27"/>
  <c r="Q157" i="27"/>
  <c r="R157" i="27"/>
  <c r="S157" i="27" s="1"/>
  <c r="U162" i="27"/>
  <c r="V161" i="27"/>
  <c r="AA161" i="27"/>
  <c r="AB160" i="27"/>
  <c r="O159" i="27"/>
  <c r="P158" i="27"/>
  <c r="AI158" i="27"/>
  <c r="AJ158" i="27"/>
  <c r="AK158" i="27" s="1"/>
  <c r="AE159" i="27" l="1"/>
  <c r="AG161" i="27"/>
  <c r="AH160" i="27"/>
  <c r="R158" i="27"/>
  <c r="S158" i="27" s="1"/>
  <c r="Q158" i="27"/>
  <c r="X161" i="27"/>
  <c r="Y161" i="27" s="1"/>
  <c r="W161" i="27"/>
  <c r="I161" i="27"/>
  <c r="J160" i="27"/>
  <c r="O160" i="27"/>
  <c r="P159" i="27"/>
  <c r="U163" i="27"/>
  <c r="V162" i="27"/>
  <c r="AJ159" i="27"/>
  <c r="AK159" i="27" s="1"/>
  <c r="AI159" i="27"/>
  <c r="AD160" i="27"/>
  <c r="AC160" i="27"/>
  <c r="AB161" i="27"/>
  <c r="AA162" i="27"/>
  <c r="L159" i="27"/>
  <c r="M159" i="27" s="1"/>
  <c r="K159" i="27"/>
  <c r="AE160" i="27" l="1"/>
  <c r="V163" i="27"/>
  <c r="U164" i="27"/>
  <c r="J161" i="27"/>
  <c r="I162" i="27"/>
  <c r="R159" i="27"/>
  <c r="S159" i="27" s="1"/>
  <c r="Q159" i="27"/>
  <c r="AJ160" i="27"/>
  <c r="AK160" i="27" s="1"/>
  <c r="AI160" i="27"/>
  <c r="AD161" i="27"/>
  <c r="AC161" i="27"/>
  <c r="AG162" i="27"/>
  <c r="AH161" i="27"/>
  <c r="O161" i="27"/>
  <c r="P160" i="27"/>
  <c r="AA163" i="27"/>
  <c r="AB162" i="27"/>
  <c r="X162" i="27"/>
  <c r="Y162" i="27" s="1"/>
  <c r="W162" i="27"/>
  <c r="L160" i="27"/>
  <c r="M160" i="27" s="1"/>
  <c r="K160" i="27"/>
  <c r="AE161" i="27" l="1"/>
  <c r="R160" i="27"/>
  <c r="S160" i="27" s="1"/>
  <c r="Q160" i="27"/>
  <c r="U165" i="27"/>
  <c r="V164" i="27"/>
  <c r="L161" i="27"/>
  <c r="M161" i="27" s="1"/>
  <c r="K161" i="27"/>
  <c r="O162" i="27"/>
  <c r="P161" i="27"/>
  <c r="X163" i="27"/>
  <c r="Y163" i="27" s="1"/>
  <c r="W163" i="27"/>
  <c r="AB163" i="27"/>
  <c r="AA164" i="27"/>
  <c r="AG163" i="27"/>
  <c r="AH162" i="27"/>
  <c r="AD162" i="27"/>
  <c r="AC162" i="27"/>
  <c r="AJ161" i="27"/>
  <c r="AK161" i="27" s="1"/>
  <c r="AI161" i="27"/>
  <c r="I163" i="27"/>
  <c r="J162" i="27"/>
  <c r="AE162" i="27" l="1"/>
  <c r="O163" i="27"/>
  <c r="P162" i="27"/>
  <c r="U166" i="27"/>
  <c r="V165" i="27"/>
  <c r="AH163" i="27"/>
  <c r="AG164" i="27"/>
  <c r="K162" i="27"/>
  <c r="L162" i="27"/>
  <c r="M162" i="27" s="1"/>
  <c r="AA165" i="27"/>
  <c r="AB164" i="27"/>
  <c r="AI162" i="27"/>
  <c r="AJ162" i="27"/>
  <c r="AK162" i="27" s="1"/>
  <c r="I164" i="27"/>
  <c r="J163" i="27"/>
  <c r="AC163" i="27"/>
  <c r="AD163" i="27"/>
  <c r="AE163" i="27" s="1"/>
  <c r="Q161" i="27"/>
  <c r="R161" i="27"/>
  <c r="S161" i="27" s="1"/>
  <c r="X164" i="27"/>
  <c r="Y164" i="27" s="1"/>
  <c r="W164" i="27"/>
  <c r="W165" i="27" l="1"/>
  <c r="X165" i="27"/>
  <c r="Y165" i="27" s="1"/>
  <c r="U167" i="27"/>
  <c r="V166" i="27"/>
  <c r="L163" i="27"/>
  <c r="M163" i="27" s="1"/>
  <c r="K163" i="27"/>
  <c r="AC164" i="27"/>
  <c r="AD164" i="27"/>
  <c r="AE164" i="27" s="1"/>
  <c r="AG165" i="27"/>
  <c r="AH164" i="27"/>
  <c r="R162" i="27"/>
  <c r="S162" i="27" s="1"/>
  <c r="Q162" i="27"/>
  <c r="I165" i="27"/>
  <c r="J164" i="27"/>
  <c r="AA166" i="27"/>
  <c r="AB165" i="27"/>
  <c r="AJ163" i="27"/>
  <c r="AI163" i="27"/>
  <c r="O164" i="27"/>
  <c r="P163" i="27"/>
  <c r="AK163" i="27"/>
  <c r="AA167" i="27" l="1"/>
  <c r="AB166" i="27"/>
  <c r="V167" i="27"/>
  <c r="U168" i="27"/>
  <c r="AJ164" i="27"/>
  <c r="AI164" i="27"/>
  <c r="R163" i="27"/>
  <c r="S163" i="27" s="1"/>
  <c r="Q163" i="27"/>
  <c r="AD165" i="27"/>
  <c r="AE165" i="27" s="1"/>
  <c r="AC165" i="27"/>
  <c r="W166" i="27"/>
  <c r="X166" i="27"/>
  <c r="Y166" i="27" s="1"/>
  <c r="O165" i="27"/>
  <c r="P164" i="27"/>
  <c r="L164" i="27"/>
  <c r="M164" i="27" s="1"/>
  <c r="K164" i="27"/>
  <c r="AK164" i="27"/>
  <c r="I166" i="27"/>
  <c r="J165" i="27"/>
  <c r="AH165" i="27"/>
  <c r="AG166" i="27"/>
  <c r="AJ165" i="27" l="1"/>
  <c r="AK165" i="27" s="1"/>
  <c r="AI165" i="27"/>
  <c r="O166" i="27"/>
  <c r="P165" i="27"/>
  <c r="AA168" i="27"/>
  <c r="AB167" i="27"/>
  <c r="X167" i="27"/>
  <c r="W167" i="27"/>
  <c r="L165" i="27"/>
  <c r="M165" i="27" s="1"/>
  <c r="K165" i="27"/>
  <c r="U169" i="27"/>
  <c r="V168" i="27"/>
  <c r="J166" i="27"/>
  <c r="I167" i="27"/>
  <c r="Y167" i="27"/>
  <c r="AH166" i="27"/>
  <c r="AG167" i="27"/>
  <c r="R164" i="27"/>
  <c r="S164" i="27" s="1"/>
  <c r="Q164" i="27"/>
  <c r="AC166" i="27"/>
  <c r="AD166" i="27"/>
  <c r="AE166" i="27" s="1"/>
  <c r="AG168" i="27" l="1"/>
  <c r="AH167" i="27"/>
  <c r="L166" i="27"/>
  <c r="M166" i="27" s="1"/>
  <c r="K166" i="27"/>
  <c r="AA169" i="27"/>
  <c r="AB168" i="27"/>
  <c r="AJ166" i="27"/>
  <c r="AK166" i="27" s="1"/>
  <c r="AI166" i="27"/>
  <c r="X168" i="27"/>
  <c r="W168" i="27"/>
  <c r="R165" i="27"/>
  <c r="S165" i="27" s="1"/>
  <c r="Q165" i="27"/>
  <c r="Y168" i="27"/>
  <c r="U170" i="27"/>
  <c r="V169" i="27"/>
  <c r="P166" i="27"/>
  <c r="O167" i="27"/>
  <c r="I168" i="27"/>
  <c r="J167" i="27"/>
  <c r="AD167" i="27"/>
  <c r="AE167" i="27" s="1"/>
  <c r="AC167" i="27"/>
  <c r="Q166" i="27" l="1"/>
  <c r="R166" i="27"/>
  <c r="S166" i="27" s="1"/>
  <c r="U171" i="27"/>
  <c r="V170" i="27"/>
  <c r="K167" i="27"/>
  <c r="L167" i="27"/>
  <c r="M167" i="27" s="1"/>
  <c r="W169" i="27"/>
  <c r="X169" i="27"/>
  <c r="Y169" i="27" s="1"/>
  <c r="I169" i="27"/>
  <c r="J168" i="27"/>
  <c r="AC168" i="27"/>
  <c r="AC19" i="27" s="1"/>
  <c r="AD168" i="27"/>
  <c r="AD19" i="27" s="1"/>
  <c r="AI167" i="27"/>
  <c r="AJ167" i="27"/>
  <c r="AK167" i="27" s="1"/>
  <c r="O168" i="27"/>
  <c r="P167" i="27"/>
  <c r="AA170" i="27"/>
  <c r="AB169" i="27"/>
  <c r="AG169" i="27"/>
  <c r="AH168" i="27"/>
  <c r="AG170" i="27" l="1"/>
  <c r="AH169" i="27"/>
  <c r="R167" i="27"/>
  <c r="S167" i="27" s="1"/>
  <c r="Q167" i="27"/>
  <c r="E19" i="27"/>
  <c r="AE19" i="27"/>
  <c r="X170" i="27"/>
  <c r="Y170" i="27" s="1"/>
  <c r="W170" i="27"/>
  <c r="AD169" i="27"/>
  <c r="AC169" i="27"/>
  <c r="O169" i="27"/>
  <c r="P168" i="27"/>
  <c r="AB19" i="27"/>
  <c r="C19" i="27" s="1"/>
  <c r="D19" i="27"/>
  <c r="U172" i="27"/>
  <c r="V171" i="27"/>
  <c r="AB170" i="27"/>
  <c r="AA171" i="27"/>
  <c r="L168" i="27"/>
  <c r="M168" i="27" s="1"/>
  <c r="K168" i="27"/>
  <c r="AE168" i="27"/>
  <c r="AJ168" i="27"/>
  <c r="AK168" i="27" s="1"/>
  <c r="AI168" i="27"/>
  <c r="I170" i="27"/>
  <c r="J169" i="27"/>
  <c r="F19" i="27" l="1"/>
  <c r="R168" i="27"/>
  <c r="S168" i="27" s="1"/>
  <c r="Q168" i="27"/>
  <c r="AG171" i="27"/>
  <c r="AH170" i="27"/>
  <c r="AJ169" i="27"/>
  <c r="AI169" i="27"/>
  <c r="X171" i="27"/>
  <c r="Y171" i="27" s="1"/>
  <c r="W171" i="27"/>
  <c r="AA172" i="27"/>
  <c r="AB171" i="27"/>
  <c r="U173" i="27"/>
  <c r="V172" i="27"/>
  <c r="O170" i="27"/>
  <c r="P169" i="27"/>
  <c r="J170" i="27"/>
  <c r="I171" i="27"/>
  <c r="AK169" i="27"/>
  <c r="L169" i="27"/>
  <c r="M169" i="27" s="1"/>
  <c r="K169" i="27"/>
  <c r="AE169" i="27"/>
  <c r="AD170" i="27"/>
  <c r="AC170" i="27"/>
  <c r="AE170" i="27" l="1"/>
  <c r="R169" i="27"/>
  <c r="S169" i="27" s="1"/>
  <c r="Q169" i="27"/>
  <c r="AD171" i="27"/>
  <c r="AC171" i="27"/>
  <c r="AG172" i="27"/>
  <c r="AH171" i="27"/>
  <c r="O171" i="27"/>
  <c r="P170" i="27"/>
  <c r="AA173" i="27"/>
  <c r="AB172" i="27"/>
  <c r="I172" i="27"/>
  <c r="J171" i="27"/>
  <c r="X172" i="27"/>
  <c r="Y172" i="27" s="1"/>
  <c r="W172" i="27"/>
  <c r="L170" i="27"/>
  <c r="M170" i="27" s="1"/>
  <c r="K170" i="27"/>
  <c r="U174" i="27"/>
  <c r="V173" i="27"/>
  <c r="AJ170" i="27"/>
  <c r="AK170" i="27" s="1"/>
  <c r="AI170" i="27"/>
  <c r="AE171" i="27" l="1"/>
  <c r="O172" i="27"/>
  <c r="P171" i="27"/>
  <c r="U175" i="27"/>
  <c r="V174" i="27"/>
  <c r="W173" i="27"/>
  <c r="X173" i="27"/>
  <c r="Y173" i="27" s="1"/>
  <c r="K171" i="27"/>
  <c r="L171" i="27"/>
  <c r="M171" i="27" s="1"/>
  <c r="AA174" i="27"/>
  <c r="AB173" i="27"/>
  <c r="AI171" i="27"/>
  <c r="AJ171" i="27"/>
  <c r="AK171" i="27" s="1"/>
  <c r="AC172" i="27"/>
  <c r="AD172" i="27"/>
  <c r="I173" i="27"/>
  <c r="J172" i="27"/>
  <c r="Q170" i="27"/>
  <c r="R170" i="27"/>
  <c r="S170" i="27" s="1"/>
  <c r="AG173" i="27"/>
  <c r="AH172" i="27"/>
  <c r="AE172" i="27" l="1"/>
  <c r="AH173" i="27"/>
  <c r="AG174" i="27"/>
  <c r="I174" i="27"/>
  <c r="J173" i="27"/>
  <c r="X174" i="27"/>
  <c r="Y174" i="27" s="1"/>
  <c r="W174" i="27"/>
  <c r="R171" i="27"/>
  <c r="S171" i="27" s="1"/>
  <c r="Q171" i="27"/>
  <c r="AA175" i="27"/>
  <c r="AB174" i="27"/>
  <c r="AJ172" i="27"/>
  <c r="AK172" i="27" s="1"/>
  <c r="AI172" i="27"/>
  <c r="L172" i="27"/>
  <c r="M172" i="27" s="1"/>
  <c r="K172" i="27"/>
  <c r="AD173" i="27"/>
  <c r="AC173" i="27"/>
  <c r="U176" i="27"/>
  <c r="V175" i="27"/>
  <c r="O173" i="27"/>
  <c r="P172" i="27"/>
  <c r="AE173" i="27" l="1"/>
  <c r="AA176" i="27"/>
  <c r="AB175" i="27"/>
  <c r="R172" i="27"/>
  <c r="S172" i="27" s="1"/>
  <c r="Q172" i="27"/>
  <c r="P173" i="27"/>
  <c r="O174" i="27"/>
  <c r="I175" i="27"/>
  <c r="J174" i="27"/>
  <c r="V176" i="27"/>
  <c r="U177" i="27"/>
  <c r="X175" i="27"/>
  <c r="Y175" i="27" s="1"/>
  <c r="W175" i="27"/>
  <c r="AD174" i="27"/>
  <c r="AC174" i="27"/>
  <c r="AG175" i="27"/>
  <c r="AH174" i="27"/>
  <c r="AJ173" i="27"/>
  <c r="AK173" i="27" s="1"/>
  <c r="AI173" i="27"/>
  <c r="L173" i="27"/>
  <c r="M173" i="27" s="1"/>
  <c r="K173" i="27"/>
  <c r="AE174" i="27" l="1"/>
  <c r="AG176" i="27"/>
  <c r="AH175" i="27"/>
  <c r="I176" i="27"/>
  <c r="J175" i="27"/>
  <c r="R173" i="27"/>
  <c r="Q173" i="27"/>
  <c r="U178" i="27"/>
  <c r="V177" i="27"/>
  <c r="O175" i="27"/>
  <c r="P174" i="27"/>
  <c r="AD175" i="27"/>
  <c r="AC175" i="27"/>
  <c r="X176" i="27"/>
  <c r="Y176" i="27" s="1"/>
  <c r="W176" i="27"/>
  <c r="AA177" i="27"/>
  <c r="AB176" i="27"/>
  <c r="S173" i="27"/>
  <c r="AJ174" i="27"/>
  <c r="AK174" i="27" s="1"/>
  <c r="AI174" i="27"/>
  <c r="L174" i="27"/>
  <c r="M174" i="27" s="1"/>
  <c r="K174" i="27"/>
  <c r="AE175" i="27" l="1"/>
  <c r="W177" i="27"/>
  <c r="X177" i="27"/>
  <c r="Y177" i="27" s="1"/>
  <c r="K175" i="27"/>
  <c r="L175" i="27"/>
  <c r="M175" i="27" s="1"/>
  <c r="Q174" i="27"/>
  <c r="R174" i="27"/>
  <c r="S174" i="27" s="1"/>
  <c r="AC176" i="27"/>
  <c r="AD176" i="27"/>
  <c r="AE176" i="27" s="1"/>
  <c r="AA178" i="27"/>
  <c r="AB177" i="27"/>
  <c r="U179" i="27"/>
  <c r="V178" i="27"/>
  <c r="I177" i="27"/>
  <c r="J176" i="27"/>
  <c r="AI175" i="27"/>
  <c r="AJ175" i="27"/>
  <c r="AK175" i="27" s="1"/>
  <c r="O176" i="27"/>
  <c r="P175" i="27"/>
  <c r="AG177" i="27"/>
  <c r="AH176" i="27"/>
  <c r="AG178" i="27" l="1"/>
  <c r="AH177" i="27"/>
  <c r="J177" i="27"/>
  <c r="I178" i="27"/>
  <c r="X178" i="27"/>
  <c r="Y178" i="27" s="1"/>
  <c r="W178" i="27"/>
  <c r="AA179" i="27"/>
  <c r="AB178" i="27"/>
  <c r="R175" i="27"/>
  <c r="Q175" i="27"/>
  <c r="O177" i="27"/>
  <c r="P176" i="27"/>
  <c r="U180" i="27"/>
  <c r="V179" i="27"/>
  <c r="AJ176" i="27"/>
  <c r="AK176" i="27" s="1"/>
  <c r="AI176" i="27"/>
  <c r="S175" i="27"/>
  <c r="L176" i="27"/>
  <c r="M176" i="27" s="1"/>
  <c r="K176" i="27"/>
  <c r="AD177" i="27"/>
  <c r="AE177" i="27" s="1"/>
  <c r="AC177" i="27"/>
  <c r="AD178" i="27" l="1"/>
  <c r="AE178" i="27" s="1"/>
  <c r="AC178" i="27"/>
  <c r="AG179" i="27"/>
  <c r="AH178" i="27"/>
  <c r="O178" i="27"/>
  <c r="P177" i="27"/>
  <c r="AB179" i="27"/>
  <c r="AA180" i="27"/>
  <c r="I179" i="27"/>
  <c r="J178" i="27"/>
  <c r="R176" i="27"/>
  <c r="S176" i="27" s="1"/>
  <c r="Q176" i="27"/>
  <c r="X179" i="27"/>
  <c r="Y179" i="27" s="1"/>
  <c r="W179" i="27"/>
  <c r="L177" i="27"/>
  <c r="M177" i="27" s="1"/>
  <c r="K177" i="27"/>
  <c r="U181" i="27"/>
  <c r="V180" i="27"/>
  <c r="AJ177" i="27"/>
  <c r="AK177" i="27" s="1"/>
  <c r="AI177" i="27"/>
  <c r="AA181" i="27" l="1"/>
  <c r="AB180" i="27"/>
  <c r="AJ178" i="27"/>
  <c r="AK178" i="27" s="1"/>
  <c r="AI178" i="27"/>
  <c r="X180" i="27"/>
  <c r="Y180" i="27" s="1"/>
  <c r="W180" i="27"/>
  <c r="U182" i="27"/>
  <c r="V181" i="27"/>
  <c r="L178" i="27"/>
  <c r="M178" i="27" s="1"/>
  <c r="K178" i="27"/>
  <c r="R177" i="27"/>
  <c r="S177" i="27" s="1"/>
  <c r="Q177" i="27"/>
  <c r="AD179" i="27"/>
  <c r="AE179" i="27" s="1"/>
  <c r="AC179" i="27"/>
  <c r="AG180" i="27"/>
  <c r="AH179" i="27"/>
  <c r="I180" i="27"/>
  <c r="J179" i="27"/>
  <c r="O179" i="27"/>
  <c r="P178" i="27"/>
  <c r="AC180" i="27" l="1"/>
  <c r="AC20" i="27" s="1"/>
  <c r="AD180" i="27"/>
  <c r="AD20" i="27" s="1"/>
  <c r="O180" i="27"/>
  <c r="P179" i="27"/>
  <c r="AG181" i="27"/>
  <c r="AH180" i="27"/>
  <c r="V182" i="27"/>
  <c r="U183" i="27"/>
  <c r="K179" i="27"/>
  <c r="L179" i="27"/>
  <c r="M179" i="27" s="1"/>
  <c r="I181" i="27"/>
  <c r="J180" i="27"/>
  <c r="Q178" i="27"/>
  <c r="R178" i="27"/>
  <c r="S178" i="27" s="1"/>
  <c r="AI179" i="27"/>
  <c r="AJ179" i="27"/>
  <c r="AK179" i="27" s="1"/>
  <c r="W181" i="27"/>
  <c r="X181" i="27"/>
  <c r="Y181" i="27" s="1"/>
  <c r="AA182" i="27"/>
  <c r="AB181" i="27"/>
  <c r="AJ180" i="27" l="1"/>
  <c r="AK180" i="27" s="1"/>
  <c r="AI180" i="27"/>
  <c r="AG182" i="27"/>
  <c r="AH181" i="27"/>
  <c r="AA183" i="27"/>
  <c r="AB182" i="27"/>
  <c r="I182" i="27"/>
  <c r="J181" i="27"/>
  <c r="X182" i="27"/>
  <c r="Y182" i="27" s="1"/>
  <c r="W182" i="27"/>
  <c r="P180" i="27"/>
  <c r="O181" i="27"/>
  <c r="E20" i="27"/>
  <c r="AE20" i="27"/>
  <c r="AE180" i="27"/>
  <c r="AB20" i="27"/>
  <c r="C20" i="27" s="1"/>
  <c r="D20" i="27"/>
  <c r="AD181" i="27"/>
  <c r="AC181" i="27"/>
  <c r="L180" i="27"/>
  <c r="M180" i="27" s="1"/>
  <c r="K180" i="27"/>
  <c r="V183" i="27"/>
  <c r="U184" i="27"/>
  <c r="R179" i="27"/>
  <c r="S179" i="27" s="1"/>
  <c r="Q179" i="27"/>
  <c r="AE181" i="27" l="1"/>
  <c r="L181" i="27"/>
  <c r="M181" i="27" s="1"/>
  <c r="K181" i="27"/>
  <c r="R180" i="27"/>
  <c r="S180" i="27" s="1"/>
  <c r="Q180" i="27"/>
  <c r="I183" i="27"/>
  <c r="J182" i="27"/>
  <c r="AJ181" i="27"/>
  <c r="AK181" i="27" s="1"/>
  <c r="AI181" i="27"/>
  <c r="X183" i="27"/>
  <c r="Y183" i="27" s="1"/>
  <c r="W183" i="27"/>
  <c r="F20" i="27"/>
  <c r="AD182" i="27"/>
  <c r="AC182" i="27"/>
  <c r="AG183" i="27"/>
  <c r="AH182" i="27"/>
  <c r="O182" i="27"/>
  <c r="P181" i="27"/>
  <c r="U185" i="27"/>
  <c r="V184" i="27"/>
  <c r="AB183" i="27"/>
  <c r="AA184" i="27"/>
  <c r="W184" i="27" l="1"/>
  <c r="X184" i="27"/>
  <c r="Y184" i="27" s="1"/>
  <c r="L182" i="27"/>
  <c r="M182" i="27" s="1"/>
  <c r="K182" i="27"/>
  <c r="AE182" i="27"/>
  <c r="AC183" i="27"/>
  <c r="AD183" i="27"/>
  <c r="AI182" i="27"/>
  <c r="AJ182" i="27"/>
  <c r="AK182" i="27" s="1"/>
  <c r="U186" i="27"/>
  <c r="V185" i="27"/>
  <c r="AG184" i="27"/>
  <c r="AH183" i="27"/>
  <c r="I184" i="27"/>
  <c r="J183" i="27"/>
  <c r="O183" i="27"/>
  <c r="P182" i="27"/>
  <c r="AA185" i="27"/>
  <c r="AB184" i="27"/>
  <c r="R181" i="27"/>
  <c r="S181" i="27" s="1"/>
  <c r="Q181" i="27"/>
  <c r="AA186" i="27" l="1"/>
  <c r="AB185" i="27"/>
  <c r="Q182" i="27"/>
  <c r="R182" i="27"/>
  <c r="S182" i="27" s="1"/>
  <c r="AE183" i="27"/>
  <c r="J184" i="27"/>
  <c r="I185" i="27"/>
  <c r="AI183" i="27"/>
  <c r="AJ183" i="27"/>
  <c r="AK183" i="27" s="1"/>
  <c r="P183" i="27"/>
  <c r="O184" i="27"/>
  <c r="AH184" i="27"/>
  <c r="AG185" i="27"/>
  <c r="V186" i="27"/>
  <c r="U187" i="27"/>
  <c r="AD184" i="27"/>
  <c r="AC184" i="27"/>
  <c r="L183" i="27"/>
  <c r="M183" i="27" s="1"/>
  <c r="K183" i="27"/>
  <c r="X185" i="27"/>
  <c r="Y185" i="27" s="1"/>
  <c r="W185" i="27"/>
  <c r="AE184" i="27" l="1"/>
  <c r="R183" i="27"/>
  <c r="S183" i="27" s="1"/>
  <c r="Q183" i="27"/>
  <c r="X186" i="27"/>
  <c r="Y186" i="27" s="1"/>
  <c r="W186" i="27"/>
  <c r="K184" i="27"/>
  <c r="L184" i="27"/>
  <c r="M184" i="27" s="1"/>
  <c r="AH185" i="27"/>
  <c r="AG186" i="27"/>
  <c r="AA187" i="27"/>
  <c r="AB186" i="27"/>
  <c r="AJ184" i="27"/>
  <c r="AK184" i="27" s="1"/>
  <c r="AI184" i="27"/>
  <c r="AD185" i="27"/>
  <c r="AC185" i="27"/>
  <c r="U188" i="27"/>
  <c r="V187" i="27"/>
  <c r="P184" i="27"/>
  <c r="O185" i="27"/>
  <c r="I186" i="27"/>
  <c r="J185" i="27"/>
  <c r="AE185" i="27" l="1"/>
  <c r="AJ185" i="27"/>
  <c r="AK185" i="27" s="1"/>
  <c r="AI185" i="27"/>
  <c r="I187" i="27"/>
  <c r="J186" i="27"/>
  <c r="U189" i="27"/>
  <c r="V188" i="27"/>
  <c r="AG187" i="27"/>
  <c r="AH186" i="27"/>
  <c r="O186" i="27"/>
  <c r="P185" i="27"/>
  <c r="R184" i="27"/>
  <c r="S184" i="27" s="1"/>
  <c r="Q184" i="27"/>
  <c r="AA188" i="27"/>
  <c r="AB187" i="27"/>
  <c r="AD186" i="27"/>
  <c r="AC186" i="27"/>
  <c r="L185" i="27"/>
  <c r="M185" i="27" s="1"/>
  <c r="K185" i="27"/>
  <c r="X187" i="27"/>
  <c r="Y187" i="27" s="1"/>
  <c r="W187" i="27"/>
  <c r="AE186" i="27" l="1"/>
  <c r="AI186" i="27"/>
  <c r="AJ186" i="27"/>
  <c r="AK186" i="27" s="1"/>
  <c r="AG188" i="27"/>
  <c r="AH187" i="27"/>
  <c r="I188" i="27"/>
  <c r="J187" i="27"/>
  <c r="K186" i="27"/>
  <c r="L186" i="27"/>
  <c r="M186" i="27" s="1"/>
  <c r="AC187" i="27"/>
  <c r="AD187" i="27"/>
  <c r="Q185" i="27"/>
  <c r="R185" i="27"/>
  <c r="S185" i="27" s="1"/>
  <c r="W188" i="27"/>
  <c r="X188" i="27"/>
  <c r="Y188" i="27" s="1"/>
  <c r="AA189" i="27"/>
  <c r="AB188" i="27"/>
  <c r="O187" i="27"/>
  <c r="P186" i="27"/>
  <c r="U190" i="27"/>
  <c r="V189" i="27"/>
  <c r="AE187" i="27" l="1"/>
  <c r="X189" i="27"/>
  <c r="Y189" i="27" s="1"/>
  <c r="W189" i="27"/>
  <c r="U191" i="27"/>
  <c r="V190" i="27"/>
  <c r="AB189" i="27"/>
  <c r="AA190" i="27"/>
  <c r="AG189" i="27"/>
  <c r="AH188" i="27"/>
  <c r="R186" i="27"/>
  <c r="S186" i="27" s="1"/>
  <c r="Q186" i="27"/>
  <c r="L187" i="27"/>
  <c r="M187" i="27" s="1"/>
  <c r="K187" i="27"/>
  <c r="O188" i="27"/>
  <c r="P187" i="27"/>
  <c r="I189" i="27"/>
  <c r="J188" i="27"/>
  <c r="AD188" i="27"/>
  <c r="AC188" i="27"/>
  <c r="AJ187" i="27"/>
  <c r="AK187" i="27" s="1"/>
  <c r="AI187" i="27"/>
  <c r="AE188" i="27" l="1"/>
  <c r="J189" i="27"/>
  <c r="I190" i="27"/>
  <c r="AG190" i="27"/>
  <c r="AH189" i="27"/>
  <c r="U192" i="27"/>
  <c r="V191" i="27"/>
  <c r="R187" i="27"/>
  <c r="S187" i="27" s="1"/>
  <c r="Q187" i="27"/>
  <c r="AA191" i="27"/>
  <c r="AB190" i="27"/>
  <c r="O189" i="27"/>
  <c r="P188" i="27"/>
  <c r="AD189" i="27"/>
  <c r="AC189" i="27"/>
  <c r="L188" i="27"/>
  <c r="M188" i="27" s="1"/>
  <c r="K188" i="27"/>
  <c r="AJ188" i="27"/>
  <c r="AK188" i="27" s="1"/>
  <c r="AI188" i="27"/>
  <c r="X190" i="27"/>
  <c r="Y190" i="27" s="1"/>
  <c r="W190" i="27"/>
  <c r="AE189" i="27" l="1"/>
  <c r="AJ189" i="27"/>
  <c r="AK189" i="27" s="1"/>
  <c r="AI189" i="27"/>
  <c r="AG191" i="27"/>
  <c r="AH190" i="27"/>
  <c r="O190" i="27"/>
  <c r="P189" i="27"/>
  <c r="AD190" i="27"/>
  <c r="AC190" i="27"/>
  <c r="X191" i="27"/>
  <c r="Y191" i="27" s="1"/>
  <c r="W191" i="27"/>
  <c r="I191" i="27"/>
  <c r="J190" i="27"/>
  <c r="R188" i="27"/>
  <c r="S188" i="27" s="1"/>
  <c r="Q188" i="27"/>
  <c r="AA192" i="27"/>
  <c r="AB191" i="27"/>
  <c r="V192" i="27"/>
  <c r="U193" i="27"/>
  <c r="L189" i="27"/>
  <c r="M189" i="27" s="1"/>
  <c r="K189" i="27"/>
  <c r="AE190" i="27" l="1"/>
  <c r="I192" i="27"/>
  <c r="J191" i="27"/>
  <c r="U194" i="27"/>
  <c r="V193" i="27"/>
  <c r="AG192" i="27"/>
  <c r="AH191" i="27"/>
  <c r="AA193" i="27"/>
  <c r="AB192" i="27"/>
  <c r="AI190" i="27"/>
  <c r="AJ190" i="27"/>
  <c r="AK190" i="27" s="1"/>
  <c r="X192" i="27"/>
  <c r="Y192" i="27" s="1"/>
  <c r="W192" i="27"/>
  <c r="Q189" i="27"/>
  <c r="R189" i="27"/>
  <c r="S189" i="27" s="1"/>
  <c r="AC191" i="27"/>
  <c r="AD191" i="27"/>
  <c r="AE191" i="27" s="1"/>
  <c r="K190" i="27"/>
  <c r="L190" i="27"/>
  <c r="M190" i="27" s="1"/>
  <c r="O191" i="27"/>
  <c r="P190" i="27"/>
  <c r="AA194" i="27" l="1"/>
  <c r="AB193" i="27"/>
  <c r="U195" i="27"/>
  <c r="V194" i="27"/>
  <c r="W193" i="27"/>
  <c r="X193" i="27"/>
  <c r="Y193" i="27" s="1"/>
  <c r="I193" i="27"/>
  <c r="J192" i="27"/>
  <c r="AJ191" i="27"/>
  <c r="AK191" i="27" s="1"/>
  <c r="AI191" i="27"/>
  <c r="O192" i="27"/>
  <c r="P191" i="27"/>
  <c r="R190" i="27"/>
  <c r="S190" i="27" s="1"/>
  <c r="Q190" i="27"/>
  <c r="AC192" i="27"/>
  <c r="AC21" i="27" s="1"/>
  <c r="AD192" i="27"/>
  <c r="AD21" i="27" s="1"/>
  <c r="AG193" i="27"/>
  <c r="AH192" i="27"/>
  <c r="L191" i="27"/>
  <c r="M191" i="27" s="1"/>
  <c r="K191" i="27"/>
  <c r="P192" i="27" l="1"/>
  <c r="O193" i="27"/>
  <c r="AD193" i="27"/>
  <c r="AC193" i="27"/>
  <c r="AB21" i="27"/>
  <c r="C21" i="27" s="1"/>
  <c r="D21" i="27"/>
  <c r="J193" i="27"/>
  <c r="I194" i="27"/>
  <c r="U196" i="27"/>
  <c r="V195" i="27"/>
  <c r="AJ192" i="27"/>
  <c r="AK192" i="27" s="1"/>
  <c r="AI192" i="27"/>
  <c r="AG194" i="27"/>
  <c r="AH193" i="27"/>
  <c r="AA195" i="27"/>
  <c r="AB194" i="27"/>
  <c r="AE192" i="27"/>
  <c r="E21" i="27"/>
  <c r="AE21" i="27"/>
  <c r="R191" i="27"/>
  <c r="S191" i="27" s="1"/>
  <c r="Q191" i="27"/>
  <c r="L192" i="27"/>
  <c r="M192" i="27" s="1"/>
  <c r="K192" i="27"/>
  <c r="X194" i="27"/>
  <c r="Y194" i="27" s="1"/>
  <c r="W194" i="27"/>
  <c r="AD194" i="27" l="1"/>
  <c r="AC194" i="27"/>
  <c r="I195" i="27"/>
  <c r="J194" i="27"/>
  <c r="R192" i="27"/>
  <c r="S192" i="27" s="1"/>
  <c r="Q192" i="27"/>
  <c r="AJ193" i="27"/>
  <c r="AK193" i="27" s="1"/>
  <c r="AI193" i="27"/>
  <c r="X195" i="27"/>
  <c r="Y195" i="27" s="1"/>
  <c r="W195" i="27"/>
  <c r="F21" i="27"/>
  <c r="AB195" i="27"/>
  <c r="AA196" i="27"/>
  <c r="L193" i="27"/>
  <c r="M193" i="27" s="1"/>
  <c r="K193" i="27"/>
  <c r="AE193" i="27"/>
  <c r="AG195" i="27"/>
  <c r="AH194" i="27"/>
  <c r="U197" i="27"/>
  <c r="V196" i="27"/>
  <c r="O194" i="27"/>
  <c r="P193" i="27"/>
  <c r="AE194" i="27" l="1"/>
  <c r="R193" i="27"/>
  <c r="S193" i="27" s="1"/>
  <c r="Q193" i="27"/>
  <c r="O195" i="27"/>
  <c r="P194" i="27"/>
  <c r="AG196" i="27"/>
  <c r="AH195" i="27"/>
  <c r="AA197" i="27"/>
  <c r="AB196" i="27"/>
  <c r="L194" i="27"/>
  <c r="M194" i="27" s="1"/>
  <c r="K194" i="27"/>
  <c r="X196" i="27"/>
  <c r="Y196" i="27" s="1"/>
  <c r="W196" i="27"/>
  <c r="AD195" i="27"/>
  <c r="AC195" i="27"/>
  <c r="I196" i="27"/>
  <c r="J195" i="27"/>
  <c r="U198" i="27"/>
  <c r="V197" i="27"/>
  <c r="AJ194" i="27"/>
  <c r="AK194" i="27" s="1"/>
  <c r="AI194" i="27"/>
  <c r="AE195" i="27" l="1"/>
  <c r="W197" i="27"/>
  <c r="X197" i="27"/>
  <c r="Y197" i="27" s="1"/>
  <c r="I197" i="27"/>
  <c r="J196" i="27"/>
  <c r="AG197" i="27"/>
  <c r="AH196" i="27"/>
  <c r="Q194" i="27"/>
  <c r="R194" i="27"/>
  <c r="S194" i="27" s="1"/>
  <c r="U199" i="27"/>
  <c r="V198" i="27"/>
  <c r="AA198" i="27"/>
  <c r="AB197" i="27"/>
  <c r="O196" i="27"/>
  <c r="P195" i="27"/>
  <c r="AC196" i="27"/>
  <c r="AD196" i="27"/>
  <c r="AE196" i="27" s="1"/>
  <c r="K195" i="27"/>
  <c r="L195" i="27"/>
  <c r="M195" i="27" s="1"/>
  <c r="AI195" i="27"/>
  <c r="AJ195" i="27"/>
  <c r="AK195" i="27" s="1"/>
  <c r="R195" i="27" l="1"/>
  <c r="S195" i="27" s="1"/>
  <c r="Q195" i="27"/>
  <c r="L196" i="27"/>
  <c r="M196" i="27" s="1"/>
  <c r="K196" i="27"/>
  <c r="I198" i="27"/>
  <c r="J197" i="27"/>
  <c r="AD197" i="27"/>
  <c r="AC197" i="27"/>
  <c r="AJ196" i="27"/>
  <c r="AK196" i="27" s="1"/>
  <c r="AI196" i="27"/>
  <c r="P196" i="27"/>
  <c r="O197" i="27"/>
  <c r="X198" i="27"/>
  <c r="Y198" i="27" s="1"/>
  <c r="W198" i="27"/>
  <c r="V199" i="27"/>
  <c r="U200" i="27"/>
  <c r="AA199" i="27"/>
  <c r="AB198" i="27"/>
  <c r="AG198" i="27"/>
  <c r="AH197" i="27"/>
  <c r="AH198" i="27" l="1"/>
  <c r="AG199" i="27"/>
  <c r="X199" i="27"/>
  <c r="Y199" i="27" s="1"/>
  <c r="W199" i="27"/>
  <c r="R196" i="27"/>
  <c r="S196" i="27" s="1"/>
  <c r="Q196" i="27"/>
  <c r="AD198" i="27"/>
  <c r="AC198" i="27"/>
  <c r="L197" i="27"/>
  <c r="M197" i="27" s="1"/>
  <c r="K197" i="27"/>
  <c r="AA200" i="27"/>
  <c r="AB199" i="27"/>
  <c r="I199" i="27"/>
  <c r="J198" i="27"/>
  <c r="AJ197" i="27"/>
  <c r="AK197" i="27" s="1"/>
  <c r="AI197" i="27"/>
  <c r="U201" i="27"/>
  <c r="V200" i="27"/>
  <c r="O198" i="27"/>
  <c r="P197" i="27"/>
  <c r="AE197" i="27"/>
  <c r="AE198" i="27" l="1"/>
  <c r="O199" i="27"/>
  <c r="P198" i="27"/>
  <c r="AA201" i="27"/>
  <c r="AB200" i="27"/>
  <c r="AJ198" i="27"/>
  <c r="AK198" i="27" s="1"/>
  <c r="AI198" i="27"/>
  <c r="X200" i="27"/>
  <c r="Y200" i="27" s="1"/>
  <c r="W200" i="27"/>
  <c r="L198" i="27"/>
  <c r="M198" i="27" s="1"/>
  <c r="K198" i="27"/>
  <c r="U202" i="27"/>
  <c r="V201" i="27"/>
  <c r="I200" i="27"/>
  <c r="J199" i="27"/>
  <c r="R197" i="27"/>
  <c r="S197" i="27" s="1"/>
  <c r="Q197" i="27"/>
  <c r="AD199" i="27"/>
  <c r="AC199" i="27"/>
  <c r="AG200" i="27"/>
  <c r="AH199" i="27"/>
  <c r="AE199" i="27" l="1"/>
  <c r="I201" i="27"/>
  <c r="J200" i="27"/>
  <c r="AG201" i="27"/>
  <c r="AH200" i="27"/>
  <c r="U203" i="27"/>
  <c r="V202" i="27"/>
  <c r="AC200" i="27"/>
  <c r="AD200" i="27"/>
  <c r="AE200" i="27" s="1"/>
  <c r="K199" i="27"/>
  <c r="L199" i="27"/>
  <c r="M199" i="27" s="1"/>
  <c r="AA202" i="27"/>
  <c r="AB201" i="27"/>
  <c r="Q198" i="27"/>
  <c r="R198" i="27"/>
  <c r="S198" i="27" s="1"/>
  <c r="AI199" i="27"/>
  <c r="AJ199" i="27"/>
  <c r="AK199" i="27" s="1"/>
  <c r="W201" i="27"/>
  <c r="X201" i="27"/>
  <c r="Y201" i="27" s="1"/>
  <c r="O200" i="27"/>
  <c r="P199" i="27"/>
  <c r="X202" i="27" l="1"/>
  <c r="Y202" i="27" s="1"/>
  <c r="W202" i="27"/>
  <c r="O201" i="27"/>
  <c r="P200" i="27"/>
  <c r="AB202" i="27"/>
  <c r="AA203" i="27"/>
  <c r="AJ200" i="27"/>
  <c r="AK200" i="27" s="1"/>
  <c r="AI200" i="27"/>
  <c r="L200" i="27"/>
  <c r="M200" i="27" s="1"/>
  <c r="K200" i="27"/>
  <c r="AG202" i="27"/>
  <c r="AH201" i="27"/>
  <c r="R199" i="27"/>
  <c r="S199" i="27" s="1"/>
  <c r="Q199" i="27"/>
  <c r="AD201" i="27"/>
  <c r="AE201" i="27" s="1"/>
  <c r="AC201" i="27"/>
  <c r="U204" i="27"/>
  <c r="V204" i="27" s="1"/>
  <c r="V203" i="27"/>
  <c r="I202" i="27"/>
  <c r="J201" i="27"/>
  <c r="AJ201" i="27" l="1"/>
  <c r="AK201" i="27" s="1"/>
  <c r="AI201" i="27"/>
  <c r="R200" i="27"/>
  <c r="S200" i="27" s="1"/>
  <c r="Q200" i="27"/>
  <c r="X204" i="27"/>
  <c r="W204" i="27"/>
  <c r="V205" i="27"/>
  <c r="AA204" i="27"/>
  <c r="AB204" i="27" s="1"/>
  <c r="AB203" i="27"/>
  <c r="J202" i="27"/>
  <c r="I203" i="27"/>
  <c r="X203" i="27"/>
  <c r="Y203" i="27" s="1"/>
  <c r="W203" i="27"/>
  <c r="AG203" i="27"/>
  <c r="AH202" i="27"/>
  <c r="O202" i="27"/>
  <c r="P201" i="27"/>
  <c r="L201" i="27"/>
  <c r="M201" i="27" s="1"/>
  <c r="K201" i="27"/>
  <c r="AD202" i="27"/>
  <c r="AE202" i="27" s="1"/>
  <c r="AC202" i="27"/>
  <c r="X205" i="27" l="1"/>
  <c r="W205" i="27"/>
  <c r="Y204" i="27"/>
  <c r="L202" i="27"/>
  <c r="M202" i="27" s="1"/>
  <c r="K202" i="27"/>
  <c r="R201" i="27"/>
  <c r="S201" i="27" s="1"/>
  <c r="Q201" i="27"/>
  <c r="AD203" i="27"/>
  <c r="AE203" i="27" s="1"/>
  <c r="AC203" i="27"/>
  <c r="O203" i="27"/>
  <c r="P202" i="27"/>
  <c r="AC204" i="27"/>
  <c r="AD204" i="27"/>
  <c r="AB205" i="27"/>
  <c r="AJ202" i="27"/>
  <c r="AK202" i="27" s="1"/>
  <c r="AI202" i="27"/>
  <c r="I204" i="27"/>
  <c r="J204" i="27" s="1"/>
  <c r="J203" i="27"/>
  <c r="AG204" i="27"/>
  <c r="AH204" i="27" s="1"/>
  <c r="AH203" i="27"/>
  <c r="AE204" i="27" l="1"/>
  <c r="O204" i="27"/>
  <c r="P204" i="27" s="1"/>
  <c r="P203" i="27"/>
  <c r="AJ204" i="27"/>
  <c r="AI204" i="27"/>
  <c r="AH205" i="27"/>
  <c r="K203" i="27"/>
  <c r="L203" i="27"/>
  <c r="M203" i="27" s="1"/>
  <c r="L204" i="27"/>
  <c r="K204" i="27"/>
  <c r="J205" i="27"/>
  <c r="AD205" i="27"/>
  <c r="AD22" i="27"/>
  <c r="Q202" i="27"/>
  <c r="R202" i="27"/>
  <c r="S202" i="27" s="1"/>
  <c r="AI203" i="27"/>
  <c r="AJ203" i="27"/>
  <c r="AK203" i="27" s="1"/>
  <c r="AC205" i="27"/>
  <c r="AC22" i="27"/>
  <c r="K205" i="27" l="1"/>
  <c r="L205" i="27"/>
  <c r="M204" i="27"/>
  <c r="AK204" i="27"/>
  <c r="AI205" i="27"/>
  <c r="AJ205" i="27"/>
  <c r="R204" i="27"/>
  <c r="Q204" i="27"/>
  <c r="P205" i="27"/>
  <c r="E22" i="27"/>
  <c r="E23" i="27" s="1"/>
  <c r="AE22" i="27"/>
  <c r="F22" i="27" s="1"/>
  <c r="AB22" i="27"/>
  <c r="C22" i="27" s="1"/>
  <c r="C23" i="27" s="1"/>
  <c r="D22" i="27"/>
  <c r="R203" i="27"/>
  <c r="S203" i="27" s="1"/>
  <c r="Q203" i="27"/>
  <c r="G6" i="27" l="1"/>
  <c r="D23" i="27"/>
  <c r="S204" i="27"/>
  <c r="R205" i="27"/>
  <c r="Q205" i="27"/>
  <c r="Q38" i="21" l="1"/>
  <c r="Q45" i="21" s="1"/>
  <c r="Q32" i="2"/>
  <c r="Q33" i="2" s="1"/>
  <c r="Q65" i="2"/>
  <c r="Q67" i="2" s="1"/>
  <c r="Q48" i="2" l="1"/>
  <c r="Q49" i="2" s="1"/>
  <c r="Q69" i="2"/>
  <c r="Q71" i="2"/>
  <c r="Q119" i="2" l="1"/>
  <c r="Q126" i="2" s="1"/>
  <c r="S126" i="2" s="1"/>
  <c r="H10" i="23"/>
  <c r="I10" i="23" s="1"/>
  <c r="J10" i="23" s="1"/>
  <c r="I42" i="21"/>
  <c r="Q95" i="2"/>
  <c r="Q73" i="2"/>
  <c r="D81" i="2"/>
  <c r="Q56" i="25"/>
  <c r="Q81" i="2"/>
  <c r="Q98" i="2"/>
  <c r="Q127" i="2"/>
  <c r="Q57" i="25"/>
  <c r="Q59" i="25" s="1"/>
  <c r="Q97" i="2"/>
  <c r="Q46" i="21"/>
  <c r="Q124" i="2"/>
  <c r="Q18" i="25" l="1"/>
  <c r="H7" i="23"/>
  <c r="I7" i="23" s="1"/>
  <c r="J7" i="23" s="1"/>
  <c r="J13" i="23" s="1"/>
  <c r="J15" i="23" s="1"/>
  <c r="Q75" i="25" s="1"/>
  <c r="Q121" i="2"/>
  <c r="Q15" i="25" s="1"/>
  <c r="Q61" i="25"/>
  <c r="R81" i="2"/>
  <c r="S81" i="2"/>
  <c r="T81" i="2"/>
  <c r="T82" i="2" s="1"/>
  <c r="E83" i="2" s="1"/>
  <c r="Q41" i="25"/>
  <c r="I40" i="21"/>
  <c r="Q128" i="2"/>
  <c r="Q129" i="2" s="1"/>
  <c r="T22" i="26"/>
  <c r="Q20" i="25" l="1"/>
  <c r="Q17" i="25"/>
  <c r="Q47" i="25"/>
  <c r="Q49" i="25" s="1"/>
  <c r="Q44" i="25"/>
  <c r="Q43" i="25" s="1"/>
  <c r="T25" i="26"/>
  <c r="T27" i="26" s="1"/>
  <c r="T24" i="26"/>
  <c r="U2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Joseph BERGARA</author>
  </authors>
  <commentList>
    <comment ref="B43" authorId="0" shapeId="0" xr:uid="{00000000-0006-0000-0100-000001000000}">
      <text>
        <r>
          <rPr>
            <sz val="8"/>
            <color indexed="56"/>
            <rFont val="Tahoma"/>
            <family val="2"/>
          </rPr>
          <t>Quel est l'objet du programme ?
Principaux avantages concurrentiels attendus
Objectifs économiques visés (chiffre d'affaires, rentabilité, etc)
Facteurs clés de succés ou d'échecs identifiés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f䞾刔թ谀_x0000__x0000_Ϊ_x0000_䞸刔_x0000_谀_x0000__x0000__x0000__x0000_䞺刔_x0000_蠀閰୎閠୎䞴刔_x0000_蠀नଶ弈୎䞶刔_x0000_蠀闰୎徐୎䞰刔_x0000_蠀_x0002__x0000_mc䞲刔_x0000_蠀阐୎⿘ଽ䟌刔_x0000_言_x0001__x0000_r_x0000_䟎刔_x0000_蠀镠୎뭐ଵ䟈刔_x0000_蠀_x0005_䌀੎䟊刔_x0000_蠀_x0005_䌀੎䟄刔_x0000_谀_x0001_ _x0000__x0000_䟆刔_x0000_谀_x0001_ _x0000__x0000_䟀刔_x0000_谀_x0001_ _x0000__x0000_䟂刔_x0000_谀_x0001_ _x0000__x0000_䟜刔_x0000_谀_x0001_ _x0000__x0000_䟞刔_x0000_谀_x0001_ _x0000__x0000_䟘刔_x0000_谀_x0001_ _x0000__x0000_䟚刔_x0000_谀_x0001_ _x0000__x0000_䟔刔_x0000_谀_x0001_ _x0000__x0000_䟖刔_x0000_谀_x0001_ _x0000__x0000_䟐刔_x0000_谀_x0001_ _x0000__x0000_䟒刔_x0000_谀_x0001_ _x0000__x0000_䟬刔_x0000_谀_x0001_ be䟮刔_x0000_谀_x0001_ _x0000__x0000_䟨刔_x0000_谀_x0001_ _x0000__x0000_䟪刔_x0000_谀_x0001_ _x0000__x0000_䟤刔_x0000_谀_x0001_ _x0000__x0000_䟦刔_x0000_谀_x0001_ _x0000__x0000_䟠刔_x0000_谀_x0001_ _x0000__x0000_䟢刔_x0000_谀_x0001_ _x0000__x0000_䟼刔_x0000_谀_x0001_ _x0000__x0000_䟾刔_x0000_谀_x0001_ _x0000__x0000_䟸刔_x0000_谀_x0001_ _x0000__x0000_䟺刔_x0000_谀_x0001_ _x0000__x0000_䟴刔_x0000_蠀_x0005_䌀੎䟶刔_x0000_蠀_x0005_䌀媰੎䟰刔_x0000_蠀_x0005_䌀嫸੎䟲刔_x0000_谀_x0001_ _x0000__x0000_䘌刔_x0000_谀_x0001_ _x0000__x0000_䘎刔_x0000_谀_x0001_ _x0000__x0000_䘈刔_x0000_谀_x0001_ _x0000__x0000_䘊刔_x0000_谀_x0001_ _x0000__x0000_䘄刔_x0000_谀_x0001_ _x0000__x0000_䘆刔_x0000_蠀_x0005_䌀孀੎䘀刔_x0000_蠀_x0005_䌀섐۟䘂刔_x0000_蠀_x0005_䌀厈۝䘜刔_x0000_蠀_x0005_䌀쪈੍䘞刔_x0000_蠀_x0005_䌀蹸੎䘘刔_x0000_蠀_x0005_䌀軀੎䘚刔_x0000_蠀_x0005_䌀輈੎䘔刔_x0000_蠀_x0005_䌀_xDCE8_ਿ䘖刔_x0000_蠀_x0005_䌀_xDD30_ਿ䘐刔_x0000_谀_x0001_ _x0000__x0000_䘒刔_x0000_谀_x0001_ _x0000__x0000_䘬刔_x0000_谀_x0001_ _x0000__x0000_䘮刔_x0001_蠀_x0005_䌀_xDD78_ਿ䘨刔_x0000_蠀_x0005_䌀籰੏䘪刔_x0000_蠀_x0005_䌀粸੏䘤刔΀谀_x0001_ _x0000__x0000_䘦刔_x0000_谀_x0001_ _x0000__x0000_䘠刔_x0000_谀_x0001_ _x0000__x0000_䘢刔_x0000_蠀_x0005_䌀紀੏䘼刔_x0000_蠀_x0001__x0000_媠ୗ䘾刔4蠀_x0005_䌀롰੏䘸刔_x0000_蠀_x0005_䌀맘੏䘺刔_x0000_谀_x0001_ _x0000__x0000_䘴刔_x0000_蠀_x0005_䌀먠੏䘶刔_x0000_谀_x0001_ _x0000__x0000_䘰刔_x0000_蠀_x0005_䌀멨੏䘲刔_x0000_谀_x0001_ _x0000__x0000_䙌刔_x0000_耀Æ_x0000__x0000__x0000_䙎刔_x0000_谀_x0001_ _x0000__x0000_䙈刔_x0000_谀_x0001_ _x0000__x0000_䙊刔_x0000_谀_x0001_ _x0000__x0000_䙄刔_x0000_谀_x0001_ _x0000__x0000_䙆刔_x0000_谀_x0001_ _x0000__x0000_䙀刔_x0000_谀_x0001_ _x0000__x0000_䙂刔_x0000_谀_x0001_ _x0000__x0000_䙜刔_x0000_谀_x0001_ _x0000__x0000_䙞刔_x0000_谀_x0001_ _x0000__x0000_䙘刔_x0000_谀_x0001_ _x0000__x0000_䙚刔_x0000_谀_x0001_ _x0000__x0000_䙔刔_x0000_谀_x0001_ _x0000__x0000_䙖刔_x0000_谀_x0001_ _x0000__x0000_䙐刔_x0000_谀_x0001_ _x0000__x0000_䙒刔_x0000_谀_x0001_ _x0000__x0000_䙬刔_x0000_谀_x0001_ _x0000__x0000_䙮</author>
    <author xml:space="preserve">SOKOA </author>
  </authors>
  <commentList>
    <comment ref="L48" authorId="0" shapeId="0" xr:uid="{00000000-0006-0000-0D00-000001000000}">
      <text>
        <r>
          <rPr>
            <b/>
            <u/>
            <sz val="10"/>
            <color indexed="12"/>
            <rFont val="Tahoma"/>
            <family val="2"/>
          </rPr>
          <t>Emission d'obligations</t>
        </r>
        <r>
          <rPr>
            <sz val="8"/>
            <color indexed="12"/>
            <rFont val="Tahoma"/>
            <family val="2"/>
          </rPr>
          <t xml:space="preserve">
</t>
        </r>
        <r>
          <rPr>
            <b/>
            <sz val="8"/>
            <color indexed="12"/>
            <rFont val="Tahoma"/>
            <family val="2"/>
          </rPr>
          <t>I - Sociétés par actions</t>
        </r>
        <r>
          <rPr>
            <sz val="8"/>
            <color indexed="12"/>
            <rFont val="Tahoma"/>
            <family val="2"/>
          </rPr>
          <t xml:space="preserve">
L'émission d'obligations est réservée à toute société dont le capital est entièrement libéré (sauf si les actions non libérées ont été réservées aux salariés adhérents à un plan d'épargne d'entreprise) et qui a établi 2 bilans régulièrement approuvés par les actionnaires.</t>
        </r>
        <r>
          <rPr>
            <sz val="8"/>
            <color indexed="81"/>
            <rFont val="Tahoma"/>
            <family val="2"/>
          </rPr>
          <t xml:space="preserve">
</t>
        </r>
        <r>
          <rPr>
            <sz val="8"/>
            <color indexed="12"/>
            <rFont val="Tahoma"/>
            <family val="2"/>
          </rPr>
          <t xml:space="preserve">Si la société n'a pas déjà établi 2 bilans, régulièrement approuvés par les actionnaires, elle ne peut émettre d'obligations qu'après avoir fait vérifier son actif et son passif dans les conditions prévues en cas d'apports en nature ou de stipulation d'avantages particuliers. Elle fera désigner un commissaire vérificateur par le président du tribunal de commerce de son siège social. Ce rapport sera déposé au greffe du tribunal de commerce, tenu à la disposition des souscripteurs et soumis à l'approbation de l'assemblée appelée à décider l'émission;
</t>
        </r>
        <r>
          <rPr>
            <b/>
            <sz val="8"/>
            <color indexed="12"/>
            <rFont val="Tahoma"/>
            <family val="2"/>
          </rPr>
          <t xml:space="preserve">II - SARL
</t>
        </r>
        <r>
          <rPr>
            <sz val="8"/>
            <color indexed="12"/>
            <rFont val="Tahoma"/>
            <family val="2"/>
          </rPr>
          <t xml:space="preserve">Les sociétés à responsabilité limitée - SARL - peuvent émettre des obligations, sous réserve de remplir les conditions suivantes :
-  avoir établi les comptes des trois derniers exercices de 12 mois, approuvés par les associés ;
-  être tenues de désigner un commissaire aux comptes et, pour cela, avoir dépassé, à la clôture d'un exercice, deux des trois seuils suivants : 
- total de bilan : 1 550 000 € ; ,
- chiffre d'affaires annuel hors taxes : 3 100 000 € ;
- nombre moyen de salariés : 50.
La décision d'émission des obligations est prise par l'assemblée des associés
</t>
        </r>
      </text>
    </comment>
    <comment ref="H69" authorId="1" shapeId="0" xr:uid="{00000000-0006-0000-0D00-000002000000}">
      <text>
        <r>
          <rPr>
            <sz val="8"/>
            <color indexed="12"/>
            <rFont val="Tahoma"/>
            <family val="2"/>
          </rPr>
          <t>Il s'agit des fonds propres au sens élargi, qui comprennent :
- le capital,
- les comptes courants bloqués,
- les subventions et primes d'investissement,
- les obligations convertibles,</t>
        </r>
        <r>
          <rPr>
            <sz val="8"/>
            <color indexed="56"/>
            <rFont val="Tahoma"/>
            <family val="2"/>
          </rPr>
          <t xml:space="preserve">
</t>
        </r>
        <r>
          <rPr>
            <sz val="8"/>
            <color indexed="48"/>
            <rFont val="Tahoma"/>
            <family val="2"/>
          </rPr>
          <t>- les titres participatifs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M5" authorId="0" shapeId="0" xr:uid="{00000000-0006-0000-1100-000001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S5" authorId="0" shapeId="0" xr:uid="{00000000-0006-0000-1100-000002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Y5" authorId="0" shapeId="0" xr:uid="{00000000-0006-0000-1100-000003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AE5" authorId="0" shapeId="0" xr:uid="{00000000-0006-0000-1100-000004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 ref="AK5" authorId="0" shapeId="0" xr:uid="{00000000-0006-0000-1100-000005000000}">
      <text>
        <r>
          <rPr>
            <sz val="9"/>
            <color indexed="28"/>
            <rFont val="Calibri"/>
            <family val="2"/>
            <scheme val="minor"/>
          </rPr>
          <t>Si remboursement in fine, 
différé = nombre de mois précédant la dernière échéance, compte tenu de la périodicité</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SOKOA </author>
    <author>Joseph BERGARA</author>
    <author>inf</author>
  </authors>
  <commentList>
    <comment ref="B46" authorId="0" shapeId="0" xr:uid="{00000000-0006-0000-0200-000001000000}">
      <text>
        <r>
          <rPr>
            <sz val="8"/>
            <color indexed="56"/>
            <rFont val="Tahoma"/>
            <family val="2"/>
          </rPr>
          <t>Il s'agit de faire apparaître les différentes caractéristiques des produits
ainsi que la gamme, le volume et la répartition du chiffre d'affaires.
Quelle est la position des produits sur leur courbr de vie ?
Evolution de la gamme ?
Y-a-t-il des produits de substitution ?
Y-a-t-il des possibilités d'innovation, de nouveaux produits ?</t>
        </r>
        <r>
          <rPr>
            <b/>
            <sz val="8"/>
            <color indexed="81"/>
            <rFont val="Tahoma"/>
            <family val="2"/>
          </rPr>
          <t xml:space="preserve">
</t>
        </r>
        <r>
          <rPr>
            <sz val="8"/>
            <color indexed="81"/>
            <rFont val="Tahoma"/>
            <family val="2"/>
          </rPr>
          <t xml:space="preserve">
</t>
        </r>
      </text>
    </comment>
    <comment ref="B55" authorId="0" shapeId="0" xr:uid="{00000000-0006-0000-0200-000002000000}">
      <text>
        <r>
          <rPr>
            <sz val="8"/>
            <color indexed="56"/>
            <rFont val="Tahoma"/>
            <family val="2"/>
          </rPr>
          <t xml:space="preserve">Précisez sur quel marché se situe l'entreprise.
(exemple : le marché du loisir)
</t>
        </r>
      </text>
    </comment>
    <comment ref="I55" authorId="0" shapeId="0" xr:uid="{00000000-0006-0000-0200-000003000000}">
      <text>
        <r>
          <rPr>
            <sz val="8"/>
            <color indexed="56"/>
            <rFont val="Tahoma"/>
            <family val="2"/>
          </rPr>
          <t xml:space="preserve">Indications sur le volume général du marché.
Quelle a été son évolution ses dernières années ?
Quelle est l'évolution prévisible ?
S'agit-il d'un marché en déclin, en stagnation, en progression ?
Quel est son taux  de croissance annuel ?
</t>
        </r>
      </text>
    </comment>
    <comment ref="B73" authorId="0" shapeId="0" xr:uid="{00000000-0006-0000-0200-000004000000}">
      <text>
        <r>
          <rPr>
            <sz val="8"/>
            <color indexed="56"/>
            <rFont val="Tahoma"/>
            <family val="2"/>
          </rPr>
          <t xml:space="preserve">Indiquez quelles sont les caractéristiques principales de l'offre sur ce marché.
(exemples : concentration ou, au contraire, multitude de concurrents, intensité concurrentielle, évolution prévisible, etc …)
</t>
        </r>
      </text>
    </comment>
    <comment ref="I73" authorId="0" shapeId="0" xr:uid="{00000000-0006-0000-0200-000005000000}">
      <text>
        <r>
          <rPr>
            <sz val="8"/>
            <color indexed="56"/>
            <rFont val="Tahoma"/>
            <family val="2"/>
          </rPr>
          <t xml:space="preserve">Pécisez quels sont les principaux concurrents et indiquez pour chacun : ancienneté, taille, CA, part de marché, caractéristiques de leurs produits, réputation, politique commerciale, etc
</t>
        </r>
      </text>
    </comment>
    <comment ref="B93" authorId="1" shapeId="0" xr:uid="{00000000-0006-0000-0200-000006000000}">
      <text>
        <r>
          <rPr>
            <sz val="8"/>
            <color indexed="56"/>
            <rFont val="Tahoma"/>
            <family val="2"/>
          </rPr>
          <t>Caractéristiques des locaux, du parc machine
Quels ont les points forts et les points faibles de l'organisation de la production ?
Quels investissements nouveaux sont à prévoir ?</t>
        </r>
      </text>
    </comment>
    <comment ref="I93" authorId="1" shapeId="0" xr:uid="{00000000-0006-0000-0200-000007000000}">
      <text>
        <r>
          <rPr>
            <sz val="8"/>
            <color indexed="56"/>
            <rFont val="Tahoma"/>
            <family val="2"/>
          </rPr>
          <t>Moins de 20 % des fournisseurs représentent-ils plus de 80 % des achats ?
Sont-ils stratégiques ? indispensables ? irremplaçables ?
Les délais de livraison, les prix et conditions de paiement sont-ils conformes au secteur d'activité ?</t>
        </r>
      </text>
    </comment>
    <comment ref="B102" authorId="1" shapeId="0" xr:uid="{00000000-0006-0000-0200-000008000000}">
      <text>
        <r>
          <rPr>
            <sz val="8"/>
            <color indexed="56"/>
            <rFont val="Tahoma"/>
            <family val="2"/>
          </rPr>
          <t>Quel est le système de distribution (réseau, distributeur, VRP, agent commercial, vente directe, VPC ….) ?
Y-a-t-il un service après-vente ?</t>
        </r>
      </text>
    </comment>
    <comment ref="I102" authorId="1" shapeId="0" xr:uid="{00000000-0006-0000-0200-000009000000}">
      <text>
        <r>
          <rPr>
            <sz val="8"/>
            <color indexed="56"/>
            <rFont val="Tahoma"/>
            <family val="2"/>
          </rPr>
          <t>Y-a-t-il un savoir-faire particulier dans l'entreprise ?
Y-a-t-il des salariés indispensables ?
La pyramide des âges ?
Les responsables sont-ils indispensables ? Attachés à l'entreprise ?</t>
        </r>
      </text>
    </comment>
    <comment ref="H127" authorId="2" shapeId="0" xr:uid="{00000000-0006-0000-0200-00000A000000}">
      <text>
        <r>
          <rPr>
            <sz val="9"/>
            <color indexed="62"/>
            <rFont val="Tahoma"/>
            <family val="2"/>
          </rPr>
          <t>RSE = Responsabilité sociétale des entreprises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B89" authorId="0" shapeId="0" xr:uid="{00000000-0006-0000-0300-000001000000}">
      <text>
        <r>
          <rPr>
            <sz val="9"/>
            <color indexed="62"/>
            <rFont val="Tahoma"/>
            <family val="2"/>
          </rPr>
          <t>RSE = Responsabilité sociétale des entreprises</t>
        </r>
        <r>
          <rPr>
            <sz val="9"/>
            <color indexed="81"/>
            <rFont val="Tahoma"/>
            <family val="2"/>
          </rPr>
          <t xml:space="preserve">
</t>
        </r>
      </text>
    </comment>
    <comment ref="B98" authorId="0" shapeId="0" xr:uid="{00000000-0006-0000-0300-000002000000}">
      <text>
        <r>
          <rPr>
            <sz val="9"/>
            <color indexed="39"/>
            <rFont val="Calibri"/>
            <family val="2"/>
          </rPr>
          <t>Joindre le détail de la méthode de valorisation des éléments incorporels et le descriptif des éléments corporels</t>
        </r>
      </text>
    </comment>
    <comment ref="I98" authorId="0" shapeId="0" xr:uid="{00000000-0006-0000-0300-000003000000}">
      <text>
        <r>
          <rPr>
            <sz val="9"/>
            <color indexed="39"/>
            <rFont val="Calibri"/>
            <family val="2"/>
          </rPr>
          <t>Joindre le détail de la méthode de valorisation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Joseph BERGARA</author>
  </authors>
  <commentList>
    <comment ref="F89" authorId="0" shapeId="0" xr:uid="{00000000-0006-0000-0400-000001000000}">
      <text>
        <r>
          <rPr>
            <sz val="8"/>
            <color indexed="12"/>
            <rFont val="Tahoma"/>
            <family val="2"/>
          </rPr>
          <t>Il s'agit ici d'une approche de point mort car, par commodité, nous avons considéré qu'à l'exception des frais de transport sur vente, le poste "autres achats et charges externes" était uniquement composé de charges fixes ainsi que l'ensemble des postes "Impôts et taxes" et "Charges de personnel" excepté l'intérim, ce qui, bien sûr n'est pas tout-à-fait conforme à la réalité.</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author>
    <author>Joseph BERGARA</author>
  </authors>
  <commentList>
    <comment ref="G52" authorId="0" shapeId="0" xr:uid="{00000000-0006-0000-0600-000001000000}">
      <text>
        <r>
          <rPr>
            <b/>
            <u/>
            <sz val="10"/>
            <color indexed="12"/>
            <rFont val="Tahoma"/>
            <family val="2"/>
          </rPr>
          <t>Emission d'obligations</t>
        </r>
        <r>
          <rPr>
            <sz val="8"/>
            <color indexed="12"/>
            <rFont val="Tahoma"/>
            <family val="2"/>
          </rPr>
          <t xml:space="preserve">
</t>
        </r>
        <r>
          <rPr>
            <b/>
            <sz val="8"/>
            <color indexed="12"/>
            <rFont val="Tahoma"/>
            <family val="2"/>
          </rPr>
          <t>I - Sociétés par actions</t>
        </r>
        <r>
          <rPr>
            <sz val="8"/>
            <color indexed="12"/>
            <rFont val="Tahoma"/>
            <family val="2"/>
          </rPr>
          <t xml:space="preserve">
L'émission d'obligations est réservée à toute société dont le capital est entièrement libéré (sauf si les actions non libérées ont été réservées aux salariés adhérents à un plan d'épargne d'entreprise) et qui a établi 2 bilans régulièrement approuvés par les actionnaires.</t>
        </r>
        <r>
          <rPr>
            <sz val="8"/>
            <color indexed="81"/>
            <rFont val="Tahoma"/>
            <family val="2"/>
          </rPr>
          <t xml:space="preserve">
</t>
        </r>
        <r>
          <rPr>
            <sz val="8"/>
            <color indexed="12"/>
            <rFont val="Tahoma"/>
            <family val="2"/>
          </rPr>
          <t xml:space="preserve">Si la société n'a pas déjà établi 2 bilans, régulièrement approuvés par les actionnaires, elle ne peut émettre d'obligations qu'après avoir fait vérifier son actif et son passif dans les conditions prévues en cas d'apports en nature ou de stipulation d'avantages particuliers. Elle fera désigner un commissaire vérificateur par le président du tribunal de commerce de son siège social. Ce rapport sera déposé au greffe du tribunal de commerce, tenu à la disposition des souscripteurs et soumis à l'approbation de l'assemblée appelée à décider l'émission;
</t>
        </r>
        <r>
          <rPr>
            <b/>
            <sz val="8"/>
            <color indexed="12"/>
            <rFont val="Tahoma"/>
            <family val="2"/>
          </rPr>
          <t xml:space="preserve">II - SARL
</t>
        </r>
        <r>
          <rPr>
            <sz val="8"/>
            <color indexed="12"/>
            <rFont val="Tahoma"/>
            <family val="2"/>
          </rPr>
          <t xml:space="preserve">Les sociétés à responsabilité limitée - SARL - peuvent émettre des obligations, sous réserve de remplir les conditions suivantes :
-  avoir établi les comptes des trois derniers exercices de 12 mois, approuvés par les associés ;
-  être tenues de désigner un commissaire aux comptes et, pour cela, avoir dépassé, à la clôture d'un exercice, deux des trois seuils suivants : 
- total de bilan : 1 550 000 € ; ,
- chiffre d'affaires annuel hors taxes : 3 100 000 € ;
- nombre moyen de salariés : 50.
La décision d'émission des obligations est prise par l'assemblée des associés
</t>
        </r>
      </text>
    </comment>
    <comment ref="M52" authorId="0" shapeId="0" xr:uid="{00000000-0006-0000-0600-000002000000}">
      <text>
        <r>
          <rPr>
            <b/>
            <u/>
            <sz val="9"/>
            <color indexed="12"/>
            <rFont val="Tahoma"/>
            <family val="2"/>
          </rPr>
          <t>Emission de titres participatifs</t>
        </r>
        <r>
          <rPr>
            <b/>
            <u/>
            <sz val="10"/>
            <color indexed="12"/>
            <rFont val="Tahoma"/>
            <family val="2"/>
          </rPr>
          <t xml:space="preserve">
</t>
        </r>
        <r>
          <rPr>
            <sz val="8"/>
            <color indexed="12"/>
            <rFont val="Tahoma"/>
            <family val="2"/>
          </rPr>
          <t>L'émission de titres participatifs est prévue dans certaines sociétés seulement :</t>
        </r>
        <r>
          <rPr>
            <b/>
            <u/>
            <sz val="8"/>
            <color indexed="12"/>
            <rFont val="Tahoma"/>
            <family val="2"/>
          </rPr>
          <t xml:space="preserve">
</t>
        </r>
        <r>
          <rPr>
            <sz val="8"/>
            <color indexed="12"/>
            <rFont val="Tahoma"/>
            <family val="2"/>
          </rPr>
          <t xml:space="preserve">- sociétés coopératives constituées sous la forme de société anonyme ou de société à responsabilité limitée ;
- sociétés coopératives agricoles.
</t>
        </r>
      </text>
    </comment>
    <comment ref="E79" authorId="1" shapeId="0" xr:uid="{00000000-0006-0000-0600-000003000000}">
      <text>
        <r>
          <rPr>
            <sz val="8"/>
            <color indexed="12"/>
            <rFont val="Tahoma"/>
            <family val="2"/>
          </rPr>
          <t>Le remboursement de la part des dettes financières à moins d'1 an doit absorber un maximum de 50 à 60 % de la capacité d'autofinancement car celle-ci a d'autres utilisations que le remboursement des dettes financières.
Elle doit permettre de faire face :
- d'une part aux aléas économiques,
- d'autre part au besoin d'autofinancement nécessaire au développement de l'entreprise (renouvellement de l'outil de production, investissements, croissance du BFR) 
- ainsi qu'à la rémunération du capital (dividendes)</t>
        </r>
        <r>
          <rPr>
            <sz val="8"/>
            <color indexed="81"/>
            <rFont val="Tahoma"/>
            <family val="2"/>
          </rPr>
          <t xml:space="preserve">
</t>
        </r>
      </text>
    </comment>
    <comment ref="I85" authorId="0" shapeId="0" xr:uid="{00000000-0006-0000-0600-000004000000}">
      <text>
        <r>
          <rPr>
            <b/>
            <sz val="8"/>
            <color indexed="81"/>
            <rFont val="Tahoma"/>
            <family val="2"/>
          </rPr>
          <t>E</t>
        </r>
        <r>
          <rPr>
            <b/>
            <sz val="8"/>
            <color indexed="12"/>
            <rFont val="Tahoma"/>
            <family val="2"/>
          </rPr>
          <t>onia : Euro Overnight Index Average</t>
        </r>
        <r>
          <rPr>
            <sz val="8"/>
            <color indexed="12"/>
            <rFont val="Tahoma"/>
            <family val="2"/>
          </rPr>
          <t xml:space="preserve">
Taux calculé par la BCE. Il résulte de la moyenne pondérée de toutes les transactions au jour le jour de prêts non garantis réalisées par les banques retenues pour le calcul de l'euribor. Il sert de référence pour le calcul des crédits à court terme : découvert et crédits de trésorerie.
</t>
        </r>
        <r>
          <rPr>
            <b/>
            <sz val="8"/>
            <color indexed="12"/>
            <rFont val="Tahoma"/>
            <family val="2"/>
          </rPr>
          <t>Euribor : Euro Interbank Offered Rate</t>
        </r>
        <r>
          <rPr>
            <sz val="8"/>
            <color indexed="12"/>
            <rFont val="Tahoma"/>
            <family val="2"/>
          </rPr>
          <t xml:space="preserve">
L'Euribor est le taux moyen pratiqué par les banques pour se prêter de l'argent, en euros, entre elles . Plus précisément, c'est le taux interbancaire offert entre banques de meilleures signatures pour la rémunération de dépôts dans la zone euro. Il représente la moyenne des taux prêteurs communiqués par un échantillon de 57 établissements bancaires les plus actifs de la zonne euro. L'Euribor est une référence très répandue, à la fois pour les crédits à court terme et pour ceux à moyen et long terme.
L'Euribor 3 mois (3M) est la moyenne glissante des Euribors sur les 3 derniers mois.
</t>
        </r>
        <r>
          <rPr>
            <b/>
            <sz val="8"/>
            <color indexed="12"/>
            <rFont val="Tahoma"/>
            <family val="2"/>
          </rPr>
          <t>T4M : Taux moyen mensuel  du marché monétaire</t>
        </r>
        <r>
          <rPr>
            <sz val="8"/>
            <color indexed="12"/>
            <rFont val="Tahoma"/>
            <family val="2"/>
          </rPr>
          <t xml:space="preserve">
Taux égal à la moyenne arithmétique de tous les Eonia du mois. Il est utilisé comme référence pour les crédits à moyen et long terme à taux variable.
</t>
        </r>
        <r>
          <rPr>
            <b/>
            <sz val="8"/>
            <color indexed="12"/>
            <rFont val="Tahoma"/>
            <family val="2"/>
          </rPr>
          <t xml:space="preserve">TAM : Taux Annuel Monétaire
</t>
        </r>
        <r>
          <rPr>
            <sz val="8"/>
            <color indexed="12"/>
            <rFont val="Tahoma"/>
            <family val="2"/>
          </rPr>
          <t xml:space="preserve">Taux correspondant à la moyenne des douze derniers T4M. Il sert de référence pour les crédits à moyen et long terme à taux variable.
</t>
        </r>
        <r>
          <rPr>
            <b/>
            <sz val="8"/>
            <color indexed="12"/>
            <rFont val="Tahoma"/>
            <family val="2"/>
          </rPr>
          <t>TBB : Taux de Base Bancaire</t>
        </r>
        <r>
          <rPr>
            <sz val="8"/>
            <color indexed="81"/>
            <rFont val="Tahoma"/>
            <family val="2"/>
          </rPr>
          <t xml:space="preserve">
</t>
        </r>
        <r>
          <rPr>
            <sz val="8"/>
            <color indexed="12"/>
            <rFont val="Tahoma"/>
            <family val="2"/>
          </rPr>
          <t>Contrairement aux précédents, ce taux n'est pas un taux de marché, mais un taux élaboré par les banques elles-mêmes. Il inclut le taux de marché à court terme (Eonia), couvre en plus les frais de la banque ... et intégre déjà une marge. De ce fait, il excède de 3% à 4% les taux du marché.
Le TBB reste couramment utilisé comme référence pour les crédits à court terme accordés aux très petites entreprises et à une partie des PME.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Joseph BERGARA</author>
    <author xml:space="preserve">SOKOA </author>
    <author>inf</author>
    <author>BERGARA</author>
  </authors>
  <commentList>
    <comment ref="C9" authorId="0" shapeId="0" xr:uid="{00000000-0006-0000-0800-000001000000}">
      <text>
        <r>
          <rPr>
            <sz val="9"/>
            <color indexed="62"/>
            <rFont val="Tahoma"/>
            <family val="2"/>
          </rPr>
          <t xml:space="preserve">Constituant la </t>
        </r>
        <r>
          <rPr>
            <b/>
            <sz val="9"/>
            <color indexed="62"/>
            <rFont val="Tahoma"/>
            <family val="2"/>
          </rPr>
          <t>base de l’activité</t>
        </r>
        <r>
          <rPr>
            <sz val="9"/>
            <color indexed="62"/>
            <rFont val="Tahoma"/>
            <family val="2"/>
          </rPr>
          <t xml:space="preserve"> de l’entreprise, le chiffre d’affaires doit faire l’objet d’une analyse particulière :
- Est-il en croissance ?
- Son évolution est-elle comparable à celle du secteur d’activité ?  Si non pourquoi ?
- Quel est le positionnement de l’entreprise sur son marché (leader, suiveur, etc) ?
Par ailleurs, il sera instructif de </t>
        </r>
        <r>
          <rPr>
            <b/>
            <sz val="9"/>
            <color indexed="62"/>
            <rFont val="Tahoma"/>
            <family val="2"/>
          </rPr>
          <t>comparer</t>
        </r>
        <r>
          <rPr>
            <sz val="9"/>
            <color indexed="62"/>
            <rFont val="Tahoma"/>
            <family val="2"/>
          </rPr>
          <t xml:space="preserve"> l’évolution de l‘entreprise avec celle de ses principaux concurrents.</t>
        </r>
        <r>
          <rPr>
            <sz val="9"/>
            <color indexed="12"/>
            <rFont val="Times New Roman"/>
            <family val="1"/>
          </rPr>
          <t xml:space="preserve">
</t>
        </r>
      </text>
    </comment>
    <comment ref="C18" authorId="0" shapeId="0" xr:uid="{00000000-0006-0000-0800-000002000000}">
      <text>
        <r>
          <rPr>
            <sz val="10"/>
            <color indexed="12"/>
            <rFont val="Tahoma"/>
            <family val="2"/>
          </rPr>
          <t>L</t>
        </r>
        <r>
          <rPr>
            <sz val="9"/>
            <color indexed="62"/>
            <rFont val="Tahoma"/>
            <family val="2"/>
          </rPr>
          <t xml:space="preserve">a marge commerciale est </t>
        </r>
        <r>
          <rPr>
            <b/>
            <sz val="9"/>
            <color indexed="62"/>
            <rFont val="Tahoma"/>
            <family val="2"/>
          </rPr>
          <t>l'indicateur fondamental de l'activité des entreprises de distribution</t>
        </r>
        <r>
          <rPr>
            <sz val="9"/>
            <color indexed="62"/>
            <rFont val="Tahoma"/>
            <family val="2"/>
          </rPr>
          <t xml:space="preserve"> (négoce). 
Il est primordial d'analyser son évolution dans le temps et par rapport aux concurrents (taux de marge comparable à celui du secteur d'activité ? Si non, pourquoi ?).
Dans un secteur de distribution très concurrentiel, les entreprises qui ne peuvent maintenir un niveau de chiffre d'affaires par un autre moyen que par la réduction de leur taux de marge commerciale, hypothèquent fortement l'avenir</t>
        </r>
        <r>
          <rPr>
            <sz val="9"/>
            <color indexed="62"/>
            <rFont val="Calibri"/>
            <family val="2"/>
            <scheme val="minor"/>
          </rPr>
          <t xml:space="preserve">
</t>
        </r>
        <r>
          <rPr>
            <sz val="8"/>
            <color indexed="81"/>
            <rFont val="Tahoma"/>
            <family val="2"/>
          </rPr>
          <t xml:space="preserve">
</t>
        </r>
      </text>
    </comment>
    <comment ref="C34" authorId="1" shapeId="0" xr:uid="{00000000-0006-0000-0800-000003000000}">
      <text>
        <r>
          <rPr>
            <sz val="9"/>
            <color indexed="12"/>
            <rFont val="Tahoma"/>
            <family val="2"/>
          </rPr>
          <t xml:space="preserve">La valeur ajoutée représente le complément de valeur apporté par l'entreprise aux biens et services en provenance des tiers. Elle mesure le poids économique de l'entreprise et correspond à la richesse créée par celle-ci. 
Elle donne également une représentation de son degré d'intégration : plus celle-ci a recours à la sous-traitance, plus sa valeur ajoutée diminue.
Valeur ajoutée :         &lt; 20 %             -            20 à 30 %               -       30 à 50 %               -         &gt; 50 %
Intégration       : Activité de négoce     -    Industrie peu intégrée      -  Intégration moyenne      -  Intégration forte 
  </t>
        </r>
        <r>
          <rPr>
            <sz val="9"/>
            <color indexed="81"/>
            <rFont val="Tahoma"/>
            <family val="2"/>
          </rPr>
          <t xml:space="preserve">
</t>
        </r>
        <r>
          <rPr>
            <sz val="9"/>
            <color indexed="12"/>
            <rFont val="Tahoma"/>
            <family val="2"/>
          </rPr>
          <t xml:space="preserve">Année après année, l'analyse financière confirme que la maîtrise des charges de personnel reste un enjeu vital pour les entreprises.
On estime que quelque soit le secteur d'activité, l'entreprise devient vulnérable lorsque le ratio dépasse 80%.
</t>
        </r>
        <r>
          <rPr>
            <b/>
            <sz val="9"/>
            <color indexed="12"/>
            <rFont val="Tahoma"/>
            <family val="2"/>
          </rPr>
          <t xml:space="preserve">Les frais de personnel sont une charge imcompressible à court terme
</t>
        </r>
      </text>
    </comment>
    <comment ref="C43" authorId="2" shapeId="0" xr:uid="{00000000-0006-0000-0800-000004000000}">
      <text>
        <r>
          <rPr>
            <sz val="9"/>
            <color indexed="39"/>
            <rFont val="Tahoma"/>
            <family val="2"/>
          </rPr>
          <t xml:space="preserve">L’excédent brut d’exploitation représente la </t>
        </r>
        <r>
          <rPr>
            <b/>
            <sz val="9"/>
            <color indexed="39"/>
            <rFont val="Tahoma"/>
            <family val="2"/>
          </rPr>
          <t>trésorerie potentielle</t>
        </r>
        <r>
          <rPr>
            <sz val="9"/>
            <color indexed="39"/>
            <rFont val="Tahoma"/>
            <family val="2"/>
          </rPr>
          <t xml:space="preserve"> que l’entreprise obtient à partir de son exploitation courante, avant et indépendamment de tout contrainte ou décision en matière de financement, d'amortissements et de provisions ou fiscale. 
Un excédent brut d’exploitation négatif traduit une grande difficulté de l’entreprise et un avenir sur lequel il convient de s’interroger. </t>
        </r>
        <r>
          <rPr>
            <b/>
            <sz val="8"/>
            <color indexed="81"/>
            <rFont val="Tahoma"/>
            <family val="2"/>
          </rPr>
          <t xml:space="preserve">
</t>
        </r>
      </text>
    </comment>
    <comment ref="C67" authorId="3" shapeId="0" xr:uid="{00000000-0006-0000-0800-000005000000}">
      <text>
        <r>
          <rPr>
            <sz val="9"/>
            <color indexed="12"/>
            <rFont val="Tahoma"/>
            <family val="2"/>
          </rPr>
          <t xml:space="preserve">La capacité d'autofinancement exprime le </t>
        </r>
        <r>
          <rPr>
            <b/>
            <sz val="9"/>
            <color indexed="12"/>
            <rFont val="Tahoma"/>
            <family val="2"/>
          </rPr>
          <t>potentiel de l'entreprise à dégager la trésorerie</t>
        </r>
        <r>
          <rPr>
            <sz val="9"/>
            <color indexed="12"/>
            <rFont val="Tahoma"/>
            <family val="2"/>
          </rPr>
          <t xml:space="preserve"> nécessaire à assurer : 
* le renouvellement des équipements à travers les amortissements,
* la couverture des pertes probables et des risques auxquels l'entreprise est exposée via les provisions,
* le remboursement du capital des emprunts,
* la couverture de l'augmentation du besoin en fonds de roulement,
* la rémunération des actionnaires (part de résultat distribué),
* financer la croissance de l'outil de production et la croissance extenre (part de résultat conservé),
* améliorer la liquidité de l'entreprise,
et constitue de ce fait le </t>
        </r>
        <r>
          <rPr>
            <b/>
            <u/>
            <sz val="9"/>
            <color indexed="12"/>
            <rFont val="Tahoma"/>
            <family val="2"/>
          </rPr>
          <t>clignotant le plus prédictif</t>
        </r>
        <r>
          <rPr>
            <sz val="9"/>
            <color indexed="12"/>
            <rFont val="Tahoma"/>
            <family val="2"/>
          </rPr>
          <t xml:space="preserve"> d'un risque de défaillance.
Si la capacité d'autofinancement se révèle insuffisante, l'entreprise devra recourir à des fonds extérieurs (augmentation de capital, emprunts, crédits de trésorerie) pour financer ses besoins, qui auront pour effet de réduire sa capacité d'autofinancement future.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BERGARA</author>
    <author>SOKOA</author>
    <author>Joseph BERGARA</author>
    <author xml:space="preserve">SOKOA </author>
  </authors>
  <commentList>
    <comment ref="C9" authorId="0" shapeId="0" xr:uid="{00000000-0006-0000-0900-000001000000}">
      <text>
        <r>
          <rPr>
            <b/>
            <sz val="9"/>
            <color indexed="12"/>
            <rFont val="Tahoma"/>
            <family val="2"/>
          </rPr>
          <t xml:space="preserve">
Pertes de la moitié du capital social</t>
        </r>
        <r>
          <rPr>
            <sz val="8"/>
            <color indexed="12"/>
            <rFont val="Tahoma"/>
            <family val="2"/>
          </rPr>
          <t xml:space="preserve">
</t>
        </r>
        <r>
          <rPr>
            <sz val="9"/>
            <color indexed="12"/>
            <rFont val="Tahoma"/>
            <family val="2"/>
          </rPr>
          <t xml:space="preserve">Si, du fait des pertes constatées, les capitaux propres de la société deviennent inférieurs à la moitié du capital social, une assemblée générale extraordinaire doit être convoquée dans les 4 mois suivant l'assemblée générale ordinaire statuant sur les comptes, à l'effet de décider s'il y a lieu ou non de dissoudre la société.
Si l'assemblée décide la poursuite de l'activité, la loi lui impose de régulariser la situation au plus tard lors de la clôture du deuxième exercice social suivant celui au cours duquel la constatation des pertes est intervenue (réalisation de bénéfices, augmentation de capital, etc.)
</t>
        </r>
        <r>
          <rPr>
            <b/>
            <sz val="9"/>
            <color indexed="12"/>
            <rFont val="Tahoma"/>
            <family val="2"/>
          </rPr>
          <t>A défaut, tout intéressé peut demander en justice la dissolution de la société</t>
        </r>
        <r>
          <rPr>
            <sz val="9"/>
            <color indexed="12"/>
            <rFont val="Tahoma"/>
            <family val="2"/>
          </rPr>
          <t>. Dans tous les cas, le tribunal peut accorder à la société un délai maximal de 6 mois pour régulariser.</t>
        </r>
      </text>
    </comment>
    <comment ref="C14" authorId="0" shapeId="0" xr:uid="{00000000-0006-0000-0900-000002000000}">
      <text>
        <r>
          <rPr>
            <sz val="9"/>
            <color indexed="12"/>
            <rFont val="Tahoma"/>
            <family val="2"/>
          </rPr>
          <t>L'endettement financier comprend :
- les dettes fiancières figurant au passif du bilan y compris les concours bancaires à court terme,
- les effets escomptés non échus,
- l'encours de crédit-bail</t>
        </r>
      </text>
    </comment>
    <comment ref="C15" authorId="0" shapeId="0" xr:uid="{00000000-0006-0000-0900-000003000000}">
      <text>
        <r>
          <rPr>
            <sz val="9"/>
            <color indexed="12"/>
            <rFont val="Tahoma"/>
            <family val="2"/>
          </rPr>
          <t>L'endettement total de l'entreprise comprend
- l'endettement total figurant au passif du bilan,
- les effets escomptés non échus,
- les engagements de crédit-bail</t>
        </r>
      </text>
    </comment>
    <comment ref="C18" authorId="1" shapeId="0" xr:uid="{00000000-0006-0000-0900-000004000000}">
      <text>
        <r>
          <rPr>
            <sz val="9"/>
            <color indexed="12"/>
            <rFont val="Tahoma"/>
            <family val="2"/>
          </rPr>
          <t xml:space="preserve">Ce ratio mesure l'importance des capitaux propres dans les ressources totales de l'entreprise. 
</t>
        </r>
        <r>
          <rPr>
            <b/>
            <sz val="9"/>
            <color indexed="12"/>
            <rFont val="Tahoma"/>
            <family val="2"/>
          </rPr>
          <t>Il doit être au moins égal à 20% en négoce et 25% en industrie</t>
        </r>
      </text>
    </comment>
    <comment ref="C21" authorId="2" shapeId="0" xr:uid="{00000000-0006-0000-0900-000005000000}">
      <text>
        <r>
          <rPr>
            <b/>
            <sz val="9"/>
            <color indexed="12"/>
            <rFont val="Tahoma"/>
            <family val="2"/>
          </rPr>
          <t>Norme : endettement financier  LMT &lt;= 100%  (= 1) des capitaux propres</t>
        </r>
        <r>
          <rPr>
            <sz val="9"/>
            <color indexed="12"/>
            <rFont val="Tahoma"/>
            <family val="2"/>
          </rPr>
          <t xml:space="preserve">
L'endettement maximal de l'entreprise doit être égal au montant de ses capitaux propres. A défaut cela veut dire que les banques et autres organismes financiers contribuent davantage au financement de l'entreprise que ses actionnaires. Autement dit que les prêteurs prennent plus de risque que les actionnaires de l'entreprise.
Si ce ratio est &gt; à 100%, les banquiers considèrent que la capacité d'endettement est saturée : l'entreprise court le risque de se voir refuser tout nouveau crédit.
Ce taux d'endettement financier est parfois exprimé par le ratio : 
Endettement financier/capitaux permanents. Dans ce cas la norme est </t>
        </r>
        <r>
          <rPr>
            <b/>
            <sz val="9"/>
            <color indexed="12"/>
            <rFont val="Tahoma"/>
            <family val="2"/>
          </rPr>
          <t>&lt;= 50%
Rappel : capitaux permanents = capitaux propres + capitaux empruntés (dettes financières LMT)</t>
        </r>
        <r>
          <rPr>
            <b/>
            <sz val="8"/>
            <color indexed="12"/>
            <rFont val="Tahoma"/>
            <family val="2"/>
          </rPr>
          <t xml:space="preserve">
</t>
        </r>
        <r>
          <rPr>
            <sz val="8"/>
            <color indexed="81"/>
            <rFont val="Tahoma"/>
            <family val="2"/>
          </rPr>
          <t xml:space="preserve">
</t>
        </r>
      </text>
    </comment>
    <comment ref="C30" authorId="3" shapeId="0" xr:uid="{00000000-0006-0000-0900-000006000000}">
      <text>
        <r>
          <rPr>
            <sz val="9"/>
            <color indexed="12"/>
            <rFont val="Tahoma"/>
            <family val="2"/>
          </rPr>
          <t xml:space="preserve">
Plus la durée de remboursement sera faible, plus le risque financier de l'effet de levier sera acceptable pour le prêteur.
</t>
        </r>
        <r>
          <rPr>
            <b/>
            <sz val="9"/>
            <color indexed="12"/>
            <rFont val="Tahoma"/>
            <family val="2"/>
          </rPr>
          <t>Norme : &lt; 3 ou 4 ans</t>
        </r>
        <r>
          <rPr>
            <sz val="9"/>
            <color indexed="12"/>
            <rFont val="Tahoma"/>
            <family val="2"/>
          </rPr>
          <t>, alors que la durée effective du prêt peut aller jusqu'à 7 ans.
La différence entre la durée "théorique" et la durée "effective" correspond à une marge de sécurité  indispensable pour faire face d'une part aux aléas économiques et d'autre part au besoin d'autofinancement nécessaire au développement de l'entreprise (renouvellement de l'outil de production, investissements, croissance du BFR) ainsi qu'à la rémunération du capital (dividendes)
L'expérience montre que lorsque l'entreprise n'est pas apte à rembourser son encours d'emprunt en 3 ou 4 ans de capacité d'autofinancement, elle courra le risque de rencontrer des difficultés de remboursement.</t>
        </r>
      </text>
    </comment>
    <comment ref="C33" authorId="2" shapeId="0" xr:uid="{00000000-0006-0000-0900-000007000000}">
      <text>
        <r>
          <rPr>
            <b/>
            <u/>
            <sz val="8"/>
            <color indexed="12"/>
            <rFont val="Tahoma"/>
            <family val="2"/>
          </rPr>
          <t xml:space="preserve">
</t>
        </r>
        <r>
          <rPr>
            <b/>
            <u/>
            <sz val="9"/>
            <color indexed="12"/>
            <rFont val="Tahoma"/>
            <family val="2"/>
          </rPr>
          <t>Primauté de la liquidité</t>
        </r>
        <r>
          <rPr>
            <b/>
            <sz val="9"/>
            <color indexed="12"/>
            <rFont val="Tahoma"/>
            <family val="2"/>
          </rPr>
          <t xml:space="preserve">
</t>
        </r>
        <r>
          <rPr>
            <sz val="9"/>
            <color indexed="12"/>
            <rFont val="Tahoma"/>
            <family val="2"/>
          </rPr>
          <t>L'expérience montre que les entreprises meurent presque toujours d'une crise de liquidité dont la survenance se précipite dès que les partenaires commerciaux et financiers sont informés des difficultés qu'elles ont à se financer.
C'est donc la liquidité de l'entreprise qui est la pierre angulaire de l'édifice et il n'y a pas de meilleur indicateur pour la mesurer que le</t>
        </r>
        <r>
          <rPr>
            <b/>
            <sz val="9"/>
            <color indexed="12"/>
            <rFont val="Tahoma"/>
            <family val="2"/>
          </rPr>
          <t xml:space="preserve"> ratio frais financiers/EBE.</t>
        </r>
        <r>
          <rPr>
            <sz val="9"/>
            <color indexed="12"/>
            <rFont val="Tahoma"/>
            <family val="2"/>
          </rPr>
          <t xml:space="preserve">
</t>
        </r>
        <r>
          <rPr>
            <b/>
            <sz val="8"/>
            <color indexed="12"/>
            <rFont val="Tahoma"/>
            <family val="2"/>
          </rPr>
          <t xml:space="preserve">
</t>
        </r>
        <r>
          <rPr>
            <b/>
            <sz val="9"/>
            <color indexed="12"/>
            <rFont val="Tahoma"/>
            <family val="2"/>
          </rPr>
          <t xml:space="preserve">Norme Banque de France : 
&lt; 30% =&gt; Excellent ; entre 30% et 50%=&gt; Neutre ; &gt; 50% =&gt; Danger
</t>
        </r>
        <r>
          <rPr>
            <sz val="9"/>
            <color indexed="12"/>
            <rFont val="Tahoma"/>
            <family val="2"/>
          </rPr>
          <t>Ce ratio permet d'apprécier la capacité de l'entreprise à payer ses frais financiers à partir de la trésorerie potentielle générée par son exploitation</t>
        </r>
        <r>
          <rPr>
            <b/>
            <sz val="9"/>
            <color indexed="12"/>
            <rFont val="Tahoma"/>
            <family val="2"/>
          </rPr>
          <t xml:space="preserve">
</t>
        </r>
        <r>
          <rPr>
            <sz val="9"/>
            <color indexed="12"/>
            <rFont val="Tahoma"/>
            <family val="2"/>
          </rPr>
          <t>Ce ratio constitue :
- un indicateur de défaillance à l'horizon de 2 ou 3 ans. Les études statistiques réalisées par la centrale des bilans de la Banque de France ont permis en effet de déterminer que ce ratio commençait à se dégrader 2 à 3 ans avant la défaillance de l'entreprise.</t>
        </r>
        <r>
          <rPr>
            <sz val="9"/>
            <color indexed="12"/>
            <rFont val="Times New Roman"/>
            <family val="1"/>
          </rPr>
          <t xml:space="preserve">
- l</t>
        </r>
        <r>
          <rPr>
            <sz val="9"/>
            <color indexed="12"/>
            <rFont val="Tahoma"/>
            <family val="2"/>
          </rPr>
          <t xml:space="preserve">e </t>
        </r>
        <r>
          <rPr>
            <b/>
            <sz val="9"/>
            <color indexed="12"/>
            <rFont val="Tahoma"/>
            <family val="2"/>
          </rPr>
          <t>principal signal d'alarme</t>
        </r>
        <r>
          <rPr>
            <sz val="9"/>
            <color indexed="12"/>
            <rFont val="Tahoma"/>
            <family val="2"/>
          </rPr>
          <t xml:space="preserve"> pour les prêteurs de capitaux.
</t>
        </r>
        <r>
          <rPr>
            <b/>
            <sz val="9"/>
            <color indexed="12"/>
            <rFont val="Tahoma"/>
            <family val="2"/>
          </rPr>
          <t xml:space="preserve">Ce ratio tire sa pertinence de son caractère composite :
</t>
        </r>
        <r>
          <rPr>
            <sz val="9"/>
            <color indexed="12"/>
            <rFont val="Tahoma"/>
            <family val="2"/>
          </rPr>
          <t xml:space="preserve">- il est le reflet de l'évolution de l'exploitation, mesurée à travers l'EBE, principale source de trésorerie pour l'entreprise,
- il mesure à travers les frais financiers la relation entre la situation de trésorerie et le coût du crédit : plus l'entreprise est endettée, plus elle doit payer à ses banquiers une prime de risque élevée,
- il est enfin directement fonction de l'évolution des taux d'intérêt.
</t>
        </r>
        <r>
          <rPr>
            <b/>
            <u/>
            <sz val="9"/>
            <color indexed="12"/>
            <rFont val="Tahoma"/>
            <family val="2"/>
          </rPr>
          <t>Rappel</t>
        </r>
        <r>
          <rPr>
            <sz val="9"/>
            <color indexed="12"/>
            <rFont val="Tahoma"/>
            <family val="2"/>
          </rPr>
          <t xml:space="preserve"> : l'appréciation de la trésorerie réelle apportée à l'entreprise par l'EBE peut être faussée par une augmentation de la production stockée. Se reporter à l'excédent de trésorerie d'exploitation.</t>
        </r>
        <r>
          <rPr>
            <sz val="8"/>
            <color indexed="12"/>
            <rFont val="Tahoma"/>
            <family val="2"/>
          </rPr>
          <t xml:space="preserve">
</t>
        </r>
      </text>
    </comment>
    <comment ref="C49" authorId="0" shapeId="0" xr:uid="{00000000-0006-0000-0900-000008000000}">
      <text>
        <r>
          <rPr>
            <b/>
            <sz val="8"/>
            <color indexed="12"/>
            <rFont val="Tahoma"/>
            <family val="2"/>
          </rPr>
          <t xml:space="preserve">
N</t>
        </r>
        <r>
          <rPr>
            <b/>
            <sz val="9"/>
            <color indexed="12"/>
            <rFont val="Tahoma"/>
            <family val="2"/>
          </rPr>
          <t>orme &gt;50%</t>
        </r>
        <r>
          <rPr>
            <sz val="9"/>
            <color indexed="12"/>
            <rFont val="Tahoma"/>
            <family val="2"/>
          </rPr>
          <t xml:space="preserve">
La dégradation de ce ratio indique qu'une part croissante du besoin en fonds de roulement n'est plus financé par des ressources stables (FR). Lentreprise devient alors vulnérable car plus dépendante des crédits de trésorerie que la banque peut demander de rembourser à tout moment, </t>
        </r>
        <r>
          <rPr>
            <u/>
            <sz val="9"/>
            <color indexed="12"/>
            <rFont val="Tahoma"/>
            <family val="2"/>
          </rPr>
          <t xml:space="preserve">sous respect d'un préavis.
</t>
        </r>
        <r>
          <rPr>
            <sz val="9"/>
            <color indexed="12"/>
            <rFont val="Tahoma"/>
            <family val="2"/>
          </rPr>
          <t xml:space="preserve">La dégradation de ce ratio peut être du à une crise de croissance ou à une mauvaise gestion des actifs d'exploitation :
- gonflement injustifié des stocks. Cela est non seulement coûteux en terme de frais financiers et d'ulilisation de surface de stockage. Il est également source de pertes pour stocks périmés, obsolètes ou démodés
- Allongement du délai d'encaissement des créances clients pour cause de manque de rigueur dans la négociation des délais de paiement et dans le suivi des recouvrements des créances. 
</t>
        </r>
        <r>
          <rPr>
            <b/>
            <sz val="9"/>
            <color indexed="12"/>
            <rFont val="Tahoma"/>
            <family val="2"/>
          </rPr>
          <t>Attention à l'effet ciseaux</t>
        </r>
        <r>
          <rPr>
            <sz val="9"/>
            <color indexed="12"/>
            <rFont val="Tahoma"/>
            <family val="2"/>
          </rPr>
          <t xml:space="preserve">
La situation de l'entreprise devient fragile lorsque les crédits bancaires à court terme financent la moitié ou plus de ses besoins d'exploitation.
Ressources aléatoires, les concours bancaires à court terme peuvent rapidement devenir exigibles. C'est le cas du découvert non autorisé.
Plus le solde de trésorerie nécessaire est important, plus grand est le risque que l'entreprise n'obtienne pas le renouvellement de ses concours bancaires et ainsi se trouve en rupture de liquidité, entraînant la cessation de paiements et le dépôt de bilan. Car le risque majeur pour la banque est de ne pas pouvoir "se désengager", de se retrouver seul à "porter" l'entreprise en mal de trésorerie et de se voir attribuer en prime par les tribunaux la responsabilité de la défaillance. Ce soutien devenant isupportable, la banque décidera alors d'arrêter son appui.</t>
        </r>
      </text>
    </comment>
    <comment ref="C53" authorId="2" shapeId="0" xr:uid="{00000000-0006-0000-0900-000009000000}">
      <text>
        <r>
          <rPr>
            <sz val="8"/>
            <color indexed="12"/>
            <rFont val="Tahoma"/>
            <family val="2"/>
          </rPr>
          <t xml:space="preserve">un Flux de Trésorerie d'Exploitation négatif est un signe de forte vulnérabilité et de difficultés de l'entreprise. L'analyse de sa formation permet de situer les actions que doit engager l'entreprise : réduction du BFRE ou/et redressement des performances économiques.
</t>
        </r>
        <r>
          <rPr>
            <b/>
            <sz val="9"/>
            <color indexed="12"/>
            <rFont val="Tahoma"/>
            <family val="2"/>
          </rPr>
          <t>1er équilibre</t>
        </r>
        <r>
          <rPr>
            <sz val="9"/>
            <color indexed="12"/>
            <rFont val="Tahoma"/>
            <family val="2"/>
          </rPr>
          <t xml:space="preserve"> </t>
        </r>
        <r>
          <rPr>
            <b/>
            <sz val="9"/>
            <color indexed="12"/>
            <rFont val="Tahoma"/>
            <family val="2"/>
          </rPr>
          <t>= la capacité d'autofinancement doit au moins couvrir l'augmentation du besoin en fonds de roulement.</t>
        </r>
        <r>
          <rPr>
            <sz val="9"/>
            <color indexed="12"/>
            <rFont val="Tahoma"/>
            <family val="2"/>
          </rPr>
          <t xml:space="preserve">
- L'exploitation courante fait naître un besoin de financement permanent : le besoin en fonds de roulement. La croissance du chiffre d'affaires augmente ce besoin de fonds.
- L'exploitation courante secrète une ressource permanente : l'autofinancement. L'équilibre d'exploitation suppose que l'autofinancement soit suffisant pour financer au moins l'augmentation du besoin en fonds de roulement.
</t>
        </r>
        <r>
          <rPr>
            <sz val="9"/>
            <color indexed="81"/>
            <rFont val="Tahoma"/>
            <family val="2"/>
          </rPr>
          <t xml:space="preserve">
</t>
        </r>
        <r>
          <rPr>
            <b/>
            <sz val="9"/>
            <color indexed="12"/>
            <rFont val="Tahoma"/>
            <family val="2"/>
          </rPr>
          <t xml:space="preserve">2ème équilibre = le besoin en fonds de roulement ne doit pas augmenter plus vite ou diminuer moins vite que le chiffre d'affaires </t>
        </r>
        <r>
          <rPr>
            <sz val="9"/>
            <color indexed="12"/>
            <rFont val="Tahoma"/>
            <family val="2"/>
          </rPr>
          <t xml:space="preserve">
Le ratio BFRE/jours de chiffre d'affaires permet de mesurer "l'investissement" financier nécessaire au fonctionnement de l'exploitation et son évolution ainsi que d'apprécier de façon synthétique la qualité de la gestion des actifs d'exploitation en se rapportant aux normes du secteur d'activité.
Avant d'octroyer une ligne de crédit à court terme, la banque vérifiera que ce ratio n'est pas anormalement élevé à celui d'autres entreprises du même secteur d'activité. Autrement dit, la banque s'assurera qu'on ne lui demande pas de prendre un risque exagéré en finançant des actifs d'exploitation qui sont mal gérés.
Il conviendra de  rechercher les causes de la dégradation ou du poids excessif de BFRE en analysant les élements constitutifs de ce besoin lié au cycle d'exploitation, à savoir :
- les délais d'écoulement des stocks,
- les délais de paiement des clients,
- les délais de réglement aux fournisseurs
(voir ci-dessous)</t>
        </r>
      </text>
    </comment>
    <comment ref="C56" authorId="0" shapeId="0" xr:uid="{00000000-0006-0000-0900-00000A000000}">
      <text>
        <r>
          <rPr>
            <b/>
            <sz val="8"/>
            <color indexed="12"/>
            <rFont val="Tahoma"/>
            <family val="2"/>
          </rPr>
          <t xml:space="preserve">
</t>
        </r>
        <r>
          <rPr>
            <b/>
            <sz val="9"/>
            <color indexed="12"/>
            <rFont val="Tahoma"/>
            <family val="2"/>
          </rPr>
          <t>Norme &lt;60%</t>
        </r>
        <r>
          <rPr>
            <sz val="9"/>
            <color indexed="12"/>
            <rFont val="Tahoma"/>
            <family val="2"/>
          </rPr>
          <t xml:space="preserve">
Les crédits de trésorerie peuvent être réduits ou supprimés à tout moment par la banque, </t>
        </r>
        <r>
          <rPr>
            <u/>
            <sz val="9"/>
            <color indexed="12"/>
            <rFont val="Tahoma"/>
            <family val="2"/>
          </rPr>
          <t>sous réserve d'un préavis.</t>
        </r>
        <r>
          <rPr>
            <b/>
            <sz val="9"/>
            <color indexed="12"/>
            <rFont val="Tahoma"/>
            <family val="2"/>
          </rPr>
          <t xml:space="preserve">
</t>
        </r>
        <r>
          <rPr>
            <sz val="9"/>
            <color indexed="12"/>
            <rFont val="Tahoma"/>
            <family val="2"/>
          </rPr>
          <t xml:space="preserve">L'entreprise ne peut rembourser les crédits de trésorerie que grâce aux encaissements provenant de ses clients. Il est donc logique que les banques déterminent leur plafond de crédit à court terme par rapport au poste client.
Ce ratio n'est évidemment pas significatif lorsque la trésorerie nette de l'entreprise est en excédent (trésorerie nette positive). </t>
        </r>
        <r>
          <rPr>
            <sz val="8"/>
            <color indexed="81"/>
            <rFont val="Tahoma"/>
            <family val="2"/>
          </rPr>
          <t xml:space="preserve">
</t>
        </r>
      </text>
    </comment>
    <comment ref="T59" authorId="0" shapeId="0" xr:uid="{00000000-0006-0000-0900-00000B000000}">
      <text>
        <r>
          <rPr>
            <b/>
            <sz val="8"/>
            <color indexed="12"/>
            <rFont val="Tahoma"/>
            <family val="2"/>
          </rPr>
          <t>Equilibre</t>
        </r>
        <r>
          <rPr>
            <sz val="8"/>
            <color indexed="12"/>
            <rFont val="Tahoma"/>
            <family val="2"/>
          </rPr>
          <t xml:space="preserve"> </t>
        </r>
        <r>
          <rPr>
            <b/>
            <sz val="8"/>
            <color indexed="12"/>
            <rFont val="Tahoma"/>
            <family val="2"/>
          </rPr>
          <t xml:space="preserve">= le besoin en fonds de roulement ne doit pas augmenter plus vite ou diminuer moins vite que le chiffre d'affaires </t>
        </r>
        <r>
          <rPr>
            <sz val="8"/>
            <color indexed="12"/>
            <rFont val="Tahoma"/>
            <family val="2"/>
          </rPr>
          <t xml:space="preserve">
</t>
        </r>
        <r>
          <rPr>
            <sz val="8"/>
            <color indexed="81"/>
            <rFont val="Tahoma"/>
            <family val="2"/>
          </rPr>
          <t xml:space="preserve">
</t>
        </r>
        <r>
          <rPr>
            <sz val="8"/>
            <color indexed="12"/>
            <rFont val="Tahoma"/>
            <family val="2"/>
          </rPr>
          <t xml:space="preserve">Le ratio BFRE/jours de chiffre d'affaires permet de mesurer "l'investissement" financier nécessaire au fonctionnement de l'exploitation et son évolution ainsi que d'apprécier de façon synthétique la qualité de la gestion des actifs d'exploitation en se rapportant aux normes du secteur d'activité.
Avant d'octroyer une ligne de crédit à court terme, la banque vérifiera que ce ratio n'est pas anormalement élevé à celui d'autres entreprises du même secteur d'activité. Autrement dit, la banque s'assurera qu'on ne lui demande pas de prendre un risque exagéré en finançant des actifs d'exploitation qui sont mal gérés.
Il conviendra de  rechercher les causes de la dégradation ou du poids excessif de BFRE en analysant les élements constitutifs de ce besoin lié au cycle d'exploitation, à savoir :
- les délais d'écoulement des stocks,
- les délais de paiement des clients,
- les délais de réglement aux fournisseurs
</t>
        </r>
        <r>
          <rPr>
            <sz val="7"/>
            <color indexed="12"/>
            <rFont val="Tahoma"/>
            <family val="2"/>
          </rPr>
          <t>(voir ci-dessous)</t>
        </r>
      </text>
    </comment>
    <comment ref="C64" authorId="0" shapeId="0" xr:uid="{00000000-0006-0000-0900-00000C000000}">
      <text>
        <r>
          <rPr>
            <sz val="8"/>
            <color indexed="12"/>
            <rFont val="Tahoma"/>
            <family val="2"/>
          </rPr>
          <t xml:space="preserve">
</t>
        </r>
        <r>
          <rPr>
            <sz val="9"/>
            <color indexed="12"/>
            <rFont val="Tahoma"/>
            <family val="2"/>
          </rPr>
          <t xml:space="preserve">Lorsque l'entreprise a une activité saisonnière, le ratio peut ête faussé et ne pas traduire le délai réel de paiement des clients. 
En effet, en fonction de l'activité sur les derniers mois de l'année, le poste client à la date de clôture peut être plus ou moins important que la moyenne de l'année. Le phénomène de saisonnalité étant permanent d'une année sur l'autre, il sera cependant toujours possible de suivre l'évolution du délai de paiement des clients d'un exercice comptable à l'autre.
Un allongement du délai d'encaissement des créances client rend l'entreprise plus vulnérable au risque de défaillance de ses clients et accroît sa dépendance vis-à-vis des crédits bancaires à court terme.
La non maîtrise des délais d'encaissement des créances client est cause de nombreuses défaillances d'entreprises.
L’observation de l’évolution de ce ratio et sa comparaison avec les normes de la profession peut être révélatrice des difficultés que l’entreprise rencontre sur son marché, de la rigueur avec laquelle elle négocie les conditions de paiement avec ses clients et la qualité de son organisation interne.
Un délai trop élevé peut être éventuellement le signe de créances irrécouvrables non provisionnées. Ce qui fausse les résultats de l’entreprise et entraîne un risque de non-valeur d’une partie de ce poste. Pour dissimuler une baisse de rentabilité, il peut être tentant de laisser dans les comptes des créances douteuses et des stocks obsolètes  sans provisions pour dépréciation.
Il faut avoirs en mémoire que les créances clients sont la </t>
        </r>
        <r>
          <rPr>
            <b/>
            <sz val="9"/>
            <color indexed="12"/>
            <rFont val="Tahoma"/>
            <family val="2"/>
          </rPr>
          <t>principale source de liquidités.</t>
        </r>
        <r>
          <rPr>
            <sz val="9"/>
            <color indexed="12"/>
            <rFont val="Tahoma"/>
            <family val="2"/>
          </rPr>
          <t xml:space="preserve">
</t>
        </r>
      </text>
    </comment>
    <comment ref="C67" authorId="0" shapeId="0" xr:uid="{00000000-0006-0000-0900-00000D000000}">
      <text>
        <r>
          <rPr>
            <sz val="8"/>
            <color indexed="12"/>
            <rFont val="Tahoma"/>
            <family val="2"/>
          </rPr>
          <t xml:space="preserve">
</t>
        </r>
        <r>
          <rPr>
            <sz val="9"/>
            <color indexed="12"/>
            <rFont val="Tahoma"/>
            <family val="2"/>
          </rPr>
          <t xml:space="preserve">Les stocks contituent une immobilisatiion d'argent, </t>
        </r>
        <r>
          <rPr>
            <b/>
            <u/>
            <sz val="9"/>
            <color indexed="12"/>
            <rFont val="Tahoma"/>
            <family val="2"/>
          </rPr>
          <t>donc autant de trésorerie indisponible</t>
        </r>
        <r>
          <rPr>
            <b/>
            <sz val="9"/>
            <color indexed="12"/>
            <rFont val="Tahoma"/>
            <family val="2"/>
          </rPr>
          <t xml:space="preserve">.
</t>
        </r>
        <r>
          <rPr>
            <sz val="9"/>
            <color indexed="12"/>
            <rFont val="Tahoma"/>
            <family val="2"/>
          </rPr>
          <t xml:space="preserve">
Les délais d'écoulement des stocks sont particulièrement importants dans les entreprises de distribution et de négoce dans lesquelles une gestion efficace des stocks constitue une condition de réussite.
Un allongement du délai d'écoulement des stocks est non seulement coûteux en terme de frais financiers, de mobilisation de fonds et d'utilisation de surface de stockage. Il est également source de pertes pour stocks périmés, obsolètes ou démodés.
Un délai trop élevé peut être éventuellement le signe de stocks obsolètes non provisionnées ou d’une surévaluation. Ce qui fausse marges et résultats de l’entreprise et entraîne un risque de non-valeur d’une partie de ce poste. Les stocks peuvent être une source de présentation "orientée" des comptes d'une entreprise.
Maintenir des stocks importants est également générateur de coûts (location, énergie, assurance, gestion ...). 
</t>
        </r>
      </text>
    </comment>
    <comment ref="C72" authorId="3" shapeId="0" xr:uid="{00000000-0006-0000-0900-00000E000000}">
      <text>
        <r>
          <rPr>
            <sz val="9"/>
            <color indexed="12"/>
            <rFont val="Tahoma"/>
            <family val="2"/>
          </rPr>
          <t xml:space="preserve">
Ce ratio doit avoisiner le délai standard de paiement accordé par les fournisseurs. Si le délai réel est supérieur, c'est le signe éventuel d'un excès d'utilisation du crédit fournisseur et un signe précurseur de problèmes de trésorerie.
</t>
        </r>
        <r>
          <rPr>
            <sz val="9"/>
            <color indexed="81"/>
            <rFont val="Tahoma"/>
            <family val="2"/>
          </rPr>
          <t xml:space="preserve">
</t>
        </r>
        <r>
          <rPr>
            <sz val="9"/>
            <color indexed="12"/>
            <rFont val="Tahoma"/>
            <family val="2"/>
          </rPr>
          <t>Un allongement du délai de paiement aux fournisseurs, combiné à une dégradation de la position de la trésorerie nette constitue un clignotant de risque important. L'entreprise essaie d'améliorer artificiellement sa trésorerie en payant ses fournisseurs en retard.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C106" authorId="0" shapeId="0" xr:uid="{00000000-0006-0000-0A00-000001000000}">
      <text>
        <r>
          <rPr>
            <sz val="9"/>
            <color indexed="12"/>
            <rFont val="Tahoma"/>
            <family val="2"/>
          </rPr>
          <t>Retraitement du crédit-bail
Le crédit-bail est une technique de financement des investissements mobiliers et immobiliers de l'entreprise
Un entreprise peut donc utiliser le crédit-bail comme moyen de financer des biens qui, quoique ne figurant pas juridiquement au sein de son patrimoine, peuvent constituer un élément essentiel de son actif
Il est appliqué un</t>
        </r>
        <r>
          <rPr>
            <b/>
            <sz val="9"/>
            <color indexed="81"/>
            <rFont val="Tahoma"/>
            <family val="2"/>
          </rPr>
          <t xml:space="preserve"> </t>
        </r>
        <r>
          <rPr>
            <sz val="9"/>
            <color indexed="12"/>
            <rFont val="Tahoma"/>
            <family val="2"/>
          </rPr>
          <t xml:space="preserve">coefficient au montant de l'annuité pour obtenir les dotations aux amortissements, le reste correspondant aux intérêts financiers.
- Lorsque les informations sont disponibles dans l'annexe, le coefficient est calculé de la manière suivantes :
(valeur d'acquisition - valeur résiduelle)/Annuités à payer et payées
- Lorsque l'information détaillée n'est pas disponible, on retient :
  - pour les loyers de crédit-bail mobilier 75% de dotations aux amortissements et 25% de charges financières ;
  - pour les loyers de crédit-bail immobilier 67% de dotations aux amortissements et 33% de charges financières.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inf</author>
  </authors>
  <commentList>
    <comment ref="D61" authorId="0" shapeId="0" xr:uid="{00000000-0006-0000-0B00-000001000000}">
      <text>
        <r>
          <rPr>
            <b/>
            <sz val="8"/>
            <color indexed="12"/>
            <rFont val="Tahoma"/>
            <family val="2"/>
          </rPr>
          <t xml:space="preserve">Symptomes qui permettent de présumer de l'existence d'un contrat d'affacturage :
- </t>
        </r>
        <r>
          <rPr>
            <sz val="8"/>
            <color indexed="12"/>
            <rFont val="Tahoma"/>
            <family val="2"/>
          </rPr>
          <t>d'importants frais financiers,
- avec un poste disponibilités (CF) important à l'actif, sans découvert (EH) et sans crédits à court terme (VG + YS), ni produits financiers (GO + GL),
- une usance clients (ratio de délai moyen de paiement) plus courte que la normale ou qui se réduit,
- des "autres achats et charges externes" (FW) importantes ou en forte augmentation (FW comprend les commissions d'affacturage).</t>
        </r>
      </text>
    </comment>
  </commentList>
</comments>
</file>

<file path=xl/sharedStrings.xml><?xml version="1.0" encoding="utf-8"?>
<sst xmlns="http://schemas.openxmlformats.org/spreadsheetml/2006/main" count="2043" uniqueCount="1367">
  <si>
    <t>Ensemble, contribuons au développement économique du Pays Basque</t>
  </si>
  <si>
    <t>%</t>
  </si>
  <si>
    <t>Description sommaire</t>
  </si>
  <si>
    <t>Dépôt de garantie</t>
  </si>
  <si>
    <t>Besoin en fonds de roulement</t>
  </si>
  <si>
    <t>Fonds de roulement</t>
  </si>
  <si>
    <t>Trésorerie nette</t>
  </si>
  <si>
    <t xml:space="preserve">Nom </t>
  </si>
  <si>
    <t>Prénom</t>
  </si>
  <si>
    <t>Date naissance</t>
  </si>
  <si>
    <t>Lieu de naissance</t>
  </si>
  <si>
    <t>Situation de famille</t>
  </si>
  <si>
    <t>célibataire</t>
  </si>
  <si>
    <t>Régime matrimonial</t>
  </si>
  <si>
    <t>Communauté légale</t>
  </si>
  <si>
    <t>Séparation de biens</t>
  </si>
  <si>
    <t>Sans contrat</t>
  </si>
  <si>
    <t>Diplôme</t>
  </si>
  <si>
    <t>Qualification</t>
  </si>
  <si>
    <t>CAP-BEP</t>
  </si>
  <si>
    <t>Ingénieur</t>
  </si>
  <si>
    <t>Ecole de commerce</t>
  </si>
  <si>
    <t>Autre</t>
  </si>
  <si>
    <t>Ouvrier non qualifié</t>
  </si>
  <si>
    <t>Intitulé du dossier :</t>
  </si>
  <si>
    <t>Fonction actuelle</t>
  </si>
  <si>
    <t>Particuliers</t>
  </si>
  <si>
    <t>Type de clientèle</t>
  </si>
  <si>
    <t>Administrations</t>
  </si>
  <si>
    <t>Grossistes</t>
  </si>
  <si>
    <t>Détaillants</t>
  </si>
  <si>
    <t>Collectivités locales</t>
  </si>
  <si>
    <t>Centrales d'achats</t>
  </si>
  <si>
    <t>Activité du conjoint</t>
  </si>
  <si>
    <t>Département</t>
  </si>
  <si>
    <t>Résultat net</t>
  </si>
  <si>
    <t>Chiffre d'affaires</t>
  </si>
  <si>
    <t>Valeur ajoutée</t>
  </si>
  <si>
    <t>Résultat d'exploitation</t>
  </si>
  <si>
    <t>Capacité d'autofinancement</t>
  </si>
  <si>
    <t>Droit au bail, fonds de commerce</t>
  </si>
  <si>
    <t>Franchise, licence</t>
  </si>
  <si>
    <t>Résultat courant avant impôts</t>
  </si>
  <si>
    <t>Excédent brut d'exploitation</t>
  </si>
  <si>
    <t>Subventions d'exploitation</t>
  </si>
  <si>
    <t>Impôts et taxes</t>
  </si>
  <si>
    <t>Charges sociales</t>
  </si>
  <si>
    <t>Production immobilisée</t>
  </si>
  <si>
    <t>Rubriques</t>
  </si>
  <si>
    <t>Montant</t>
  </si>
  <si>
    <t>Vente de marchandises</t>
  </si>
  <si>
    <t>Production  vendue de biens</t>
  </si>
  <si>
    <t>Production vendue de services</t>
  </si>
  <si>
    <t>Production stockée ou déstockée</t>
  </si>
  <si>
    <t>Achats de marchandises</t>
  </si>
  <si>
    <t>Différence positive de change</t>
  </si>
  <si>
    <t>Différence négative de change</t>
  </si>
  <si>
    <t>Autres achats et charges externes</t>
  </si>
  <si>
    <t>Personnel extérieur à l'entreprise</t>
  </si>
  <si>
    <t>Salaires et traitements</t>
  </si>
  <si>
    <t xml:space="preserve">Dotation aux amortissements </t>
  </si>
  <si>
    <t>Part de crédit-bail mobilier retraitée</t>
  </si>
  <si>
    <t>Dotation aux provisions d'exploitation</t>
  </si>
  <si>
    <t>Transferts de charges</t>
  </si>
  <si>
    <t>Autres produits</t>
  </si>
  <si>
    <t>Autres charges</t>
  </si>
  <si>
    <t>Produits financiers de participation</t>
  </si>
  <si>
    <t>Autres intérêts et assimilés</t>
  </si>
  <si>
    <t>Dotation aux provisions financières</t>
  </si>
  <si>
    <t>Reprise aux provisions financières</t>
  </si>
  <si>
    <t>Intérêts et charges assimilées</t>
  </si>
  <si>
    <t>Part de crédit-bail retraitée</t>
  </si>
  <si>
    <t>Reprise sur provisions exceptionnelles</t>
  </si>
  <si>
    <t>Dotation aux provisions exceptionnelles</t>
  </si>
  <si>
    <t>Participation des salariés aux résultats</t>
  </si>
  <si>
    <t>Impôts sur les bénéfices</t>
  </si>
  <si>
    <t>Années</t>
  </si>
  <si>
    <t>Durée</t>
  </si>
  <si>
    <t>Cerfa</t>
  </si>
  <si>
    <t>2058-C</t>
  </si>
  <si>
    <t xml:space="preserve">Capitaux propres </t>
  </si>
  <si>
    <t>DL</t>
  </si>
  <si>
    <t>Capital souscrit non appelé</t>
  </si>
  <si>
    <t>AA</t>
  </si>
  <si>
    <t>Autres fonds propres</t>
  </si>
  <si>
    <t>DO</t>
  </si>
  <si>
    <t>Provisions pour risques et charges</t>
  </si>
  <si>
    <t>DR</t>
  </si>
  <si>
    <t>Ecart  de conversion passif</t>
  </si>
  <si>
    <t>ED</t>
  </si>
  <si>
    <t>Ecart  de conversion actif</t>
  </si>
  <si>
    <t>CN</t>
  </si>
  <si>
    <t>Frais d'établissement</t>
  </si>
  <si>
    <t>CM</t>
  </si>
  <si>
    <t xml:space="preserve">Ressources propres  </t>
  </si>
  <si>
    <t>Emprunts obligataires convertibles</t>
  </si>
  <si>
    <t>DS</t>
  </si>
  <si>
    <t>Autres emprunts obligataires</t>
  </si>
  <si>
    <t>DT</t>
  </si>
  <si>
    <t xml:space="preserve">Emprunts et dettes bancaires </t>
  </si>
  <si>
    <t>DU</t>
  </si>
  <si>
    <t>Emprunts et dettes financières divers</t>
  </si>
  <si>
    <t>DV</t>
  </si>
  <si>
    <t>Concours bancaires courants</t>
  </si>
  <si>
    <t>EH</t>
  </si>
  <si>
    <t xml:space="preserve">Ressources d'emprunt  </t>
  </si>
  <si>
    <t xml:space="preserve">Capitaux permanents  </t>
  </si>
  <si>
    <t>Actif immobilisé net</t>
  </si>
  <si>
    <t xml:space="preserve">Fonds de roulement net </t>
  </si>
  <si>
    <t>Matières premières, approvisionnements</t>
  </si>
  <si>
    <t>BL</t>
  </si>
  <si>
    <t>BM</t>
  </si>
  <si>
    <t>Encours de production de biens</t>
  </si>
  <si>
    <t>BN</t>
  </si>
  <si>
    <t>BO</t>
  </si>
  <si>
    <t>Encours de production de services</t>
  </si>
  <si>
    <t>BP</t>
  </si>
  <si>
    <t>BQ</t>
  </si>
  <si>
    <t>Produits intermédiaires et finis</t>
  </si>
  <si>
    <t>BR</t>
  </si>
  <si>
    <t>BS</t>
  </si>
  <si>
    <t>Marchandises</t>
  </si>
  <si>
    <t>BT</t>
  </si>
  <si>
    <t>BU</t>
  </si>
  <si>
    <t>clients et compte rattachés</t>
  </si>
  <si>
    <t>BX</t>
  </si>
  <si>
    <t>BY</t>
  </si>
  <si>
    <t>DW</t>
  </si>
  <si>
    <t>Effets escomptés non échus</t>
  </si>
  <si>
    <t>YS</t>
  </si>
  <si>
    <t>Encours factor</t>
  </si>
  <si>
    <t>Autres créances</t>
  </si>
  <si>
    <t>Charges constatées d'avance</t>
  </si>
  <si>
    <t>CH-CI</t>
  </si>
  <si>
    <t>Fournisseurs et comptes rattachés</t>
  </si>
  <si>
    <t>DX</t>
  </si>
  <si>
    <t>BV-BW</t>
  </si>
  <si>
    <t>Dettes fiscales et sociales</t>
  </si>
  <si>
    <t>DY</t>
  </si>
  <si>
    <t>Produits constatés d'avance</t>
  </si>
  <si>
    <t>EB</t>
  </si>
  <si>
    <t xml:space="preserve">Besoin en fonds de roulement  d'exploitation  </t>
  </si>
  <si>
    <t>Capital souscrit et appelé, non versé</t>
  </si>
  <si>
    <t>CB-CC</t>
  </si>
  <si>
    <t>Dettes sur immobilisations</t>
  </si>
  <si>
    <t>DZ</t>
  </si>
  <si>
    <t>Autres dettes</t>
  </si>
  <si>
    <t>EA</t>
  </si>
  <si>
    <t xml:space="preserve">Excédent ou besoin de trésorerie (I)  </t>
  </si>
  <si>
    <t xml:space="preserve">Total bilan  </t>
  </si>
  <si>
    <t>Valeurs mobilières de placement</t>
  </si>
  <si>
    <t>CD-CE</t>
  </si>
  <si>
    <t>Disponibilités</t>
  </si>
  <si>
    <t>CF-CG</t>
  </si>
  <si>
    <t>TVA collectée</t>
  </si>
  <si>
    <t>YY</t>
  </si>
  <si>
    <t>TVA déductible</t>
  </si>
  <si>
    <t>YZ</t>
  </si>
  <si>
    <t>Effectif moyen salarié</t>
  </si>
  <si>
    <t>Coût annuel moyen par intérimaire</t>
  </si>
  <si>
    <t>Effectif moyen personnel extérieur</t>
  </si>
  <si>
    <t xml:space="preserve">Effectif moyen total  </t>
  </si>
  <si>
    <t>Marge commerciale</t>
  </si>
  <si>
    <t>Durée en mois</t>
  </si>
  <si>
    <t>Contrôle cohérence/trésorerie (I - II)</t>
  </si>
  <si>
    <t>Capitaux propres</t>
  </si>
  <si>
    <t>DA</t>
  </si>
  <si>
    <t>Il est impératif de préciser la durée de chaque exercice !</t>
  </si>
  <si>
    <t>Production de l'exercice</t>
  </si>
  <si>
    <t>Total charges de personnel</t>
  </si>
  <si>
    <t>Entreprise individuelle</t>
  </si>
  <si>
    <t>SARL</t>
  </si>
  <si>
    <t>EURL</t>
  </si>
  <si>
    <t>Bureaux :</t>
  </si>
  <si>
    <t>Forme juridique :</t>
  </si>
  <si>
    <t>Adresse :</t>
  </si>
  <si>
    <t>€</t>
  </si>
  <si>
    <t>Immobilisations</t>
  </si>
  <si>
    <t>Stocks</t>
  </si>
  <si>
    <t>Capitaux permanents</t>
  </si>
  <si>
    <t>Fournisseurs</t>
  </si>
  <si>
    <t>Clients</t>
  </si>
  <si>
    <t xml:space="preserve">Surface immobilière : </t>
  </si>
  <si>
    <t xml:space="preserve">N° Siret :  </t>
  </si>
  <si>
    <t>SA</t>
  </si>
  <si>
    <t>SAS</t>
  </si>
  <si>
    <t>SASU</t>
  </si>
  <si>
    <t>Nombre de personnes à charge</t>
  </si>
  <si>
    <t>Antériorité dans la fonction</t>
  </si>
  <si>
    <t>Variation de stock de marchandises</t>
  </si>
  <si>
    <t>Reprise sur provisions d'exploitation</t>
  </si>
  <si>
    <t>Produits des autres valeurs et créances</t>
  </si>
  <si>
    <t>Délai moyen de paiement des clients</t>
  </si>
  <si>
    <t>Concubin(e)</t>
  </si>
  <si>
    <t>divorcé(e)</t>
  </si>
  <si>
    <t>marié(e)</t>
  </si>
  <si>
    <t>Rachat du fonds de commerce</t>
  </si>
  <si>
    <t>Total</t>
  </si>
  <si>
    <t xml:space="preserve">Valorisation de l'entreprise </t>
  </si>
  <si>
    <t>Location-gérance</t>
  </si>
  <si>
    <t>Terrains :</t>
  </si>
  <si>
    <t>voir détail</t>
  </si>
  <si>
    <t>Herrikoa</t>
  </si>
  <si>
    <t>Obtenu ?</t>
  </si>
  <si>
    <t>Emprunts</t>
  </si>
  <si>
    <t>identité du repreneur</t>
  </si>
  <si>
    <t>L e   r e p r e n e u r   e s t   u n e   p e r s o n n e   p h y s i q u e   :</t>
  </si>
  <si>
    <t>L e   r e p r e n e u r   e s t   u n e   e n t r e p r i s e   :</t>
  </si>
  <si>
    <t>Nombre</t>
  </si>
  <si>
    <t>% du CA</t>
  </si>
  <si>
    <t>Avances remboursables</t>
  </si>
  <si>
    <t>Certaines rubriques peuvent donc éventuellement ne pas concerner le projet à financer. Dans ce cas, il n'y aura pas lieu de les renseigner.</t>
  </si>
  <si>
    <t>Ce dossier a été conçu pour le financement de différents types de projets : développement, restructuration financière ou transmission d'une entreprise.</t>
  </si>
  <si>
    <t>SNC</t>
  </si>
  <si>
    <t>pacsé(e)</t>
  </si>
  <si>
    <t>veuf (ve)</t>
  </si>
  <si>
    <t>Votre dossier concerne :</t>
  </si>
  <si>
    <t>un projet de développement</t>
  </si>
  <si>
    <t>un projet de restructuration financière</t>
  </si>
  <si>
    <t>un projet de rachat ou de reprise d'entreprise</t>
  </si>
  <si>
    <t>Cadre commercial</t>
  </si>
  <si>
    <t>Cadre technique</t>
  </si>
  <si>
    <t>Cadre de gestion</t>
  </si>
  <si>
    <t>Etudes primaires</t>
  </si>
  <si>
    <t>BAC</t>
  </si>
  <si>
    <t>DEUG</t>
  </si>
  <si>
    <t>BTS-DUT</t>
  </si>
  <si>
    <t>Ecole supérieure de commerce</t>
  </si>
  <si>
    <t>Ouvrier qualifié</t>
  </si>
  <si>
    <t>Agent de maîtrise</t>
  </si>
  <si>
    <t>BEPC</t>
  </si>
  <si>
    <t>Quelque soit le type de projet, vous devez nous adresser les documents suivants :</t>
  </si>
  <si>
    <t>Liasses fiscales, annexes et rapports du commissaire aux comptes des 3 derniers exercices</t>
  </si>
  <si>
    <t>Titres de propriété, baux, brevets</t>
  </si>
  <si>
    <t>Développement</t>
  </si>
  <si>
    <t>Restructuration</t>
  </si>
  <si>
    <t>Rachat-reprise</t>
  </si>
  <si>
    <t>1 -  Enjeux du projet</t>
  </si>
  <si>
    <t>2 -  Description du programme</t>
  </si>
  <si>
    <t>Si les liasses sont sous forme simplifiée, balances des 3 derniers exercices</t>
  </si>
  <si>
    <t>Quelles sont les raisons qui ont contribué à la nécessité de restructuration ?</t>
  </si>
  <si>
    <t>Quelles sont les mesures prévues pour y remédier ?</t>
  </si>
  <si>
    <t>BFR</t>
  </si>
  <si>
    <t>Distribution de dividendes</t>
  </si>
  <si>
    <t>Crédit-bail</t>
  </si>
  <si>
    <t>Dégagement de fonds de roulement</t>
  </si>
  <si>
    <t>Autofinancement négatif</t>
  </si>
  <si>
    <t>Taux d'utilisation</t>
  </si>
  <si>
    <t>Dirigeant(s)</t>
  </si>
  <si>
    <t>Pour quel motif l'entreprise est-elle à vendre ?</t>
  </si>
  <si>
    <t>Pourquoi avoir choisi cette entreprise ?</t>
  </si>
  <si>
    <t>bail précaire</t>
  </si>
  <si>
    <t>bail commercial</t>
  </si>
  <si>
    <t>crédit-bail</t>
  </si>
  <si>
    <t>L'entreprise exerce-t-elle une activité réglementée ?</t>
  </si>
  <si>
    <t>Existe-t-il un lien de dépendance fort vis-à-vis d'un fournisseur ou d'un client ?</t>
  </si>
  <si>
    <t xml:space="preserve"> Si oui, existe-t-il des contrats ?</t>
  </si>
  <si>
    <t>Existe-t-il des garanties données auxquelles le repreneur devra se substituer ?</t>
  </si>
  <si>
    <t xml:space="preserve"> Si oui, lesquelles ?</t>
  </si>
  <si>
    <t>Engagements hors bilan, cautions, garanties, autorisations et procurations</t>
  </si>
  <si>
    <t>Reprise sur provisions financières</t>
  </si>
  <si>
    <t>Produits exceptionnels</t>
  </si>
  <si>
    <t>Charges exceptionnelles</t>
  </si>
  <si>
    <t>Production stockée ou déstockée (+ ou -)</t>
  </si>
  <si>
    <t>Variation de stock de marchandises (+ ou -)</t>
  </si>
  <si>
    <t>Variation de stock de matières 1ères et autres appros (+ ou -)</t>
  </si>
  <si>
    <t>Statuts de cette même entreprise et  éventuellement projet de statuts de la société à créer</t>
  </si>
  <si>
    <t>Achats et charges externes</t>
  </si>
  <si>
    <t>Autres charges financières</t>
  </si>
  <si>
    <t>Autres produits financiers</t>
  </si>
  <si>
    <t>Autres</t>
  </si>
  <si>
    <t>Intérêts sur avances et emprunts</t>
  </si>
  <si>
    <t>Intérêts sur concours bancaires à court terme</t>
  </si>
  <si>
    <t>Cette transmission engendre-t-elle la création d'une société d'exploitation ?</t>
  </si>
  <si>
    <t>YP</t>
  </si>
  <si>
    <t>Dotation aux amortissements et provisions d'exploitation</t>
  </si>
  <si>
    <t>Participation des salariés aux résultats de l'entreprise</t>
  </si>
  <si>
    <t>Terrains</t>
  </si>
  <si>
    <t>Bâtiments</t>
  </si>
  <si>
    <t>totale</t>
  </si>
  <si>
    <t xml:space="preserve"> différé</t>
  </si>
  <si>
    <t>Taux</t>
  </si>
  <si>
    <t>Conditions</t>
  </si>
  <si>
    <t>Capital</t>
  </si>
  <si>
    <t xml:space="preserve">Durée </t>
  </si>
  <si>
    <t xml:space="preserve">Taux de rentabilité : </t>
  </si>
  <si>
    <t>Utilité territoriale</t>
  </si>
  <si>
    <t>Economie</t>
  </si>
  <si>
    <t xml:space="preserve">Coefficient : </t>
  </si>
  <si>
    <t>Cotation Herrikoa :</t>
  </si>
  <si>
    <t>F I C H E   D E   S Y N T H E S E</t>
  </si>
  <si>
    <t>Résultat exceptionnel sur opération de gestion (+ ou -)</t>
  </si>
  <si>
    <t>Résultat exceptionnel sur opération en capital (+ ou -)</t>
  </si>
  <si>
    <t>Charges  de personnel</t>
  </si>
  <si>
    <t>Durée en années</t>
  </si>
  <si>
    <t>différé</t>
  </si>
  <si>
    <t>Avances en compte courant consenties à la société cible</t>
  </si>
  <si>
    <t>Autres titres de participation</t>
  </si>
  <si>
    <t>Autres immobilisations financières</t>
  </si>
  <si>
    <t>Attestations de régularité sociale et fiscale</t>
  </si>
  <si>
    <t>Si l'entreprise fait l'objet d'un redressement judiciaire, copie du plan d'apurement du passif</t>
  </si>
  <si>
    <t>Extrait K bis de moins de 3 mois avec états des inscriptions de privilèges, protêts et autres</t>
  </si>
  <si>
    <t>Etat</t>
  </si>
  <si>
    <t>Remboursement du  capital / avances, CC, OC, TP et  emprunts</t>
  </si>
  <si>
    <t>Nature</t>
  </si>
  <si>
    <t xml:space="preserve">Taux d'intérêt </t>
  </si>
  <si>
    <t xml:space="preserve">Origine </t>
  </si>
  <si>
    <t>Type de financements</t>
  </si>
  <si>
    <t xml:space="preserve">total </t>
  </si>
  <si>
    <t>Obligations convertibles</t>
  </si>
  <si>
    <t>Avance remboursable</t>
  </si>
  <si>
    <t>Compte courant bloqué</t>
  </si>
  <si>
    <t>Compte courant ordinaire</t>
  </si>
  <si>
    <t>Emprunt</t>
  </si>
  <si>
    <t>Prêt participatif</t>
  </si>
  <si>
    <t>Titres participatifs</t>
  </si>
  <si>
    <t>Prêts participatifs</t>
  </si>
  <si>
    <t>Le repreneur est une entreprise existante ?</t>
  </si>
  <si>
    <t>Le repreneur est une ou plusieurs personnes physiques ?</t>
  </si>
  <si>
    <t>Ateliers :</t>
  </si>
  <si>
    <t>Licence</t>
  </si>
  <si>
    <t>Maîtrise</t>
  </si>
  <si>
    <t>Stages suivis dans la perspective de reprendre une entreprise</t>
  </si>
  <si>
    <t>DESS-DEA</t>
  </si>
  <si>
    <t>Master I</t>
  </si>
  <si>
    <t>Master II</t>
  </si>
  <si>
    <t>Employé(e)</t>
  </si>
  <si>
    <t>Si oui : coordonnées</t>
  </si>
  <si>
    <t xml:space="preserve">Date de création </t>
  </si>
  <si>
    <t>Expert-comptable</t>
  </si>
  <si>
    <t xml:space="preserve">Montant du capital </t>
  </si>
  <si>
    <t xml:space="preserve">Raison sociale </t>
  </si>
  <si>
    <t xml:space="preserve">Adresse </t>
  </si>
  <si>
    <t>Chef d'entreprise</t>
  </si>
  <si>
    <t>Financiers</t>
  </si>
  <si>
    <t>Commissaire aux comptes</t>
  </si>
  <si>
    <t>Code APE</t>
  </si>
  <si>
    <t>Cotation B F</t>
  </si>
  <si>
    <t>Surface  immobilière</t>
  </si>
  <si>
    <t>Propriété de</t>
  </si>
  <si>
    <t>Type de location</t>
  </si>
  <si>
    <t>Terme du contrat de location</t>
  </si>
  <si>
    <t>Loyer annuel HT</t>
  </si>
  <si>
    <t>Date de création</t>
  </si>
  <si>
    <t>Forme juridique</t>
  </si>
  <si>
    <t>Activité</t>
  </si>
  <si>
    <t>Montant du capital</t>
  </si>
  <si>
    <t xml:space="preserve">N° Siret </t>
  </si>
  <si>
    <t>Fonction précédente</t>
  </si>
  <si>
    <t xml:space="preserve">Activité du conjoint </t>
  </si>
  <si>
    <t>Age</t>
  </si>
  <si>
    <t>valeur nominale</t>
  </si>
  <si>
    <t>prime d'émission</t>
  </si>
  <si>
    <t>Autres associés, personnes physiques</t>
  </si>
  <si>
    <t>Autres personnes physiques</t>
  </si>
  <si>
    <t>Coût d'achat des matières consommées</t>
  </si>
  <si>
    <t>- plus de 50% de son chiffre d'affaires</t>
  </si>
  <si>
    <t>- plus de 20% de son chiffre d'affaires</t>
  </si>
  <si>
    <t>- plus de 10% de son chiffre d'affaires</t>
  </si>
  <si>
    <t>Y-a-t-il un lien entre le propriétaire et le dirigeant ?</t>
  </si>
  <si>
    <t>Marge brute  totale</t>
  </si>
  <si>
    <t>Frais financiers nets</t>
  </si>
  <si>
    <t>Produits nets de cessions de valeurs mobilières de placement</t>
  </si>
  <si>
    <t>Produits exceptionnels sur opérations de gestion</t>
  </si>
  <si>
    <t>Produits exceptionnels sur opérations en capital</t>
  </si>
  <si>
    <t>Charges exceptionnelles sur opérations de gestion</t>
  </si>
  <si>
    <t>Charges exceptionnelles sur opérations en capital</t>
  </si>
  <si>
    <t>Charges nettes sur cessions de valeurs mobilières de placement</t>
  </si>
  <si>
    <t>Variation de stock de matières 1ères et autres appros</t>
  </si>
  <si>
    <t>Achat de matières premières et autres approvisionnements</t>
  </si>
  <si>
    <t>Dépréciation des créances clients</t>
  </si>
  <si>
    <t>Primes de remboursement sur obligations</t>
  </si>
  <si>
    <t>Frais d'émission d'emprunt à étaler</t>
  </si>
  <si>
    <t>Dépréciation des matières &amp; approvisionnements</t>
  </si>
  <si>
    <t>Dépréciation des encours de biens</t>
  </si>
  <si>
    <t>Dépréciation des encours de service</t>
  </si>
  <si>
    <t>Dépréciation des produits</t>
  </si>
  <si>
    <t>Dépréciation des marchandises</t>
  </si>
  <si>
    <t>Taux de dépréciation</t>
  </si>
  <si>
    <t>CW</t>
  </si>
  <si>
    <t>Actif immobilisé brut</t>
  </si>
  <si>
    <t>BJ</t>
  </si>
  <si>
    <t>BK</t>
  </si>
  <si>
    <t>Dépréciation de l'actif immobilisé</t>
  </si>
  <si>
    <t>Résultat financier</t>
  </si>
  <si>
    <t xml:space="preserve">Résultat exceptionnel </t>
  </si>
  <si>
    <t>Variation annuelle de la trésorerie</t>
  </si>
  <si>
    <t>L'entreprise a-t-elle souscrit une assurance pour les risques clients</t>
  </si>
  <si>
    <t xml:space="preserve">L'entreprise a-t-elle souscrit une assurance Homme Clé sur le dirigeant </t>
  </si>
  <si>
    <t>Coût d'achat des marchandises consommées</t>
  </si>
  <si>
    <t>Dépréciation des autres créances d'exploitation</t>
  </si>
  <si>
    <t>CA</t>
  </si>
  <si>
    <t>BZ</t>
  </si>
  <si>
    <t>Différence  de change (si gain : signe - ; si perte : signe +)</t>
  </si>
  <si>
    <t>Nombre total de titres composant le capital de la société cible</t>
  </si>
  <si>
    <t>- dont personnel extérieur à l'entreprise</t>
  </si>
  <si>
    <t xml:space="preserve">Marge brute sur production de biens ou de services </t>
  </si>
  <si>
    <t>Taux de charges sociales</t>
  </si>
  <si>
    <t>Capitalisation des comptes courants d'associés</t>
  </si>
  <si>
    <t>Revenus sur autres participations</t>
  </si>
  <si>
    <t>Prestations de service  à la société cible</t>
  </si>
  <si>
    <t>- dont prestations de service de la société mère</t>
  </si>
  <si>
    <t>Autres prestations de service</t>
  </si>
  <si>
    <t>Variation cumulée de la trésorerie</t>
  </si>
  <si>
    <t>Subvention d'investissement</t>
  </si>
  <si>
    <t>Incidents de paiement</t>
  </si>
  <si>
    <t>Taux de rémunération</t>
  </si>
  <si>
    <t>Remplissez les tableaux prévisionnels dans leur ordre d'apparition sur la page d'accueil car certains chiffres que vous indiquez dans les premiers tableaux, renseignent les suivants</t>
  </si>
  <si>
    <t>Si vous rencontrez des difficultés pour le remplir ou si certains points ne vous semblent pas évidents, n'hésitez pas à contacter nos services qui se feront un plaisir de vous renseigner</t>
  </si>
  <si>
    <t xml:space="preserve"> Si oui, détaillez :</t>
  </si>
  <si>
    <t>Durée des exercices</t>
  </si>
  <si>
    <t>Adresse</t>
  </si>
  <si>
    <t>1 - Dans le cas d'un rachat du fonds de commerce</t>
  </si>
  <si>
    <t>SCOP-SARL</t>
  </si>
  <si>
    <t>SCOP-SA</t>
  </si>
  <si>
    <t>SCIC-SARL</t>
  </si>
  <si>
    <t>SCIC-SA</t>
  </si>
  <si>
    <t>SCA</t>
  </si>
  <si>
    <t>Rapport du commissaire aux apports dans le cas d'apports en nature</t>
  </si>
  <si>
    <t>Rapport du commissaire aux comptes dans le cas de souscription par compensation de créances</t>
  </si>
  <si>
    <t>Participation majoritaire au capital</t>
  </si>
  <si>
    <t>Participation minoritaire au capital</t>
  </si>
  <si>
    <t>Rachat de la totalité du capital</t>
  </si>
  <si>
    <t>Modalités de la reprise</t>
  </si>
  <si>
    <t>Si oui, laquelle de ces procédures</t>
  </si>
  <si>
    <t>Mandat ad hoc</t>
  </si>
  <si>
    <t>Conciliation</t>
  </si>
  <si>
    <t>Redressement judiciaire</t>
  </si>
  <si>
    <t>Liquidation judiciaire</t>
  </si>
  <si>
    <t>Sauvegarde financière accélérée</t>
  </si>
  <si>
    <t>Sauvegarde</t>
  </si>
  <si>
    <t>D</t>
  </si>
  <si>
    <t>crédit export</t>
  </si>
  <si>
    <t xml:space="preserve">Total  </t>
  </si>
  <si>
    <t>crédit de mobilisation</t>
  </si>
  <si>
    <t>escompte</t>
  </si>
  <si>
    <t>Banque(s)</t>
  </si>
  <si>
    <t>Ces titres bénéficient-ils d'avantages pécuniaires ?</t>
  </si>
  <si>
    <t>Fonction future</t>
  </si>
  <si>
    <t xml:space="preserve">Bénéfice net ou perte nette   </t>
  </si>
  <si>
    <t>Capacité d'autofinancement   -   CAF</t>
  </si>
  <si>
    <t>Complément</t>
  </si>
  <si>
    <t>Obtenu</t>
  </si>
  <si>
    <t>?</t>
  </si>
  <si>
    <t>L'entreprise a-t-elle un client qui représente :</t>
  </si>
  <si>
    <t>Total des investissements financiers</t>
  </si>
  <si>
    <t>Investissements totaux</t>
  </si>
  <si>
    <t>Effectif</t>
  </si>
  <si>
    <t>Dettes financières</t>
  </si>
  <si>
    <t>- dont quote-part de la subvention d'investissement reportée au résultat</t>
  </si>
  <si>
    <t>DFR</t>
  </si>
  <si>
    <t xml:space="preserve">Total des dépréciations des stocks  </t>
  </si>
  <si>
    <t xml:space="preserve">Total des stocks  nets </t>
  </si>
  <si>
    <t xml:space="preserve">Total des stocks  bruts </t>
  </si>
  <si>
    <t>Taux de mobilisation des créances clients</t>
  </si>
  <si>
    <t xml:space="preserve">Total des créances clients nettes </t>
  </si>
  <si>
    <t xml:space="preserve">Total des créances clients brutes  </t>
  </si>
  <si>
    <t>Total des dettes financières</t>
  </si>
  <si>
    <t>Avances et acomptes versés sur commandes</t>
  </si>
  <si>
    <t>dont clients affacturage</t>
  </si>
  <si>
    <t>Bilan actif détaillé</t>
  </si>
  <si>
    <t xml:space="preserve">Autres créances d'exploitation brutes </t>
  </si>
  <si>
    <t>Dépréciation des acomptes versés sur commandes</t>
  </si>
  <si>
    <t>BW</t>
  </si>
  <si>
    <t xml:space="preserve">Autres créances d'exploitation nettes </t>
  </si>
  <si>
    <t xml:space="preserve">Total des créances d'exploitation nettes </t>
  </si>
  <si>
    <t>Avances et acomptes reçus sur commandes</t>
  </si>
  <si>
    <t>Besoin en FRE brut</t>
  </si>
  <si>
    <t>identité du 2ème repreneur</t>
  </si>
  <si>
    <t>identité du repreneur unique</t>
  </si>
  <si>
    <t>Cession d'actifs</t>
  </si>
  <si>
    <t>Total des produits d'exploitation</t>
  </si>
  <si>
    <t>Total des charges d'exploitation</t>
  </si>
  <si>
    <t>Total des produits financiers</t>
  </si>
  <si>
    <t>Total des charges financières</t>
  </si>
  <si>
    <t>- dont produits sur cession d'actifs</t>
  </si>
  <si>
    <t>- dont valeur comptable nette des actifs cédés</t>
  </si>
  <si>
    <r>
      <t>Autres consommations  (</t>
    </r>
    <r>
      <rPr>
        <b/>
        <i/>
        <sz val="10"/>
        <color indexed="32"/>
        <rFont val="Calibri"/>
        <family val="2"/>
      </rPr>
      <t>hors crédit-bail et intérim</t>
    </r>
    <r>
      <rPr>
        <b/>
        <sz val="10"/>
        <color indexed="32"/>
        <rFont val="Calibri"/>
        <family val="2"/>
      </rPr>
      <t>)</t>
    </r>
  </si>
  <si>
    <t>N - 3</t>
  </si>
  <si>
    <t>N</t>
  </si>
  <si>
    <t>N - 1</t>
  </si>
  <si>
    <t>N - 2</t>
  </si>
  <si>
    <t>Effecfif moyen</t>
  </si>
  <si>
    <t>Commentaire</t>
  </si>
  <si>
    <t>Emprunts remboursés au cours de l'exercice</t>
  </si>
  <si>
    <t>VK</t>
  </si>
  <si>
    <t>Matériels  techniques 
&amp; outillages</t>
  </si>
  <si>
    <t>Investissements 
immatériels</t>
  </si>
  <si>
    <t>Investissements 
financiers</t>
  </si>
  <si>
    <t>Logiciels dissociés</t>
  </si>
  <si>
    <t>Equipement 
informatique</t>
  </si>
  <si>
    <t>Matériel-mobilier 
de bureau</t>
  </si>
  <si>
    <t>Constante</t>
  </si>
  <si>
    <t>Frais financiers /  EBE</t>
  </si>
  <si>
    <t>(Réalisable + Disponible) / Dettes à court terme</t>
  </si>
  <si>
    <t>Capitaux permanents / Passif</t>
  </si>
  <si>
    <t>VA / CA</t>
  </si>
  <si>
    <t>Trésorerie / CA (J)</t>
  </si>
  <si>
    <t>Fonds de roulement / CA (J)</t>
  </si>
  <si>
    <t>coefficient</t>
  </si>
  <si>
    <t>Bornes</t>
  </si>
  <si>
    <t>inférieure</t>
  </si>
  <si>
    <t>supérieure</t>
  </si>
  <si>
    <t>ratios</t>
  </si>
  <si>
    <t>ratios bornés</t>
  </si>
  <si>
    <t>contrib</t>
  </si>
  <si>
    <t>SCORE AFDCC</t>
  </si>
  <si>
    <t>Ratios</t>
  </si>
  <si>
    <t>total bilan</t>
  </si>
  <si>
    <t>Retour au plan de financement</t>
  </si>
  <si>
    <t>Production vendue de biens</t>
  </si>
  <si>
    <t>Taux de 
rentabilité</t>
  </si>
  <si>
    <t>Date 
d'intervention</t>
  </si>
  <si>
    <t>Type de 
garantie</t>
  </si>
  <si>
    <t>Titres de participation acquis dans la société cible</t>
  </si>
  <si>
    <t>dont impôt sur les bénéfices</t>
  </si>
  <si>
    <t>dont groupe et associés</t>
  </si>
  <si>
    <t>VM</t>
  </si>
  <si>
    <t>VC</t>
  </si>
  <si>
    <t>VR</t>
  </si>
  <si>
    <t>dont créances hors exploitation</t>
  </si>
  <si>
    <t>Créances hors exploitation (VM+VC+VR)</t>
  </si>
  <si>
    <t>8E</t>
  </si>
  <si>
    <t>Impôt sur les bénéfices</t>
  </si>
  <si>
    <t>Méthodes d'évaluation du fonds de commerce et/ou de l'entreprise dans le cas de rachat</t>
  </si>
  <si>
    <t>Méthode d'évaluation de la prime d'émission</t>
  </si>
  <si>
    <t>Rapports du conseil ou président et commissaires aux comptes dans le cas de suppression du droit préférentiel de souscription</t>
  </si>
  <si>
    <t>Dividendes distribués</t>
  </si>
  <si>
    <t>ZE</t>
  </si>
  <si>
    <t>Délais d'écoulement moyens</t>
  </si>
  <si>
    <t>ou calcul : chiffre d'affaires France x taux de tva 
(renseigner le taux de tva)</t>
  </si>
  <si>
    <t>ou calcul : consommations x taux de tva 
(renseigner le taux de tva)</t>
  </si>
  <si>
    <t>Délai moyen de paiement aux fournisseurs</t>
  </si>
  <si>
    <r>
      <rPr>
        <b/>
        <sz val="10"/>
        <color indexed="9"/>
        <rFont val="Calibri"/>
        <family val="2"/>
      </rPr>
      <t xml:space="preserve">jours </t>
    </r>
    <r>
      <rPr>
        <b/>
        <sz val="9"/>
        <color indexed="9"/>
        <rFont val="Calibri"/>
        <family val="2"/>
      </rPr>
      <t xml:space="preserve">
</t>
    </r>
    <r>
      <rPr>
        <b/>
        <i/>
        <sz val="9"/>
        <color indexed="9"/>
        <rFont val="Calibri"/>
        <family val="2"/>
      </rPr>
      <t>(à renseigner)</t>
    </r>
  </si>
  <si>
    <t>Date de création de la société cible :</t>
  </si>
  <si>
    <t>L' entreprise fait-elle l'objet d'une procédure pour
 entreprise en difficulté ?</t>
  </si>
  <si>
    <t>Rapports de gestion et PV des assemblée générales des 3 derniers exercices</t>
  </si>
  <si>
    <t>Identité 
des associés</t>
  </si>
  <si>
    <t>Identité des associés</t>
  </si>
  <si>
    <t>Autres pers. physiques</t>
  </si>
  <si>
    <t xml:space="preserve">Commune </t>
  </si>
  <si>
    <t>Commune :</t>
  </si>
  <si>
    <t>Dossier :</t>
  </si>
  <si>
    <t>billet de trésorerie</t>
  </si>
  <si>
    <t>crédit de campagne</t>
  </si>
  <si>
    <t>découvert</t>
  </si>
  <si>
    <t>crédit "loi Dailly"</t>
  </si>
  <si>
    <t xml:space="preserve">Taux 
d'intérêt </t>
  </si>
  <si>
    <t>Achats de matières premieres et autres approvisionnements</t>
  </si>
  <si>
    <t>Rapports de gestion et PV des assemblées générales des 3 derniers exercices</t>
  </si>
  <si>
    <t>Chiffre d'affaires net</t>
  </si>
  <si>
    <t>Code APE-NAF</t>
  </si>
  <si>
    <t>Cotation Banque de France</t>
  </si>
  <si>
    <t>Nombre d'actions ou de parts composant le capital</t>
  </si>
  <si>
    <t>Valeur nominale</t>
  </si>
  <si>
    <t>Quote-part détenue 
par les autres associés</t>
  </si>
  <si>
    <t xml:space="preserve">Quote-part du capital détenue 
par les partenaires financiers </t>
  </si>
  <si>
    <t>Coût total du personnel extérieur à l'entreprise</t>
  </si>
  <si>
    <t>total 
versé</t>
  </si>
  <si>
    <t>Apports en numéraire versés</t>
  </si>
  <si>
    <t>% 
détenu</t>
  </si>
  <si>
    <t>Type de concours</t>
  </si>
  <si>
    <t>Garanties données</t>
  </si>
  <si>
    <t>Total des investissements immobiliers et mobiliers</t>
  </si>
  <si>
    <t>Investissements immobiliers et mobiliers</t>
  </si>
  <si>
    <t>Total des investissements immatériels et des frais d'établissement</t>
  </si>
  <si>
    <t>Apports en capital</t>
  </si>
  <si>
    <t>Subventions d'investissement</t>
  </si>
  <si>
    <t>Comptes courants bloqués</t>
  </si>
  <si>
    <t>Comptes courants ordinaires</t>
  </si>
  <si>
    <t xml:space="preserve">Commentaire </t>
  </si>
  <si>
    <t>Frais d'établissement et autres investissements immatériels</t>
  </si>
  <si>
    <t>Apport 
en 
nature</t>
  </si>
  <si>
    <t>Acquisition</t>
  </si>
  <si>
    <t>Occasion</t>
  </si>
  <si>
    <t>Oui</t>
  </si>
  <si>
    <t>neuf</t>
  </si>
  <si>
    <t>Biens immobiliers 
et mobiliers neufs</t>
  </si>
  <si>
    <t>Biens immobiliers 
et mobiliers d'occasion</t>
  </si>
  <si>
    <t>Interventions précédentes de 
HERRIKOA dans cette entreprise</t>
  </si>
  <si>
    <t>Montant €
 remboursé</t>
  </si>
  <si>
    <t>Dividendes perçus</t>
  </si>
  <si>
    <t>Plus ou 
moins value</t>
  </si>
  <si>
    <t>Compte courant</t>
  </si>
  <si>
    <t>Montant 
€</t>
  </si>
  <si>
    <t>Montant €
restant dû</t>
  </si>
  <si>
    <t>Commentaires</t>
  </si>
  <si>
    <t>Nouveaux investissements 
HERRIKOA prévus</t>
  </si>
  <si>
    <t>VALEUR DU PROJET (de 0 à ***)</t>
  </si>
  <si>
    <t>Pour la 
zone</t>
  </si>
  <si>
    <t>Pour le 
Pays Basque</t>
  </si>
  <si>
    <t>Valeur ajoutée 
produite</t>
  </si>
  <si>
    <t>Emplois 
générés</t>
  </si>
  <si>
    <t>Date de clôture</t>
  </si>
  <si>
    <t>Titres détenus par la holding dans 
le capital de la société cible</t>
  </si>
  <si>
    <t>Nombre de titres</t>
  </si>
  <si>
    <t>Quote-part du capital</t>
  </si>
  <si>
    <t>Les fonds empruntés représentent :</t>
  </si>
  <si>
    <t>Points forts 
Principaux atouts</t>
  </si>
  <si>
    <t>Points faibles 
Principales faiblesses</t>
  </si>
  <si>
    <t>Terrains 
et bâtiments</t>
  </si>
  <si>
    <t>Agencements 
et aménagements</t>
  </si>
  <si>
    <t>Immatériel</t>
  </si>
  <si>
    <t>Financier</t>
  </si>
  <si>
    <t>Immobilier</t>
  </si>
  <si>
    <t>Matériel-mobilier</t>
  </si>
  <si>
    <t>Matériel mobilier</t>
  </si>
  <si>
    <t>CF</t>
  </si>
  <si>
    <t>CV</t>
  </si>
  <si>
    <t>Equivalant temps plein</t>
  </si>
  <si>
    <t>Effectif total moyen</t>
  </si>
  <si>
    <t>Global</t>
  </si>
  <si>
    <t>1 - effectif salarié moyen</t>
  </si>
  <si>
    <t>2 - Effectif  intérimaire moyen</t>
  </si>
  <si>
    <t>Charges fixes nettes totales</t>
  </si>
  <si>
    <t>Charges variables nettes totales</t>
  </si>
  <si>
    <t>Sous-traitance de production</t>
  </si>
  <si>
    <t>Transport et frais accessoires d'achats</t>
  </si>
  <si>
    <t>- dont transports sur ventes</t>
  </si>
  <si>
    <t>Marge sur coûts variables</t>
  </si>
  <si>
    <t>Résultat courant avant impôt (hors subvention)</t>
  </si>
  <si>
    <t>TBB</t>
  </si>
  <si>
    <t>TAM</t>
  </si>
  <si>
    <t>T4M</t>
  </si>
  <si>
    <t>Taux de référence</t>
  </si>
  <si>
    <t>Eonia</t>
  </si>
  <si>
    <t>Euribor</t>
  </si>
  <si>
    <t>Euribor-3M</t>
  </si>
  <si>
    <t>escompte en compte</t>
  </si>
  <si>
    <t>facilité de caisse</t>
  </si>
  <si>
    <t>crédit de trésorerie</t>
  </si>
  <si>
    <t>Les différents taux de référence</t>
  </si>
  <si>
    <t>caution personnelle</t>
  </si>
  <si>
    <t>nantissement du fonds de commerce</t>
  </si>
  <si>
    <t>nantissement de matériel</t>
  </si>
  <si>
    <t>Droit au bail, fonds de commerce (reprise)</t>
  </si>
  <si>
    <t xml:space="preserve">Titres de participation (reprise) </t>
  </si>
  <si>
    <t>Titres de participation</t>
  </si>
  <si>
    <t xml:space="preserve">produits </t>
  </si>
  <si>
    <t>Etat des contentieux et litiges en cours</t>
  </si>
  <si>
    <t>Commerce</t>
  </si>
  <si>
    <t>Comptabilité</t>
  </si>
  <si>
    <t>Gestion</t>
  </si>
  <si>
    <t>juridique</t>
  </si>
  <si>
    <t>Technique</t>
  </si>
  <si>
    <t>Préciser</t>
  </si>
  <si>
    <t xml:space="preserve">Répartition du capital avant l'opération (quote-part en %) </t>
  </si>
  <si>
    <t xml:space="preserve">Répartition du capital  de la société d'exploitation :  </t>
  </si>
  <si>
    <t xml:space="preserve">Répartition du capital de la société holding :  </t>
  </si>
  <si>
    <t>Date de clôture du dernier exercice clos</t>
  </si>
  <si>
    <t>Compte de résultat prévisionnel</t>
  </si>
  <si>
    <t>Nature du projet</t>
  </si>
  <si>
    <t>Plan de financement</t>
  </si>
  <si>
    <t>Développement d'entreprise</t>
  </si>
  <si>
    <t>Transmission d'entreprise</t>
  </si>
  <si>
    <t>Identification de l'entreprise</t>
  </si>
  <si>
    <t>Identité du chef d'entreprise</t>
  </si>
  <si>
    <t>Identité du repreneur</t>
  </si>
  <si>
    <t>Modalités de la transmission</t>
  </si>
  <si>
    <t>Programme d'investissements</t>
  </si>
  <si>
    <t>Prévisionnel de la société holding</t>
  </si>
  <si>
    <t>(si création ou existence d'une société holding)</t>
  </si>
  <si>
    <t>Plan de financement de la holding</t>
  </si>
  <si>
    <r>
      <t xml:space="preserve">Apports en nature 
</t>
    </r>
    <r>
      <rPr>
        <b/>
        <i/>
        <sz val="9"/>
        <color indexed="9"/>
        <rFont val="Calibri"/>
        <family val="2"/>
      </rPr>
      <t>voir valorisation + rapport CAA</t>
    </r>
  </si>
  <si>
    <r>
      <t xml:space="preserve">total 
</t>
    </r>
    <r>
      <rPr>
        <b/>
        <u/>
        <sz val="10.5"/>
        <color indexed="9"/>
        <rFont val="Calibri"/>
        <family val="2"/>
      </rPr>
      <t>versé</t>
    </r>
  </si>
  <si>
    <t xml:space="preserve"> superficie  :</t>
  </si>
  <si>
    <r>
      <t xml:space="preserve">Les montants sont exprimés en </t>
    </r>
    <r>
      <rPr>
        <b/>
        <i/>
        <u/>
        <sz val="11"/>
        <color indexed="30"/>
        <rFont val="Calibri"/>
        <family val="2"/>
      </rPr>
      <t>€</t>
    </r>
    <r>
      <rPr>
        <b/>
        <i/>
        <sz val="10"/>
        <color indexed="30"/>
        <rFont val="Calibri"/>
        <family val="2"/>
      </rPr>
      <t xml:space="preserve"> et </t>
    </r>
    <r>
      <rPr>
        <b/>
        <i/>
        <u/>
        <sz val="11"/>
        <color indexed="30"/>
        <rFont val="Calibri"/>
        <family val="2"/>
      </rPr>
      <t>hors TVA</t>
    </r>
  </si>
  <si>
    <t xml:space="preserve">Cotation </t>
  </si>
  <si>
    <t>HERRIKOA SCA à capital variable - RCS BAYONNE B 320 432 222 - résidence l'Alliance - centre Jorlis - 64600 ANGLET</t>
  </si>
  <si>
    <t>(si projet de rachat ou de reprise)</t>
  </si>
  <si>
    <t>Dettes d'exploitation</t>
  </si>
  <si>
    <t>Norme</t>
  </si>
  <si>
    <t>&lt;</t>
  </si>
  <si>
    <t>&gt;</t>
  </si>
  <si>
    <t>Annexe</t>
  </si>
  <si>
    <t>A lire</t>
  </si>
  <si>
    <t xml:space="preserve">Total des dettes d'exploitation nettes </t>
  </si>
  <si>
    <t xml:space="preserve">Dettes fiscales et sociales d'exploitation </t>
  </si>
  <si>
    <t>L'entreprise a-t-elle déjà bénéficié d'un financement de Herrikoa pour cette période ?</t>
  </si>
  <si>
    <t>Capacité d'autofinancement retraitée du crédit-bail</t>
  </si>
  <si>
    <t>Endettement total</t>
  </si>
  <si>
    <t xml:space="preserve">Capital social </t>
  </si>
  <si>
    <t>Créances et dettes hors exploitation</t>
  </si>
  <si>
    <t xml:space="preserve">Créances hors exploitation nettes </t>
  </si>
  <si>
    <t xml:space="preserve"> Années : </t>
  </si>
  <si>
    <t xml:space="preserve"> Durée en mois : </t>
  </si>
  <si>
    <t xml:space="preserve">Dettes hors exploitation nettes </t>
  </si>
  <si>
    <t>Besoin en fonds de roulement hors exploitation</t>
  </si>
  <si>
    <t>Variat du BFRE brut</t>
  </si>
  <si>
    <t>Endettement bilan</t>
  </si>
  <si>
    <t>EENE</t>
  </si>
  <si>
    <t>Bilan réévalué</t>
  </si>
  <si>
    <t>Ne pas renseigner les éléments du bilan s'il y a création d'une nouvelle société d'exploitation (cas du rachat du fonds de commerce)</t>
  </si>
  <si>
    <t>Retraitement du crédit-bail</t>
  </si>
  <si>
    <t>I - Calcul du coefficient à appliquer au crédit-bail mobilier</t>
  </si>
  <si>
    <t>Valeur d'origine - prix d'achat résiduel (annexe du bilan)</t>
  </si>
  <si>
    <t>Total des annuités payées et à payer (annexe du bilan)</t>
  </si>
  <si>
    <t xml:space="preserve"> Coefficient</t>
  </si>
  <si>
    <t xml:space="preserve"> A défaut</t>
  </si>
  <si>
    <t>II - Calcul du coefficient à appliquer au crédit-bail immobilier</t>
  </si>
  <si>
    <t xml:space="preserve">Encours de crédit-bail </t>
  </si>
  <si>
    <t>Crédit-bail mobilier</t>
  </si>
  <si>
    <t>Crédit-bail immobilier</t>
  </si>
  <si>
    <t>Capital restant dû sur les crédit-baux</t>
  </si>
  <si>
    <t>Encours CB</t>
  </si>
  <si>
    <t>2052 FC</t>
  </si>
  <si>
    <t>2052 FF</t>
  </si>
  <si>
    <t>2052 FI</t>
  </si>
  <si>
    <t>2052 FL</t>
  </si>
  <si>
    <t>2052 FM</t>
  </si>
  <si>
    <t>2052 FN</t>
  </si>
  <si>
    <t>2052 FS</t>
  </si>
  <si>
    <t>2052 FT</t>
  </si>
  <si>
    <t>2052 GN</t>
  </si>
  <si>
    <t>2052 GS</t>
  </si>
  <si>
    <t>2052 FU</t>
  </si>
  <si>
    <t>2052 FV</t>
  </si>
  <si>
    <t>CR détaillé</t>
  </si>
  <si>
    <t>2052 FW</t>
  </si>
  <si>
    <t>2053 HP</t>
  </si>
  <si>
    <t>2053 HQ</t>
  </si>
  <si>
    <t>2058-C YU</t>
  </si>
  <si>
    <t>2052 FO</t>
  </si>
  <si>
    <t>2052 FX</t>
  </si>
  <si>
    <t>2052 FY</t>
  </si>
  <si>
    <t>2052 FZ</t>
  </si>
  <si>
    <t>2056 UF</t>
  </si>
  <si>
    <t>2053 A1</t>
  </si>
  <si>
    <t>2052 FQ</t>
  </si>
  <si>
    <t>2052 GA</t>
  </si>
  <si>
    <t>2056 UE</t>
  </si>
  <si>
    <t>2052 GE</t>
  </si>
  <si>
    <t>2052 GJ</t>
  </si>
  <si>
    <t>2052 GK</t>
  </si>
  <si>
    <t>2052 GL</t>
  </si>
  <si>
    <t>2056 UH</t>
  </si>
  <si>
    <t>2052 GO</t>
  </si>
  <si>
    <t>2056 UG</t>
  </si>
  <si>
    <t>2052 GR</t>
  </si>
  <si>
    <t>2052 GT</t>
  </si>
  <si>
    <t>2052 GW</t>
  </si>
  <si>
    <t>2053 HE</t>
  </si>
  <si>
    <t>2053 HF</t>
  </si>
  <si>
    <t>2056 UJ</t>
  </si>
  <si>
    <t>2056 TM</t>
  </si>
  <si>
    <t>2053 HI</t>
  </si>
  <si>
    <t>2053 HJ</t>
  </si>
  <si>
    <t>2053 HK</t>
  </si>
  <si>
    <t>2053 HN</t>
  </si>
  <si>
    <r>
      <t xml:space="preserve">Point mort   </t>
    </r>
    <r>
      <rPr>
        <b/>
        <i/>
        <sz val="10"/>
        <color indexed="10"/>
        <rFont val="Calibri"/>
        <family val="2"/>
      </rPr>
      <t>(hors subvention et hors opérations exceptionnelles)</t>
    </r>
  </si>
  <si>
    <r>
      <t xml:space="preserve">C.A. critique - Point mort  </t>
    </r>
    <r>
      <rPr>
        <b/>
        <i/>
        <sz val="10"/>
        <color indexed="10"/>
        <rFont val="Calibri"/>
        <family val="2"/>
      </rPr>
      <t>(hors subventions)</t>
    </r>
  </si>
  <si>
    <t>Effectif moyen total - Equivalent Temps Plein</t>
  </si>
  <si>
    <t>Besoin en fonds de roulement global</t>
  </si>
  <si>
    <t>Dégagement de fonds de roulement global</t>
  </si>
  <si>
    <t>dont CA à l'export</t>
  </si>
  <si>
    <t>à renseigner (€)</t>
  </si>
  <si>
    <t>matières</t>
  </si>
  <si>
    <t>marchandises</t>
  </si>
  <si>
    <t>Délai d'écoulement des stocks
en jours d'achats HT</t>
  </si>
  <si>
    <t>biens</t>
  </si>
  <si>
    <t>sercices</t>
  </si>
  <si>
    <t>Autres créances d'exploitation en jours de CA hors taxe</t>
  </si>
  <si>
    <t>Dettes fiscales et sociales en jours de CA hors taxe</t>
  </si>
  <si>
    <t>Autres dettes d'exploitation en jours de CA hors taxe</t>
  </si>
  <si>
    <t>Approche de calcul du BFR ou du DFR d'exploitation moyen</t>
  </si>
  <si>
    <t>Besoin en fonds de roulement hors exploitation en J de CA HT</t>
  </si>
  <si>
    <t>Réalisations</t>
  </si>
  <si>
    <t>Prévisions</t>
  </si>
  <si>
    <t>2058-C YQ</t>
  </si>
  <si>
    <t>2058-C YR</t>
  </si>
  <si>
    <t>Taux de distribution</t>
  </si>
  <si>
    <t>Principaux indicateurs</t>
  </si>
  <si>
    <t xml:space="preserve">- dont crédit-bail mobilier </t>
  </si>
  <si>
    <t xml:space="preserve">- dont crédit-bail immobilier </t>
  </si>
  <si>
    <t>Produits financiers de participations</t>
  </si>
  <si>
    <t>Autres intérêts et produits financiers</t>
  </si>
  <si>
    <t>Autres consommations  (hors crédit-bail et intérim)</t>
  </si>
  <si>
    <t>Risque de 
défaillance</t>
  </si>
  <si>
    <t>Fonds propres</t>
  </si>
  <si>
    <t>Endettement financier à LMT avec CB</t>
  </si>
  <si>
    <t>Norme
 du secteur</t>
  </si>
  <si>
    <t>Encours crédit-bail</t>
  </si>
  <si>
    <t>Cap permanents</t>
  </si>
  <si>
    <t>Dettes fis &amp; soc</t>
  </si>
  <si>
    <t>Total dettes à CT</t>
  </si>
  <si>
    <t>Besoin de trésorerie</t>
  </si>
  <si>
    <t xml:space="preserve">clients </t>
  </si>
  <si>
    <t>autres créances</t>
  </si>
  <si>
    <t>total réalisable</t>
  </si>
  <si>
    <t>Dettes CT</t>
  </si>
  <si>
    <t>réalisable+disponible</t>
  </si>
  <si>
    <t>Délai d'écoulement des stocks d'encours
de production en jours de production réalisée</t>
  </si>
  <si>
    <t>Délai d'écoulement des stocks de produits finis 
en jours de production vendue</t>
  </si>
  <si>
    <t>Matériel 
de transport</t>
  </si>
  <si>
    <t>Montant total des apport en nature</t>
  </si>
  <si>
    <t>Répartition des 
biens matériels</t>
  </si>
  <si>
    <t>AB</t>
  </si>
  <si>
    <t>AC</t>
  </si>
  <si>
    <t>Frais d'établissement bruts</t>
  </si>
  <si>
    <t>Amortissements des frais d'établissement</t>
  </si>
  <si>
    <t>taux d'endettement</t>
  </si>
  <si>
    <t>Tx endettement</t>
  </si>
  <si>
    <r>
      <rPr>
        <b/>
        <i/>
        <sz val="10"/>
        <color rgb="FF0000FF"/>
        <rFont val="Symbol"/>
        <family val="1"/>
        <charset val="2"/>
      </rPr>
      <t>D</t>
    </r>
    <r>
      <rPr>
        <b/>
        <i/>
        <sz val="10"/>
        <color rgb="FF0000FF"/>
        <rFont val="Calibri"/>
        <family val="2"/>
      </rPr>
      <t xml:space="preserve"> annuelle</t>
    </r>
  </si>
  <si>
    <t>Remboursement du plan d'apurement de passif</t>
  </si>
  <si>
    <t>Plan d'apurement de passif</t>
  </si>
  <si>
    <t>Fournisseurs et comptes rattachés d'exploitation</t>
  </si>
  <si>
    <t>dont dettes faisant l'objet d'un moratoire ou d'un plan d'apurement</t>
  </si>
  <si>
    <t>Endet. Fi. LMT+CB</t>
  </si>
  <si>
    <t>Endet. Fi. LMT+CB/BOUQUIN</t>
  </si>
  <si>
    <t>dettes fi./bilan</t>
  </si>
  <si>
    <t>Brevets, marques, dessins et modèles</t>
  </si>
  <si>
    <t>Autres frais de R&amp;D (part immobilisée)</t>
  </si>
  <si>
    <t>Prototypes</t>
  </si>
  <si>
    <r>
      <rPr>
        <sz val="8"/>
        <color rgb="FF002060"/>
        <rFont val="Symbol"/>
        <family val="1"/>
        <charset val="2"/>
      </rPr>
      <t>D</t>
    </r>
    <r>
      <rPr>
        <sz val="8"/>
        <color rgb="FF002060"/>
        <rFont val="Calibri"/>
        <family val="2"/>
        <scheme val="minor"/>
      </rPr>
      <t xml:space="preserve"> du ratio</t>
    </r>
  </si>
  <si>
    <t>Ecart/norme</t>
  </si>
  <si>
    <r>
      <rPr>
        <sz val="8"/>
        <color rgb="FF002060"/>
        <rFont val="Symbol"/>
        <family val="1"/>
        <charset val="2"/>
      </rPr>
      <t>D</t>
    </r>
    <r>
      <rPr>
        <sz val="8"/>
        <color rgb="FF002060"/>
        <rFont val="Calibri"/>
        <family val="2"/>
        <scheme val="minor"/>
      </rPr>
      <t>/R</t>
    </r>
  </si>
  <si>
    <t>- dont amortissements dérogatoires (dotation- reprise)</t>
  </si>
  <si>
    <t>Amortissements</t>
  </si>
  <si>
    <t>Forme juridique  :</t>
  </si>
  <si>
    <t>% du résultat net de la cible</t>
  </si>
  <si>
    <t xml:space="preserve">  Nouveau capital social</t>
  </si>
  <si>
    <t>Subv. d'investissement</t>
  </si>
  <si>
    <t>Réduction
de capital</t>
  </si>
  <si>
    <t>capital avant 
l'opération</t>
  </si>
  <si>
    <t>Remboursement du capital des avances remboursables,
comptes courants, OC, prêts participatifs et emprunts</t>
  </si>
  <si>
    <t>Durée/mois :</t>
  </si>
  <si>
    <t>I - Compte de résultat</t>
  </si>
  <si>
    <t>II - Structure financière</t>
  </si>
  <si>
    <t>Revenus financiers attendus</t>
  </si>
  <si>
    <t>Social</t>
  </si>
  <si>
    <t>Taux de rentabilité</t>
  </si>
  <si>
    <t>Commentaire sur l'évolution du BFR d'exploitation</t>
  </si>
  <si>
    <t xml:space="preserve"> Dégagement en fonds de roulement</t>
  </si>
  <si>
    <t xml:space="preserve"> Capacité d'autofinancement (CAF &gt; 0)</t>
  </si>
  <si>
    <t xml:space="preserve"> Apports en capital</t>
  </si>
  <si>
    <t xml:space="preserve"> Apport en compte courant bloqué</t>
  </si>
  <si>
    <t xml:space="preserve"> Fonds empruntés</t>
  </si>
  <si>
    <t xml:space="preserve"> Subvention d'investissement</t>
  </si>
  <si>
    <t xml:space="preserve"> Cession d'actifs</t>
  </si>
  <si>
    <t xml:space="preserve"> Total des besoins de financement</t>
  </si>
  <si>
    <t>RESSOURCES  FINANCIERES</t>
  </si>
  <si>
    <t xml:space="preserve"> Total des ressources financières</t>
  </si>
  <si>
    <t xml:space="preserve"> Trésorerie nette cumulée</t>
  </si>
  <si>
    <t>Trésorerie nette cumulée</t>
  </si>
  <si>
    <t xml:space="preserve"> Investissements</t>
  </si>
  <si>
    <t xml:space="preserve"> Reconstitution de fonds de roulement</t>
  </si>
  <si>
    <t xml:space="preserve"> Besoin en fonds de roulement</t>
  </si>
  <si>
    <t xml:space="preserve"> Autofinancement négatif (CAF &lt; 0)</t>
  </si>
  <si>
    <t xml:space="preserve"> Remboursements des avances et emprunts</t>
  </si>
  <si>
    <t xml:space="preserve"> Dividendes</t>
  </si>
  <si>
    <t>Frais de constitution ou frais d'augmentation de capital</t>
  </si>
  <si>
    <r>
      <t>1</t>
    </r>
    <r>
      <rPr>
        <b/>
        <vertAlign val="superscript"/>
        <sz val="10"/>
        <color theme="0"/>
        <rFont val="Calibri"/>
        <family val="2"/>
        <scheme val="minor"/>
      </rPr>
      <t>ère</t>
    </r>
    <r>
      <rPr>
        <b/>
        <sz val="10"/>
        <color theme="0"/>
        <rFont val="Calibri"/>
        <family val="2"/>
        <scheme val="minor"/>
      </rPr>
      <t xml:space="preserve"> année</t>
    </r>
  </si>
  <si>
    <r>
      <t>2</t>
    </r>
    <r>
      <rPr>
        <b/>
        <vertAlign val="superscript"/>
        <sz val="10"/>
        <color theme="0"/>
        <rFont val="Calibri"/>
        <family val="2"/>
        <scheme val="minor"/>
      </rPr>
      <t>ème</t>
    </r>
    <r>
      <rPr>
        <b/>
        <sz val="10"/>
        <color theme="0"/>
        <rFont val="Calibri"/>
        <family val="2"/>
        <scheme val="minor"/>
      </rPr>
      <t xml:space="preserve"> année</t>
    </r>
  </si>
  <si>
    <r>
      <t>3</t>
    </r>
    <r>
      <rPr>
        <b/>
        <vertAlign val="superscript"/>
        <sz val="10"/>
        <color theme="0"/>
        <rFont val="Calibri"/>
        <family val="2"/>
        <scheme val="minor"/>
      </rPr>
      <t>ème</t>
    </r>
    <r>
      <rPr>
        <b/>
        <sz val="10"/>
        <color theme="0"/>
        <rFont val="Calibri"/>
        <family val="2"/>
        <scheme val="minor"/>
      </rPr>
      <t xml:space="preserve"> année</t>
    </r>
  </si>
  <si>
    <r>
      <t xml:space="preserve">Autres achats et charges externes 
</t>
    </r>
    <r>
      <rPr>
        <sz val="8"/>
        <color indexed="32"/>
        <rFont val="Calibri"/>
        <family val="2"/>
      </rPr>
      <t>(hors sous-traitance de prod. et transports/achats</t>
    </r>
    <r>
      <rPr>
        <sz val="10"/>
        <color indexed="32"/>
        <rFont val="Calibri"/>
        <family val="2"/>
      </rPr>
      <t>)</t>
    </r>
  </si>
  <si>
    <t>Contrôle trésorerie</t>
  </si>
  <si>
    <t>Endettement financier LMT hors CB</t>
  </si>
  <si>
    <t>S Endettement fi.</t>
  </si>
  <si>
    <t>Stocks et créances d'exploitation</t>
  </si>
  <si>
    <t xml:space="preserve"> Capitalisation des CC d'associés</t>
  </si>
  <si>
    <t xml:space="preserve"> Remboursement/plan d'apurement passif</t>
  </si>
  <si>
    <t>Fréquence/durée</t>
  </si>
  <si>
    <t>Prix de 
cession</t>
  </si>
  <si>
    <t>2056 TN</t>
  </si>
  <si>
    <t>2056 UK</t>
  </si>
  <si>
    <t>2053 HA</t>
  </si>
  <si>
    <t>2053 HB</t>
  </si>
  <si>
    <t>2053 HC-2056 UK</t>
  </si>
  <si>
    <t>2052 GM-2056 UH</t>
  </si>
  <si>
    <t>- dont reprise sur amortissements dérogatoires</t>
  </si>
  <si>
    <t>- dont dotation aux amortissements dérogatoires</t>
  </si>
  <si>
    <t>- dont provisions d'exploitation sur immobilisations</t>
  </si>
  <si>
    <t>2052 GB</t>
  </si>
  <si>
    <t>Dotation aux provisions d'exploitation sur immobilisations</t>
  </si>
  <si>
    <r>
      <rPr>
        <b/>
        <i/>
        <sz val="10"/>
        <color rgb="FF002060"/>
        <rFont val="Calibri"/>
        <family val="2"/>
      </rPr>
      <t>Approche de calcul du</t>
    </r>
    <r>
      <rPr>
        <b/>
        <i/>
        <sz val="10"/>
        <color theme="9" tint="-0.24994659260841701"/>
        <rFont val="Calibri"/>
        <family val="2"/>
      </rPr>
      <t xml:space="preserve"> BFR global moyen </t>
    </r>
    <r>
      <rPr>
        <b/>
        <i/>
        <sz val="10"/>
        <color rgb="FF002060"/>
        <rFont val="Calibri"/>
        <family val="2"/>
      </rPr>
      <t xml:space="preserve">ou du </t>
    </r>
    <r>
      <rPr>
        <b/>
        <i/>
        <sz val="10"/>
        <color rgb="FF0066CC"/>
        <rFont val="Calibri"/>
        <family val="2"/>
      </rPr>
      <t>DFR</t>
    </r>
    <r>
      <rPr>
        <b/>
        <i/>
        <sz val="10"/>
        <color theme="9" tint="-0.24994659260841701"/>
        <rFont val="Calibri"/>
        <family val="2"/>
      </rPr>
      <t xml:space="preserve"> </t>
    </r>
    <r>
      <rPr>
        <b/>
        <i/>
        <sz val="10"/>
        <color rgb="FF0066CC"/>
        <rFont val="Calibri"/>
        <family val="2"/>
      </rPr>
      <t>global moyen</t>
    </r>
  </si>
  <si>
    <t>Avec le niveau des charges  de structure que vous avez défini, c'est-à-dire le montant des charges fixes, vous pouvez mesurer
l'incidence d'un chiffre d'affaires inférieur aux prévisions sur le niveau de votre résultat et de la capacité d'autofinancement.</t>
  </si>
  <si>
    <t>(exemple : si je ne réalise que 50% des ventes prévues, quel sera le résultat final ? Le niveau de la trésorerie)</t>
  </si>
  <si>
    <t>Indicateurs</t>
  </si>
  <si>
    <t>Marge brute</t>
  </si>
  <si>
    <t>Autres charges variables</t>
  </si>
  <si>
    <t>Charges fixes totales</t>
  </si>
  <si>
    <t xml:space="preserve">Résultat courant avant impôts   </t>
  </si>
  <si>
    <t>Impôt sur bénéfice</t>
  </si>
  <si>
    <t>CA critique - Point mort</t>
  </si>
  <si>
    <t>Fonds de Roulement</t>
  </si>
  <si>
    <t>Besoin ou dégagement en F.R.</t>
  </si>
  <si>
    <t>Taux de couverture FR/BFR</t>
  </si>
  <si>
    <t>Critères</t>
  </si>
  <si>
    <t>Affacturage</t>
  </si>
  <si>
    <r>
      <t xml:space="preserve">Solde intermédiaire  (Besoins - </t>
    </r>
    <r>
      <rPr>
        <b/>
        <i/>
        <sz val="10.5"/>
        <color rgb="FF0000FF"/>
        <rFont val="Calibri"/>
        <family val="2"/>
      </rPr>
      <t>Ressources</t>
    </r>
    <r>
      <rPr>
        <b/>
        <i/>
        <sz val="10.5"/>
        <rFont val="Calibri"/>
        <family val="2"/>
      </rPr>
      <t>)</t>
    </r>
  </si>
  <si>
    <t>Quote-part de la CAF consacrée 
au remboursement des emprunts</t>
  </si>
  <si>
    <t>Trésorerie</t>
  </si>
  <si>
    <t>Endettement net possible</t>
  </si>
  <si>
    <t xml:space="preserve">Nouveau capital social </t>
  </si>
  <si>
    <t>Taux de 
rémunération 
ou TRI</t>
  </si>
  <si>
    <t>Cession</t>
  </si>
  <si>
    <t>dividende</t>
  </si>
  <si>
    <r>
      <t xml:space="preserve">B E S O I N S  D E  F I N A N C E M E N T S   /   </t>
    </r>
    <r>
      <rPr>
        <b/>
        <i/>
        <sz val="12"/>
        <color rgb="FF99CC00"/>
        <rFont val="Calibri"/>
        <family val="2"/>
      </rPr>
      <t>F I N A N T Z A K E T A  B E H A R R I Z A N A K</t>
    </r>
  </si>
  <si>
    <r>
      <t xml:space="preserve">R E S S O U R C E S  F I N A N C I E R E S   / </t>
    </r>
    <r>
      <rPr>
        <b/>
        <sz val="12"/>
        <color rgb="FF99CC00"/>
        <rFont val="Calibri"/>
        <family val="2"/>
      </rPr>
      <t xml:space="preserve"> </t>
    </r>
    <r>
      <rPr>
        <b/>
        <i/>
        <sz val="12"/>
        <color rgb="FF99CC00"/>
        <rFont val="Calibri"/>
        <family val="2"/>
      </rPr>
      <t>F I N A N T Z A B I D E A K</t>
    </r>
  </si>
  <si>
    <t>En savoir + sur les obligations convertibles</t>
  </si>
  <si>
    <r>
      <t xml:space="preserve">II - Autres financements durables  -  </t>
    </r>
    <r>
      <rPr>
        <b/>
        <i/>
        <sz val="12"/>
        <color theme="6" tint="-0.24994659260841701"/>
        <rFont val="Calibri"/>
        <family val="2"/>
      </rPr>
      <t>Bertze baliabide irraunkorrak</t>
    </r>
  </si>
  <si>
    <r>
      <t xml:space="preserve">I - Financement par apports en capital  - </t>
    </r>
    <r>
      <rPr>
        <b/>
        <sz val="12"/>
        <color theme="6" tint="-0.24994659260841701"/>
        <rFont val="Calibri"/>
        <family val="2"/>
      </rPr>
      <t xml:space="preserve"> </t>
    </r>
    <r>
      <rPr>
        <b/>
        <i/>
        <sz val="12"/>
        <color theme="6" tint="-0.24994659260841701"/>
        <rFont val="Calibri"/>
        <family val="2"/>
      </rPr>
      <t>Kapital-ekarpenak</t>
    </r>
  </si>
  <si>
    <r>
      <t xml:space="preserve">P R O G R A M M E  D ’ I N V E S T I S S E M E N T S  /  </t>
    </r>
    <r>
      <rPr>
        <b/>
        <i/>
        <sz val="12"/>
        <color rgb="FF99CC00"/>
        <rFont val="Calibri"/>
        <family val="2"/>
      </rPr>
      <t>I N B E R T S I O  E G I T A R A U A</t>
    </r>
  </si>
  <si>
    <r>
      <t xml:space="preserve">S Y N T H E S E  D E  L’ E X P L O I T A T I O N  /  </t>
    </r>
    <r>
      <rPr>
        <b/>
        <i/>
        <sz val="12"/>
        <color rgb="FF99CC00"/>
        <rFont val="Calibri"/>
        <family val="2"/>
      </rPr>
      <t>U S T I A P E N - B I L D U M A</t>
    </r>
  </si>
  <si>
    <r>
      <t xml:space="preserve">A N A L Y S E  DU  C O M P T E  D E  R E S U L T A T  /  </t>
    </r>
    <r>
      <rPr>
        <b/>
        <i/>
        <sz val="12"/>
        <color rgb="FF99CC00"/>
        <rFont val="Calibri"/>
        <family val="2"/>
      </rPr>
      <t xml:space="preserve">E M A I T Z E N  A Z T E R K E T A </t>
    </r>
  </si>
  <si>
    <r>
      <t xml:space="preserve">A N A L Y S E  D U  B I L A N  /  </t>
    </r>
    <r>
      <rPr>
        <b/>
        <i/>
        <sz val="12"/>
        <color rgb="FF99CC00"/>
        <rFont val="Calibri"/>
        <family val="2"/>
      </rPr>
      <t>B A L A N T Z E A R E N  A Z T E R K E T A</t>
    </r>
  </si>
  <si>
    <r>
      <t xml:space="preserve">I D E N T I F I C A T I O N   D E   L ' E N T R E P R I S E   /   </t>
    </r>
    <r>
      <rPr>
        <b/>
        <i/>
        <sz val="12"/>
        <color rgb="FF99CC00"/>
        <rFont val="Calibri"/>
        <family val="2"/>
      </rPr>
      <t>L A N T E G I A R E N   N O R T A S U N A</t>
    </r>
    <r>
      <rPr>
        <b/>
        <sz val="12"/>
        <color indexed="9"/>
        <rFont val="Calibri"/>
        <family val="2"/>
      </rPr>
      <t xml:space="preserve">  </t>
    </r>
  </si>
  <si>
    <r>
      <t xml:space="preserve">P R O J E T   D E   R A C H A T   O U   D E   R E P R I S E    D ' E N T R E P R I S E    /   </t>
    </r>
    <r>
      <rPr>
        <b/>
        <i/>
        <sz val="12"/>
        <color rgb="FF99CC00"/>
        <rFont val="Calibri"/>
        <family val="2"/>
      </rPr>
      <t>L A N T E G I   E S K U R A P E N   E G I T A S M O A</t>
    </r>
  </si>
  <si>
    <r>
      <t xml:space="preserve">N A T U R E   D U   P R O J E T  /  </t>
    </r>
    <r>
      <rPr>
        <b/>
        <i/>
        <sz val="12"/>
        <color rgb="FF99CC00"/>
        <rFont val="Calibri"/>
        <family val="2"/>
      </rPr>
      <t>E G I T A S M O A R E N    I Z A E R A</t>
    </r>
  </si>
  <si>
    <r>
      <t xml:space="preserve">D O S S I E R  D E  F I N A N C E M E N T   /   </t>
    </r>
    <r>
      <rPr>
        <b/>
        <i/>
        <sz val="18"/>
        <color rgb="FF99CC00"/>
        <rFont val="Calibri"/>
        <family val="2"/>
      </rPr>
      <t xml:space="preserve">D I R U  L A G U N T Z A K O  A Z T E R G A I A K </t>
    </r>
  </si>
  <si>
    <r>
      <t xml:space="preserve">Avant-propos / </t>
    </r>
    <r>
      <rPr>
        <b/>
        <i/>
        <sz val="12"/>
        <color rgb="FF99CC00"/>
        <rFont val="Calibri"/>
        <family val="2"/>
      </rPr>
      <t>Aitzin solas</t>
    </r>
  </si>
  <si>
    <r>
      <t>Votre projet /</t>
    </r>
    <r>
      <rPr>
        <b/>
        <i/>
        <sz val="12"/>
        <color rgb="FF99CC00"/>
        <rFont val="Calibri"/>
        <family val="2"/>
      </rPr>
      <t xml:space="preserve"> zure egitasmoa</t>
    </r>
  </si>
  <si>
    <r>
      <t xml:space="preserve">I - Votre dossier concerne un projet de développement  /  </t>
    </r>
    <r>
      <rPr>
        <b/>
        <i/>
        <sz val="13"/>
        <color rgb="FF99CC00"/>
        <rFont val="Calibri"/>
        <family val="2"/>
      </rPr>
      <t>Garapen egitasmoa</t>
    </r>
    <r>
      <rPr>
        <b/>
        <sz val="13"/>
        <color indexed="9"/>
        <rFont val="Calibri"/>
        <family val="2"/>
      </rPr>
      <t xml:space="preserve"> </t>
    </r>
  </si>
  <si>
    <r>
      <t xml:space="preserve">II - Votre dossier concerne un projet de restructuration financière  / </t>
    </r>
    <r>
      <rPr>
        <b/>
        <i/>
        <sz val="13"/>
        <color rgb="FF99CC00"/>
        <rFont val="Calibri"/>
        <family val="2"/>
      </rPr>
      <t>Berregituratze egitasmoa</t>
    </r>
  </si>
  <si>
    <r>
      <t xml:space="preserve">III - Votre dossier concerne un projet de rachat ou de reprise d'entreprise  /  </t>
    </r>
    <r>
      <rPr>
        <b/>
        <i/>
        <sz val="13"/>
        <color rgb="FF99CC00"/>
        <rFont val="Calibri"/>
        <family val="2"/>
      </rPr>
      <t>Lantegi eskurapen asmoa</t>
    </r>
  </si>
  <si>
    <r>
      <t xml:space="preserve">1  -  Présentation de l'entreprise  / </t>
    </r>
    <r>
      <rPr>
        <b/>
        <i/>
        <sz val="13"/>
        <color rgb="FF99CC00"/>
        <rFont val="Calibri"/>
        <family val="2"/>
      </rPr>
      <t xml:space="preserve"> Lantegiaren aurkezpen</t>
    </r>
  </si>
  <si>
    <r>
      <t xml:space="preserve">2  -  Présentation du dirigeant  /  </t>
    </r>
    <r>
      <rPr>
        <b/>
        <i/>
        <sz val="13"/>
        <color rgb="FF99CC00"/>
        <rFont val="Calibri"/>
        <family val="2"/>
      </rPr>
      <t>Buruzagiaren aurkezpen</t>
    </r>
  </si>
  <si>
    <r>
      <t xml:space="preserve">Principales caractéristiques des produits et du marché  /  </t>
    </r>
    <r>
      <rPr>
        <b/>
        <i/>
        <sz val="13"/>
        <color rgb="FF99CC00"/>
        <rFont val="Calibri"/>
        <family val="2"/>
      </rPr>
      <t>Ekoizkin eta merkatuaren ezaugarri nagusiak</t>
    </r>
  </si>
  <si>
    <r>
      <t xml:space="preserve">Autres principales caractéristiques de l'entreprise  / </t>
    </r>
    <r>
      <rPr>
        <b/>
        <i/>
        <sz val="13"/>
        <color rgb="FF99CC00"/>
        <rFont val="Calibri"/>
        <family val="2"/>
      </rPr>
      <t xml:space="preserve"> Lantegiaren bertze ezaugarri nagusiak</t>
    </r>
  </si>
  <si>
    <r>
      <t xml:space="preserve">Présentation de l'entreprise  / </t>
    </r>
    <r>
      <rPr>
        <b/>
        <i/>
        <sz val="13"/>
        <color rgb="FF99CC00"/>
        <rFont val="Calibri"/>
        <family val="2"/>
      </rPr>
      <t xml:space="preserve"> Lantegiaren aurkezpen</t>
    </r>
  </si>
  <si>
    <r>
      <t xml:space="preserve">Modalités de la transmission  /  </t>
    </r>
    <r>
      <rPr>
        <b/>
        <i/>
        <sz val="13"/>
        <color rgb="FF99CC00"/>
        <rFont val="Calibri"/>
        <family val="2"/>
      </rPr>
      <t>Eskualdatze erak</t>
    </r>
  </si>
  <si>
    <t>N-1</t>
  </si>
  <si>
    <t>N-2</t>
  </si>
  <si>
    <t>N-3</t>
  </si>
  <si>
    <t>Dividendes 
de la sociéte cible</t>
  </si>
  <si>
    <t>Résultat courant avant impôt</t>
  </si>
  <si>
    <r>
      <t xml:space="preserve">Documents à fournir / </t>
    </r>
    <r>
      <rPr>
        <b/>
        <i/>
        <sz val="12"/>
        <color rgb="FF99CC00"/>
        <rFont val="Calibri"/>
        <family val="2"/>
      </rPr>
      <t>Agiri baliagarriak</t>
    </r>
  </si>
  <si>
    <t>Le rachat est-il réalisé par une société holding ?</t>
  </si>
  <si>
    <t>Taux d'évolution du chiffre d'affaires</t>
  </si>
  <si>
    <t>Prévu</t>
  </si>
  <si>
    <t xml:space="preserve"> &lt;- Révisé</t>
  </si>
  <si>
    <t>-&gt; Ecart</t>
  </si>
  <si>
    <r>
      <t xml:space="preserve">Définition du  marché / </t>
    </r>
    <r>
      <rPr>
        <b/>
        <i/>
        <sz val="12"/>
        <color theme="6" tint="-0.24994659260841701"/>
        <rFont val="Calibri"/>
        <family val="2"/>
      </rPr>
      <t>merkatuaren itxura</t>
    </r>
  </si>
  <si>
    <r>
      <t xml:space="preserve">Localisation du marché / </t>
    </r>
    <r>
      <rPr>
        <b/>
        <i/>
        <sz val="12"/>
        <color theme="6" tint="-0.24994659260841701"/>
        <rFont val="Calibri"/>
        <family val="2"/>
      </rPr>
      <t>merkatuaren kokapena</t>
    </r>
  </si>
  <si>
    <r>
      <t xml:space="preserve">Répartition des ventes par type de clientèle / </t>
    </r>
    <r>
      <rPr>
        <b/>
        <i/>
        <sz val="12"/>
        <color theme="6" tint="-0.24994659260841701"/>
        <rFont val="Calibri"/>
        <family val="2"/>
      </rPr>
      <t>Salmenten banaketa bezero ezberdinen arabera</t>
    </r>
  </si>
  <si>
    <r>
      <t xml:space="preserve">Caractéristiques générales et perspectives d'évolution 
</t>
    </r>
    <r>
      <rPr>
        <b/>
        <i/>
        <sz val="12"/>
        <color theme="6" tint="-0.24994659260841701"/>
        <rFont val="Calibri"/>
        <family val="2"/>
      </rPr>
      <t>Ezaugarri orokorrak eta bilakaeraren mentura</t>
    </r>
  </si>
  <si>
    <r>
      <t xml:space="preserve">Caractéristiques de l'offre / </t>
    </r>
    <r>
      <rPr>
        <b/>
        <i/>
        <sz val="12"/>
        <color theme="6" tint="-0.24994659260841701"/>
        <rFont val="Calibri"/>
        <family val="2"/>
      </rPr>
      <t>Eskaintzaren ezaugarriak</t>
    </r>
  </si>
  <si>
    <r>
      <t xml:space="preserve">Principaux concurrents / </t>
    </r>
    <r>
      <rPr>
        <b/>
        <i/>
        <sz val="12"/>
        <color theme="6" tint="-0.24994659260841701"/>
        <rFont val="Calibri"/>
        <family val="2"/>
      </rPr>
      <t>lehiakari nagusiak</t>
    </r>
  </si>
  <si>
    <r>
      <t xml:space="preserve">Présentation du repreneur (si plusieurs repreneurs)  /  </t>
    </r>
    <r>
      <rPr>
        <b/>
        <i/>
        <sz val="13"/>
        <color rgb="FF99CC00"/>
        <rFont val="Calibri"/>
        <family val="2"/>
      </rPr>
      <t>Lantegi buruaren aurkezpen (bat baino gehiago kasuan)</t>
    </r>
  </si>
  <si>
    <r>
      <t xml:space="preserve">Présentation du repreneur  /  </t>
    </r>
    <r>
      <rPr>
        <b/>
        <i/>
        <sz val="13"/>
        <color rgb="FF99CC00"/>
        <rFont val="Calibri"/>
        <family val="2"/>
      </rPr>
      <t>Lantegi buruaren aurkezpen</t>
    </r>
  </si>
  <si>
    <r>
      <t xml:space="preserve">P L A N  D E  F I N A N C E M E N T  /  </t>
    </r>
    <r>
      <rPr>
        <b/>
        <i/>
        <sz val="12"/>
        <color rgb="FF99CC00"/>
        <rFont val="Calibri"/>
        <family val="2"/>
      </rPr>
      <t>F I N A N T Z A M E N D U   E G I T A S M O A</t>
    </r>
    <r>
      <rPr>
        <b/>
        <i/>
        <sz val="12"/>
        <color rgb="FF00FF00"/>
        <rFont val="Calibri"/>
        <family val="2"/>
      </rPr>
      <t xml:space="preserve">  </t>
    </r>
    <r>
      <rPr>
        <b/>
        <i/>
        <sz val="12"/>
        <color indexed="9"/>
        <rFont val="Calibri"/>
        <family val="2"/>
      </rPr>
      <t xml:space="preserve"> </t>
    </r>
  </si>
  <si>
    <r>
      <t xml:space="preserve">S Y N T H E S E  S T R U C T U R E   F I N A N C I E R E  /  </t>
    </r>
    <r>
      <rPr>
        <b/>
        <i/>
        <sz val="11.6"/>
        <color rgb="FF99CC00"/>
        <rFont val="Calibri"/>
        <family val="2"/>
        <scheme val="minor"/>
      </rPr>
      <t>F I N A N T Z A - E G I T U R A R E N  B I L D U M A</t>
    </r>
  </si>
  <si>
    <t>Voir tableau de remboursement</t>
  </si>
  <si>
    <t>RECAPITULATIF</t>
  </si>
  <si>
    <t xml:space="preserve"> EMPRUNT n°1</t>
  </si>
  <si>
    <t xml:space="preserve"> EMPRUNT n°2</t>
  </si>
  <si>
    <t xml:space="preserve"> EMPRUNT n°3</t>
  </si>
  <si>
    <t xml:space="preserve"> EMPRUNT n°4</t>
  </si>
  <si>
    <t xml:space="preserve"> EMPRUNT n°5</t>
  </si>
  <si>
    <t>Emprunt 1</t>
  </si>
  <si>
    <t xml:space="preserve">Emprunt 2 </t>
  </si>
  <si>
    <t xml:space="preserve">Emprunt 3 </t>
  </si>
  <si>
    <t>Emprunt 4</t>
  </si>
  <si>
    <t>Emprunt 5</t>
  </si>
  <si>
    <t>Caractéristiques</t>
  </si>
  <si>
    <t xml:space="preserve"> Taux intérêt + assurance</t>
  </si>
  <si>
    <t>Coût</t>
  </si>
  <si>
    <t xml:space="preserve"> Mois de différé d'amort.</t>
  </si>
  <si>
    <t>Périodicité de remboursement</t>
  </si>
  <si>
    <t>trimestriel</t>
  </si>
  <si>
    <t>année</t>
  </si>
  <si>
    <t>Annuités</t>
  </si>
  <si>
    <t>intérêts</t>
  </si>
  <si>
    <t>capital</t>
  </si>
  <si>
    <t>Restant dû</t>
  </si>
  <si>
    <t>2 - Tableau de remboursement</t>
  </si>
  <si>
    <t>Interêts</t>
  </si>
  <si>
    <r>
      <t xml:space="preserve">III - Concours bancaires à court terme -  </t>
    </r>
    <r>
      <rPr>
        <b/>
        <i/>
        <sz val="12"/>
        <color theme="6" tint="-0.24994659260841701"/>
        <rFont val="Calibri"/>
        <family val="2"/>
      </rPr>
      <t>Epe laburreko kredituak</t>
    </r>
  </si>
  <si>
    <t>Valorisation du fonds de commerce</t>
  </si>
  <si>
    <t>I - Eléments incorporels</t>
  </si>
  <si>
    <t>II - Eléments corporels</t>
  </si>
  <si>
    <t>Total I</t>
  </si>
  <si>
    <t>Total II</t>
  </si>
  <si>
    <t xml:space="preserve"> Clientèle</t>
  </si>
  <si>
    <t xml:space="preserve"> Nom commercial</t>
  </si>
  <si>
    <t xml:space="preserve"> Droit au bail</t>
  </si>
  <si>
    <t xml:space="preserve"> Brevets</t>
  </si>
  <si>
    <t xml:space="preserve"> Licences</t>
  </si>
  <si>
    <t xml:space="preserve"> Concession</t>
  </si>
  <si>
    <t xml:space="preserve"> Franchise</t>
  </si>
  <si>
    <t xml:space="preserve"> Agencements</t>
  </si>
  <si>
    <t xml:space="preserve"> Matériel technique</t>
  </si>
  <si>
    <t xml:space="preserve"> Outillage</t>
  </si>
  <si>
    <t xml:space="preserve"> Matériel de transport</t>
  </si>
  <si>
    <t xml:space="preserve"> Matériel de bureau</t>
  </si>
  <si>
    <t xml:space="preserve"> Mobilier de bureau</t>
  </si>
  <si>
    <t>Agencements (reprise de fonds de commerce)</t>
  </si>
  <si>
    <t>Mat. de transport (reprise de fonds de commerce)</t>
  </si>
  <si>
    <t>Mat.-mob. de bureau (reprise fonds de commerce)</t>
  </si>
  <si>
    <t>Avez-vous prévu une clause de non-concurrence de la part du cédant ?</t>
  </si>
  <si>
    <t>Critère retenu</t>
  </si>
  <si>
    <t xml:space="preserve"> Autre à préciser</t>
  </si>
  <si>
    <t>2 - Dans le cas d'un rachat de titres de capital</t>
  </si>
  <si>
    <r>
      <t xml:space="preserve">Historique - faits marquants / </t>
    </r>
    <r>
      <rPr>
        <b/>
        <i/>
        <sz val="12"/>
        <color theme="6" tint="-0.24994659260841701"/>
        <rFont val="Calibri"/>
        <family val="2"/>
      </rPr>
      <t>Historiko eta gertakari nagusiak</t>
    </r>
    <r>
      <rPr>
        <b/>
        <sz val="12"/>
        <color indexed="32"/>
        <rFont val="Calibri"/>
        <family val="2"/>
      </rPr>
      <t xml:space="preserve"> : </t>
    </r>
  </si>
  <si>
    <r>
      <t xml:space="preserve">Contacts (clients/prospects) en cours / </t>
    </r>
    <r>
      <rPr>
        <b/>
        <i/>
        <sz val="12"/>
        <color theme="6" tint="-0.249977111117893"/>
        <rFont val="Calibri"/>
        <family val="2"/>
      </rPr>
      <t>Eroslegaiekin harremanak</t>
    </r>
  </si>
  <si>
    <r>
      <t>Portefeuille de commandes /</t>
    </r>
    <r>
      <rPr>
        <b/>
        <i/>
        <sz val="12"/>
        <color theme="6" tint="-0.24994659260841701"/>
        <rFont val="Calibri"/>
        <family val="2"/>
      </rPr>
      <t xml:space="preserve"> Eskabide-kartera</t>
    </r>
  </si>
  <si>
    <t>Elgarrekin, Euskal Herriko ekonomia eta enplegua gara dezagun</t>
  </si>
  <si>
    <t>Tableaux d'emprunts</t>
  </si>
  <si>
    <t>Simulations</t>
  </si>
  <si>
    <t>Synthèse exploitation</t>
  </si>
  <si>
    <t>structure financière</t>
  </si>
  <si>
    <t>Synthèse</t>
  </si>
  <si>
    <t>Voir tableaux d'emprunts</t>
  </si>
  <si>
    <t>tableaux d'emprunts</t>
  </si>
  <si>
    <r>
      <t xml:space="preserve">R E S S O U R C E S  F I N A N C I E R E S   /  </t>
    </r>
    <r>
      <rPr>
        <b/>
        <i/>
        <sz val="12"/>
        <color rgb="FF99CC00"/>
        <rFont val="Calibri"/>
        <family val="2"/>
      </rPr>
      <t>F I N A N T Z A B I D E A K</t>
    </r>
  </si>
  <si>
    <t>Exercices :</t>
  </si>
  <si>
    <t>Capital restant dû sur crédit-bail mobilier</t>
  </si>
  <si>
    <t>Capital restant dû sur crédit-bail immobilier</t>
  </si>
  <si>
    <t>Total des redevances de crédit-bail restant à payer</t>
  </si>
  <si>
    <t>Résulat exceptionnel</t>
  </si>
  <si>
    <r>
      <t>1</t>
    </r>
    <r>
      <rPr>
        <b/>
        <vertAlign val="superscript"/>
        <sz val="12"/>
        <color indexed="9"/>
        <rFont val="Calibri"/>
        <family val="2"/>
        <scheme val="minor"/>
      </rPr>
      <t>er</t>
    </r>
    <r>
      <rPr>
        <b/>
        <sz val="12"/>
        <color indexed="9"/>
        <rFont val="Calibri"/>
        <family val="2"/>
        <scheme val="minor"/>
      </rPr>
      <t xml:space="preserve"> exercice</t>
    </r>
  </si>
  <si>
    <r>
      <t>2</t>
    </r>
    <r>
      <rPr>
        <b/>
        <vertAlign val="superscript"/>
        <sz val="12"/>
        <color indexed="9"/>
        <rFont val="Calibri"/>
        <family val="2"/>
        <scheme val="minor"/>
      </rPr>
      <t>ème</t>
    </r>
    <r>
      <rPr>
        <b/>
        <sz val="12"/>
        <color indexed="9"/>
        <rFont val="Calibri"/>
        <family val="2"/>
        <scheme val="minor"/>
      </rPr>
      <t xml:space="preserve"> exercice</t>
    </r>
  </si>
  <si>
    <r>
      <t>3</t>
    </r>
    <r>
      <rPr>
        <b/>
        <vertAlign val="superscript"/>
        <sz val="12"/>
        <color indexed="9"/>
        <rFont val="Calibri"/>
        <family val="2"/>
        <scheme val="minor"/>
      </rPr>
      <t>ème</t>
    </r>
    <r>
      <rPr>
        <b/>
        <sz val="12"/>
        <color indexed="9"/>
        <rFont val="Calibri"/>
        <family val="2"/>
        <scheme val="minor"/>
      </rPr>
      <t xml:space="preserve"> exercice</t>
    </r>
  </si>
  <si>
    <t>Provisions nettes</t>
  </si>
  <si>
    <r>
      <t xml:space="preserve">Simulations chiffre d'affaires - résultat - trésorerie   /   </t>
    </r>
    <r>
      <rPr>
        <b/>
        <i/>
        <sz val="12"/>
        <color rgb="FF99CC00"/>
        <rFont val="Calibri"/>
        <family val="2"/>
        <scheme val="minor"/>
      </rPr>
      <t>Aurreikuspen desberdinak</t>
    </r>
  </si>
  <si>
    <r>
      <t xml:space="preserve">P R E V I S I O N  D E  R E S U L T A T  E T  B F R  /  </t>
    </r>
    <r>
      <rPr>
        <b/>
        <i/>
        <sz val="12"/>
        <color rgb="FF99CC00"/>
        <rFont val="Calibri"/>
        <family val="2"/>
      </rPr>
      <t>E M A I T Z E N  A U R R E I K U S P E N A</t>
    </r>
    <r>
      <rPr>
        <b/>
        <i/>
        <sz val="12"/>
        <color rgb="FF00FF99"/>
        <rFont val="Calibri"/>
        <family val="2"/>
      </rPr>
      <t xml:space="preserve"> </t>
    </r>
  </si>
  <si>
    <r>
      <rPr>
        <b/>
        <sz val="10.3"/>
        <color theme="9" tint="-0.24994659260841701"/>
        <rFont val="Calibri"/>
        <family val="2"/>
        <scheme val="minor"/>
      </rPr>
      <t xml:space="preserve">Besoin  en fonds de roulement global </t>
    </r>
    <r>
      <rPr>
        <b/>
        <sz val="10.3"/>
        <color rgb="FF0066CC"/>
        <rFont val="Calibri"/>
        <family val="2"/>
        <scheme val="minor"/>
      </rPr>
      <t/>
    </r>
  </si>
  <si>
    <r>
      <rPr>
        <b/>
        <sz val="10.3"/>
        <color rgb="FF0066CC"/>
        <rFont val="Calibri"/>
        <family val="2"/>
        <scheme val="minor"/>
      </rPr>
      <t xml:space="preserve">Dégagement de fonds de roulement global </t>
    </r>
    <r>
      <rPr>
        <b/>
        <sz val="10.3"/>
        <color rgb="FF002060"/>
        <rFont val="Calibri"/>
        <family val="2"/>
        <scheme val="minor"/>
      </rPr>
      <t xml:space="preserve"> </t>
    </r>
  </si>
  <si>
    <t>+ Disponibilités</t>
  </si>
  <si>
    <t>- Effets escomptés non échus</t>
  </si>
  <si>
    <t>- Créances affacturées</t>
  </si>
  <si>
    <t>- Emprunts et dettes bancaires à CT</t>
  </si>
  <si>
    <t xml:space="preserve">= Solde net de trésorerie (II)  </t>
  </si>
  <si>
    <t>- dont provisions exceptionnelles (dotation- reprise)</t>
  </si>
  <si>
    <t>total bilan révalué</t>
  </si>
  <si>
    <t xml:space="preserve"> Capital social</t>
  </si>
  <si>
    <t>Terme du contrat</t>
  </si>
  <si>
    <t>Contrat de location</t>
  </si>
  <si>
    <t>Cette holding a-t-elle été créée pour l'occasion ?</t>
  </si>
  <si>
    <t>Nom de la société d'exploiation</t>
  </si>
  <si>
    <t>Nom de la sté holding</t>
  </si>
  <si>
    <t>Dans le cas d'une location-gérance, montant de la redevance annuelle HT</t>
  </si>
  <si>
    <t>Nombre d'enfants à charge</t>
  </si>
  <si>
    <t>5 dernières 
années</t>
  </si>
  <si>
    <t>Fonction</t>
  </si>
  <si>
    <t>Si rachat de parts sociales, clause de garantie de passif prévue ?</t>
  </si>
  <si>
    <t>Garanties</t>
  </si>
  <si>
    <t>Redevance HT/an</t>
  </si>
  <si>
    <t xml:space="preserve">Forme : </t>
  </si>
  <si>
    <r>
      <t xml:space="preserve">Si le repreneur est une entreprise existante                                 </t>
    </r>
    <r>
      <rPr>
        <b/>
        <i/>
        <sz val="10.5"/>
        <color indexed="9"/>
        <rFont val="Calibri"/>
        <family val="2"/>
      </rPr>
      <t xml:space="preserve">Comment ce projet de rachat s'inscrit-il dans la stratégie et l'évolution de votre entreprise </t>
    </r>
    <r>
      <rPr>
        <b/>
        <sz val="10.5"/>
        <color indexed="9"/>
        <rFont val="Calibri"/>
        <family val="2"/>
      </rPr>
      <t>?</t>
    </r>
  </si>
  <si>
    <t>Combien</t>
  </si>
  <si>
    <t>Identité du propriétaire</t>
  </si>
  <si>
    <t>Informations complémentaires</t>
  </si>
  <si>
    <t>L'entreprise a-t-elle un ou plusieurs fournisseurs principaux, difficilse à remplacer</t>
  </si>
  <si>
    <r>
      <t xml:space="preserve">Cette rubrique n'est à renseigner que dans le cas d'un projet de </t>
    </r>
    <r>
      <rPr>
        <b/>
        <i/>
        <u/>
        <sz val="12"/>
        <color indexed="56"/>
        <rFont val="Calibri"/>
        <family val="2"/>
      </rPr>
      <t>développement ou de restructuration</t>
    </r>
    <r>
      <rPr>
        <i/>
        <sz val="12"/>
        <color indexed="56"/>
        <rFont val="Calibri"/>
        <family val="2"/>
      </rPr>
      <t xml:space="preserve"> de l'entreprise.</t>
    </r>
  </si>
  <si>
    <t>Rachat ou reprise</t>
  </si>
  <si>
    <r>
      <t xml:space="preserve">Description des produits ou des service proposés / </t>
    </r>
    <r>
      <rPr>
        <b/>
        <i/>
        <sz val="12"/>
        <color theme="6" tint="-0.24994659260841701"/>
        <rFont val="Calibri"/>
        <family val="2"/>
      </rPr>
      <t>ekoizkinen edo zerbitzuen agerbidea</t>
    </r>
  </si>
  <si>
    <r>
      <t xml:space="preserve">A renseigner uniquement dans le cas d'un rachat ou reprise d'entreprise / </t>
    </r>
    <r>
      <rPr>
        <b/>
        <i/>
        <sz val="12"/>
        <color theme="6" tint="-0.24994659260841701"/>
        <rFont val="Calibri"/>
        <family val="2"/>
      </rPr>
      <t>bakarrik argitzekoa lantegi eskurapen baten kasuan</t>
    </r>
  </si>
  <si>
    <t>La transmission de l'entreprise peut-elle menacer la relation avec les fournisseurs 
et/ou sous-traitants clés ?</t>
  </si>
  <si>
    <t>Si l'entreprise a des fournisseurs et/ou sous-traitants clés, est-il possible de les 
remplacer en cas de départ ?</t>
  </si>
  <si>
    <t>Le départ du dirigeant actuel peut-il déclencher le départ des collaborateurs clés ?</t>
  </si>
  <si>
    <t>Les contrats de travail des collaborateurs clés comprennent-ils une clause 
de non-concurrence ?</t>
  </si>
  <si>
    <t>Dépendance modérée</t>
  </si>
  <si>
    <t>Dans quelle mesure la clientèle dépend-elle 
d'un lien personnel avec le dirigeant actuel ?</t>
  </si>
  <si>
    <t>Une croissance de la clientèle est-elle possible ? (nouveau canal, export, etc.)</t>
  </si>
  <si>
    <t>Le bailleur peut-il s'opposer à la cession du bail ?</t>
  </si>
  <si>
    <t>Dépendance nulle</t>
  </si>
  <si>
    <t>Dépendance forte</t>
  </si>
  <si>
    <t>Pas de contrat</t>
  </si>
  <si>
    <t>contrats renégociables</t>
  </si>
  <si>
    <t>poursuite des contrats</t>
  </si>
  <si>
    <t>Rupture possible</t>
  </si>
  <si>
    <t>La transmission de l'entreprise peut-elle 
remettre en cause ses contrats de distribution ?</t>
  </si>
  <si>
    <t>Grille d'évaluation économique et financière du projet par le comité technique</t>
  </si>
  <si>
    <t>Nombre de participants</t>
  </si>
  <si>
    <t>I - Marché de l'entreprise</t>
  </si>
  <si>
    <t>Sans objet 
N/A</t>
  </si>
  <si>
    <t xml:space="preserve">Faible </t>
  </si>
  <si>
    <t xml:space="preserve">Moyen </t>
  </si>
  <si>
    <t xml:space="preserve">Fort </t>
  </si>
  <si>
    <t>Coefficient</t>
  </si>
  <si>
    <t>Note 
pondérée</t>
  </si>
  <si>
    <t>Evaluation</t>
  </si>
  <si>
    <t xml:space="preserve"> Degré de connaissance du marche visé</t>
  </si>
  <si>
    <t xml:space="preserve"> Potentiel de croissance de ce marché</t>
  </si>
  <si>
    <r>
      <t xml:space="preserve"> Accés aux clients 
 </t>
    </r>
    <r>
      <rPr>
        <sz val="9"/>
        <color rgb="FF002060"/>
        <rFont val="Calibri"/>
        <family val="2"/>
        <scheme val="minor"/>
      </rPr>
      <t>(facilement accessibles = point fort; difficilement accessibles = point faible)</t>
    </r>
  </si>
  <si>
    <t xml:space="preserve">Synthèse I - marché de l'entreprise </t>
  </si>
  <si>
    <t>II - Concurrence</t>
  </si>
  <si>
    <r>
      <t xml:space="preserve"> Intensité de la concurrence </t>
    </r>
    <r>
      <rPr>
        <sz val="9"/>
        <color rgb="FF002060"/>
        <rFont val="Calibri"/>
        <family val="2"/>
        <scheme val="minor"/>
      </rPr>
      <t>(faible = point fort ; forte - point faible)</t>
    </r>
  </si>
  <si>
    <r>
      <t xml:space="preserve"> Niveau de connaissance des principaux concurrents </t>
    </r>
    <r>
      <rPr>
        <sz val="9"/>
        <color rgb="FF002060"/>
        <rFont val="Calibri"/>
        <family val="2"/>
        <scheme val="minor"/>
      </rPr>
      <t>(forces-faiblesses)</t>
    </r>
  </si>
  <si>
    <r>
      <t xml:space="preserve"> Possibilité de se différencier des concurrents 
 </t>
    </r>
    <r>
      <rPr>
        <sz val="9"/>
        <color rgb="FF002060"/>
        <rFont val="Calibri"/>
        <family val="2"/>
        <scheme val="minor"/>
      </rPr>
      <t>(produit ou technologie innovants, savoir-faire, emplacement, distribution, etc.)</t>
    </r>
  </si>
  <si>
    <t>Synthèse II - Concurrence</t>
  </si>
  <si>
    <t>III - Données économiques et financières</t>
  </si>
  <si>
    <t xml:space="preserve"> Crédibilité des prévisions de chiffre d'affaires</t>
  </si>
  <si>
    <t xml:space="preserve"> Réalisme des prévisions financières</t>
  </si>
  <si>
    <t xml:space="preserve"> Adéquation des moyens d'exploitation (installations, équipements, matériels)</t>
  </si>
  <si>
    <t>Synthèse III - Données économiques et financières</t>
  </si>
  <si>
    <t>IV - Management et ressources humaines</t>
  </si>
  <si>
    <t xml:space="preserve"> Perspectives de création d'emploi</t>
  </si>
  <si>
    <t xml:space="preserve">Synthèse IV - Management et ressources humaines </t>
  </si>
  <si>
    <t>Note</t>
  </si>
  <si>
    <t xml:space="preserve"> Avis du comité technique</t>
  </si>
  <si>
    <t xml:space="preserve"> Marché de l'entreprise</t>
  </si>
  <si>
    <t xml:space="preserve"> Nombre d'avis favorables</t>
  </si>
  <si>
    <t xml:space="preserve"> Concurrence</t>
  </si>
  <si>
    <t xml:space="preserve"> Nombre d'avis défavorables</t>
  </si>
  <si>
    <t xml:space="preserve"> Données économiques et financières</t>
  </si>
  <si>
    <t xml:space="preserve"> Nombre de sans avis</t>
  </si>
  <si>
    <t xml:space="preserve"> Management et ressources humaines</t>
  </si>
  <si>
    <t>Moyenne :</t>
  </si>
  <si>
    <t xml:space="preserve"> Dividendes sur participation</t>
  </si>
  <si>
    <t xml:space="preserve"> Prix de cession</t>
  </si>
  <si>
    <t xml:space="preserve"> Revenus sur</t>
  </si>
  <si>
    <t xml:space="preserve"> Revenus sur O.C.</t>
  </si>
  <si>
    <t xml:space="preserve"> Revenus sur T.P.</t>
  </si>
  <si>
    <t>Restructuration financière</t>
  </si>
  <si>
    <t>Projet à financer :</t>
  </si>
  <si>
    <t>Grande distribution</t>
  </si>
  <si>
    <t>Entreprises industrielles</t>
  </si>
  <si>
    <t>Tpe-Pme-Pmi</t>
  </si>
  <si>
    <t>Part du capital détenue 
par le chef d'entreprise</t>
  </si>
  <si>
    <t>Négoce</t>
  </si>
  <si>
    <t>Service</t>
  </si>
  <si>
    <t>Artisanat</t>
  </si>
  <si>
    <t>Import/export</t>
  </si>
  <si>
    <t>Aéronautique</t>
  </si>
  <si>
    <t>Agro alimentaire</t>
  </si>
  <si>
    <t>Automobile</t>
  </si>
  <si>
    <t>Bâtiment - travaux publiques</t>
  </si>
  <si>
    <t>Bois/scierie/ameublement</t>
  </si>
  <si>
    <t>Chaudronnerie/métallurgie/tôlerie</t>
  </si>
  <si>
    <t>Chimie/parachimie</t>
  </si>
  <si>
    <t>Commerce de détail alimentaire</t>
  </si>
  <si>
    <t>Commerce de gros</t>
  </si>
  <si>
    <t>Communication</t>
  </si>
  <si>
    <t>Conseil/formation</t>
  </si>
  <si>
    <t>Edition/impression/reproduction</t>
  </si>
  <si>
    <t>Electricité/électronique</t>
  </si>
  <si>
    <t>Environnement</t>
  </si>
  <si>
    <t>Equipement industriel</t>
  </si>
  <si>
    <t>Hôtel/café/bar/restautant</t>
  </si>
  <si>
    <t>Industrie</t>
  </si>
  <si>
    <t>Informatique-bureautique</t>
  </si>
  <si>
    <t>Mécanique de précision</t>
  </si>
  <si>
    <t>Papier-carton/emballage</t>
  </si>
  <si>
    <t>Plastique/caoutchouc</t>
  </si>
  <si>
    <t>Santé</t>
  </si>
  <si>
    <t>Services aux particuliers</t>
  </si>
  <si>
    <t>Services aux entreprises</t>
  </si>
  <si>
    <t>Tabac-presse/librairie</t>
  </si>
  <si>
    <t>Textile/habillement</t>
  </si>
  <si>
    <t>Transports/logistique</t>
  </si>
  <si>
    <t>Secteur</t>
  </si>
  <si>
    <t>Activité  précise
exercée par l'entreprise</t>
  </si>
  <si>
    <t>Fabrication/production</t>
  </si>
  <si>
    <t>L’impact de l’entreprise sur l’environnement écologique est</t>
  </si>
  <si>
    <t>Année 1</t>
  </si>
  <si>
    <t>Année 2</t>
  </si>
  <si>
    <t>Année 3</t>
  </si>
  <si>
    <t>Quel est le niveau des salaires par rapport à la profession ?</t>
  </si>
  <si>
    <t>Existe-t-il un sytème d'intéressement aux résultats pour le personnel ?</t>
  </si>
  <si>
    <t>Pourcentage de la masse salariale consacrée à la formation continue</t>
  </si>
  <si>
    <t>Les salariés sont-ils associés au capital de l'entreprise (PEE, autre) ?</t>
  </si>
  <si>
    <r>
      <t xml:space="preserve">Les approvisionnements / </t>
    </r>
    <r>
      <rPr>
        <b/>
        <i/>
        <sz val="12"/>
        <color theme="6" tint="-0.24994659260841701"/>
        <rFont val="Calibri"/>
        <family val="2"/>
      </rPr>
      <t>Erosketak</t>
    </r>
  </si>
  <si>
    <r>
      <t xml:space="preserve">L'outil de production / </t>
    </r>
    <r>
      <rPr>
        <b/>
        <i/>
        <sz val="12"/>
        <color theme="6" tint="-0.24994659260841701"/>
        <rFont val="Calibri"/>
        <family val="2"/>
      </rPr>
      <t>Ekoizbideak</t>
    </r>
  </si>
  <si>
    <r>
      <t xml:space="preserve">Le personnel / </t>
    </r>
    <r>
      <rPr>
        <b/>
        <i/>
        <sz val="12"/>
        <color theme="6" tint="-0.24994659260841701"/>
        <rFont val="Calibri"/>
        <family val="2"/>
      </rPr>
      <t>Langileak</t>
    </r>
  </si>
  <si>
    <r>
      <t>L'outil de distribution /</t>
    </r>
    <r>
      <rPr>
        <b/>
        <i/>
        <sz val="12"/>
        <color theme="6" tint="-0.24994659260841701"/>
        <rFont val="Calibri"/>
        <family val="2"/>
      </rPr>
      <t xml:space="preserve"> Banaketa tresnak</t>
    </r>
  </si>
  <si>
    <r>
      <t xml:space="preserve">Lien de dépendance / </t>
    </r>
    <r>
      <rPr>
        <b/>
        <i/>
        <sz val="12"/>
        <color theme="6" tint="-0.24994659260841701"/>
        <rFont val="Calibri"/>
        <family val="2"/>
      </rPr>
      <t>Menpekotasun esteka</t>
    </r>
  </si>
  <si>
    <t>Pourcentage de la masse salariale consacrée à la formation continue ?</t>
  </si>
  <si>
    <t>Valorisation des ressource locales,transformation sur place</t>
  </si>
  <si>
    <t>L'entreprise est-elle engagée dans une démarche RSE</t>
  </si>
  <si>
    <t>L'entreprise n'a-t-elle qu'un seul établissement banquaire, si non combien</t>
  </si>
  <si>
    <t xml:space="preserve">  Nombre d'emplois créés et sauvegardés par le projet</t>
  </si>
  <si>
    <t xml:space="preserve">  Valorisation des ressource locales,transformation sur place</t>
  </si>
  <si>
    <t xml:space="preserve">  L’impact de l’entreprise sur l’environnement écologique est</t>
  </si>
  <si>
    <t xml:space="preserve">  L'entreprise est-elle engagée dans une démarche RSE</t>
  </si>
  <si>
    <r>
      <t xml:space="preserve">Politique sociale et environnementale / </t>
    </r>
    <r>
      <rPr>
        <b/>
        <i/>
        <sz val="12"/>
        <color theme="6" tint="-0.24994659260841701"/>
        <rFont val="Calibri"/>
        <family val="2"/>
      </rPr>
      <t>Ingurumen eta sozial kudeaketa</t>
    </r>
  </si>
  <si>
    <r>
      <t>Prix du loyer ramené au mètre</t>
    </r>
    <r>
      <rPr>
        <vertAlign val="superscript"/>
        <sz val="11"/>
        <color indexed="32"/>
        <rFont val="Calibri"/>
        <family val="2"/>
      </rPr>
      <t>2</t>
    </r>
  </si>
  <si>
    <r>
      <t>Prix  au mètre</t>
    </r>
    <r>
      <rPr>
        <vertAlign val="superscript"/>
        <sz val="11"/>
        <color indexed="32"/>
        <rFont val="Calibri"/>
        <family val="2"/>
      </rPr>
      <t>2</t>
    </r>
  </si>
  <si>
    <t xml:space="preserve"> Capacité, complémentarité, expérience et motivation de l'équipe dirigeante</t>
  </si>
  <si>
    <t>Loyer ou redevance annuel HT</t>
  </si>
  <si>
    <r>
      <t xml:space="preserve"> Niveau de qualification du personnel pour l'activité prévue 
 </t>
    </r>
    <r>
      <rPr>
        <sz val="9"/>
        <color rgb="FF002060"/>
        <rFont val="Calibri"/>
        <family val="2"/>
        <scheme val="minor"/>
      </rPr>
      <t>(compétence et savoir-faire)</t>
    </r>
  </si>
  <si>
    <t xml:space="preserve">Dénomination de la société : </t>
  </si>
  <si>
    <t xml:space="preserve">Dénomination  de la société : </t>
  </si>
  <si>
    <t>Autofinancement (hors remontée de trésorerie de la société cible)</t>
  </si>
  <si>
    <r>
      <t xml:space="preserve">Capacité d'autofinancement 
</t>
    </r>
    <r>
      <rPr>
        <i/>
        <sz val="10"/>
        <color indexed="9"/>
        <rFont val="Calibri"/>
        <family val="2"/>
      </rPr>
      <t>(hors remontée de trésorerie de la société cible)</t>
    </r>
  </si>
  <si>
    <t>Financement initial</t>
  </si>
  <si>
    <t>1ère année</t>
  </si>
  <si>
    <t>2ème 
année</t>
  </si>
  <si>
    <t>3ème 
année</t>
  </si>
  <si>
    <t>,</t>
  </si>
  <si>
    <t>N0</t>
  </si>
  <si>
    <t>N1</t>
  </si>
  <si>
    <t>N2</t>
  </si>
  <si>
    <t>N3</t>
  </si>
  <si>
    <t>Remontée de trésorerie excédentaire de la société cible</t>
  </si>
  <si>
    <t>En savoir plus sur les obligations convertibles</t>
  </si>
  <si>
    <t>Chiffres clés 
de la 
société cible</t>
  </si>
  <si>
    <t>Besoins de financement 
de la société cible</t>
  </si>
  <si>
    <t>Niveau de rique moyen</t>
  </si>
  <si>
    <t>Réalisé</t>
  </si>
  <si>
    <t>Données 
pondérées</t>
  </si>
  <si>
    <t>Prévisionnel</t>
  </si>
  <si>
    <t>Compte de résultat</t>
  </si>
  <si>
    <t>Méthode 
de 
l'actualisation</t>
  </si>
  <si>
    <t xml:space="preserve"> Chiffre 
 d'affaires</t>
  </si>
  <si>
    <r>
      <rPr>
        <b/>
        <i/>
        <sz val="10"/>
        <color rgb="FF00B050"/>
        <rFont val="Symbol"/>
        <family val="1"/>
        <charset val="2"/>
      </rPr>
      <t>D</t>
    </r>
    <r>
      <rPr>
        <b/>
        <i/>
        <sz val="10"/>
        <color rgb="FF00B050"/>
        <rFont val="Calibri"/>
        <family val="2"/>
        <scheme val="minor"/>
      </rPr>
      <t xml:space="preserve"> %</t>
    </r>
  </si>
  <si>
    <t>% CA</t>
  </si>
  <si>
    <t>II - Donnés financières</t>
  </si>
  <si>
    <t xml:space="preserve"> Dettes financières</t>
  </si>
  <si>
    <t xml:space="preserve"> Trésorerie nettte</t>
  </si>
  <si>
    <r>
      <t xml:space="preserve"> Actifs financiers </t>
    </r>
    <r>
      <rPr>
        <sz val="9"/>
        <color rgb="FF000066"/>
        <rFont val="Calibri"/>
        <family val="2"/>
      </rPr>
      <t>(participations, prêts, autres….)</t>
    </r>
  </si>
  <si>
    <t>à détailler</t>
  </si>
  <si>
    <t xml:space="preserve"> Actifs hors exploitation</t>
  </si>
  <si>
    <t xml:space="preserve"> Dettes hors exploitation </t>
  </si>
  <si>
    <t>III - Valorisation sur la base des performances actuelles</t>
  </si>
  <si>
    <t>III - Valorisation sur la base des performances futures</t>
  </si>
  <si>
    <t>Méthode de la pondération</t>
  </si>
  <si>
    <t>Pondération</t>
  </si>
  <si>
    <t>Actualisation</t>
  </si>
  <si>
    <t>V1</t>
  </si>
  <si>
    <t xml:space="preserve"> Coefficient multiplicateur</t>
  </si>
  <si>
    <t>V1'</t>
  </si>
  <si>
    <t xml:space="preserve"> Valorisation de l'entreprise</t>
  </si>
  <si>
    <t xml:space="preserve"> Valorisation des fonds propres</t>
  </si>
  <si>
    <t>V2</t>
  </si>
  <si>
    <t>V2'</t>
  </si>
  <si>
    <t>V3</t>
  </si>
  <si>
    <t>V3'</t>
  </si>
  <si>
    <t>V1
(CA)</t>
  </si>
  <si>
    <t>V2
(EBE)</t>
  </si>
  <si>
    <t>V3
(RN)</t>
  </si>
  <si>
    <t>V1'
(CA)</t>
  </si>
  <si>
    <t>V2'
(EBE)</t>
  </si>
  <si>
    <t>V3'
(RN)</t>
  </si>
  <si>
    <t xml:space="preserve"> EBE</t>
  </si>
  <si>
    <t xml:space="preserve"> Résultat 
 net</t>
  </si>
  <si>
    <t>I - Donnés économiques</t>
  </si>
  <si>
    <t>Hypothèses retenues</t>
  </si>
  <si>
    <t>basée 
sur le CA</t>
  </si>
  <si>
    <t>basée 
sur l'EBE</t>
  </si>
  <si>
    <t>Généralement compris entre 0,5 et 2</t>
  </si>
  <si>
    <t xml:space="preserve"> Valorisation retenue :</t>
  </si>
  <si>
    <r>
      <t xml:space="preserve"> Actifs financiers </t>
    </r>
    <r>
      <rPr>
        <sz val="9"/>
        <color rgb="FF000066"/>
        <rFont val="Calibri"/>
        <family val="2"/>
      </rPr>
      <t>(participations, prêts, autres)</t>
    </r>
  </si>
  <si>
    <t>Méthodes valorisation</t>
  </si>
  <si>
    <t>Généralement compris entre 4 et 8</t>
  </si>
  <si>
    <t>Généralement compris entre 7 et 14</t>
  </si>
  <si>
    <t xml:space="preserve"> Ajustement des élèments hors exploitation</t>
  </si>
  <si>
    <t>basée 
sur le RN</t>
  </si>
  <si>
    <t xml:space="preserve"> Ajustement des élèments 
 hors exploit.</t>
  </si>
  <si>
    <r>
      <t xml:space="preserve"> </t>
    </r>
    <r>
      <rPr>
        <i/>
        <sz val="10"/>
        <color rgb="FF0000CC"/>
        <rFont val="Symbol"/>
        <family val="1"/>
        <charset val="2"/>
      </rPr>
      <t>D</t>
    </r>
    <r>
      <rPr>
        <i/>
        <sz val="10"/>
        <color rgb="FF0000CC"/>
        <rFont val="Calibri"/>
        <family val="2"/>
        <scheme val="minor"/>
      </rPr>
      <t xml:space="preserve"> % du CA retenu</t>
    </r>
  </si>
  <si>
    <t xml:space="preserve"> = Chiffre d'affaires retenu</t>
  </si>
  <si>
    <r>
      <t xml:space="preserve"> Taux de marge retenu</t>
    </r>
    <r>
      <rPr>
        <sz val="10"/>
        <color rgb="FF0000CC"/>
        <rFont val="Calibri"/>
        <family val="2"/>
        <scheme val="minor"/>
      </rPr>
      <t/>
    </r>
  </si>
  <si>
    <t xml:space="preserve"> = Résultat net retenu</t>
  </si>
  <si>
    <t xml:space="preserve"> = EBE retenu</t>
  </si>
  <si>
    <t>Quote-part
cap propres</t>
  </si>
  <si>
    <t>Part du RN</t>
  </si>
  <si>
    <t>Invest. HK</t>
  </si>
  <si>
    <t>capitaux 
propres</t>
  </si>
  <si>
    <t>Quote-part du résultat de la société rachetée revenant à HK (hors dividende éventuel distribué à la holding)</t>
  </si>
  <si>
    <t>Quote-part du résultat et des capitaux propres de la holding revenant à Herrikoa (HK), si rachat par holding</t>
  </si>
  <si>
    <t>Quote-part du capital détenu :</t>
  </si>
  <si>
    <t>Holding :</t>
  </si>
  <si>
    <t>Cible :</t>
  </si>
  <si>
    <t>2. Evaluation de la rentabilité du projet</t>
  </si>
  <si>
    <r>
      <t xml:space="preserve"> </t>
    </r>
    <r>
      <rPr>
        <i/>
        <sz val="10"/>
        <color rgb="FF333399"/>
        <rFont val="Symbol"/>
        <family val="1"/>
        <charset val="2"/>
      </rPr>
      <t>D</t>
    </r>
    <r>
      <rPr>
        <i/>
        <sz val="10"/>
        <color rgb="FF333399"/>
        <rFont val="Calibri"/>
        <family val="2"/>
        <scheme val="minor"/>
      </rPr>
      <t>% du résultat net de la holding à partir de l'an 4</t>
    </r>
  </si>
  <si>
    <r>
      <t xml:space="preserve"> </t>
    </r>
    <r>
      <rPr>
        <i/>
        <sz val="10"/>
        <color rgb="FF333399"/>
        <rFont val="Symbol"/>
        <family val="1"/>
        <charset val="2"/>
      </rPr>
      <t>D</t>
    </r>
    <r>
      <rPr>
        <i/>
        <sz val="10"/>
        <color rgb="FF333399"/>
        <rFont val="Calibri"/>
        <family val="2"/>
        <scheme val="minor"/>
      </rPr>
      <t>% du résultat net de la société à partir de l'an 4</t>
    </r>
  </si>
  <si>
    <r>
      <t xml:space="preserve">C O M P T E   D E   R E S U L T A T 
</t>
    </r>
    <r>
      <rPr>
        <b/>
        <i/>
        <sz val="12"/>
        <color rgb="FF99CC00"/>
        <rFont val="Calibri"/>
        <family val="2"/>
      </rPr>
      <t>E M A I T Z E  K O N T U</t>
    </r>
  </si>
  <si>
    <r>
      <t xml:space="preserve">P L A N  D E  F I N A N C E M E N T  D E  L A  S O C I E T E  H O L D I N G  /  </t>
    </r>
    <r>
      <rPr>
        <b/>
        <i/>
        <sz val="12"/>
        <color rgb="FF99CC00"/>
        <rFont val="Calibri"/>
        <family val="2"/>
      </rPr>
      <t>H O L D I N A R E N  F I N A N T Z A M E N D U  E G I T A S M O A</t>
    </r>
    <r>
      <rPr>
        <b/>
        <sz val="12"/>
        <color indexed="9"/>
        <rFont val="Calibri"/>
        <family val="2"/>
      </rPr>
      <t xml:space="preserve">        </t>
    </r>
  </si>
  <si>
    <t>Résultat</t>
  </si>
  <si>
    <t>Analyse critique de l'équilibre financier du plan de financement</t>
  </si>
  <si>
    <t>Approche prudentielle 2 - Critères ex-OSEO</t>
  </si>
  <si>
    <t xml:space="preserve"> Montant maxi du prêt en années de capacité de remboursement</t>
  </si>
  <si>
    <t xml:space="preserve"> Montant du prêt égal à 50% de la cession =&gt; valeur attribuée à l'entreprise =</t>
  </si>
  <si>
    <t xml:space="preserve"> Capacité de remboursement en capital en % du résultat net</t>
  </si>
  <si>
    <t>Approche prudentielle 1 - Critères usuels bancaires</t>
  </si>
  <si>
    <t xml:space="preserve"> Résultat net moyen pondéré des 3 exercices prévisionnels de la société cible</t>
  </si>
  <si>
    <t>PER</t>
  </si>
  <si>
    <t>ROE</t>
  </si>
  <si>
    <t xml:space="preserve"> Dividende de la cible/résultat net moyen de la cible</t>
  </si>
  <si>
    <t xml:space="preserve"> Échéance maxi (80 % de la CAF de la cible)</t>
  </si>
  <si>
    <t xml:space="preserve"> Endettement consolidé maxi (cible + holding) / CAF </t>
  </si>
  <si>
    <t>annuel</t>
  </si>
  <si>
    <t>Parties réservées à Herrikoa</t>
  </si>
  <si>
    <t>Valorisation</t>
  </si>
  <si>
    <r>
      <t xml:space="preserve">Si </t>
    </r>
    <r>
      <rPr>
        <b/>
        <u/>
        <sz val="11"/>
        <color indexed="32"/>
        <rFont val="Calibri"/>
        <family val="2"/>
      </rPr>
      <t>non</t>
    </r>
    <r>
      <rPr>
        <sz val="11"/>
        <color indexed="32"/>
        <rFont val="Calibri"/>
        <family val="2"/>
      </rPr>
      <t>, date de création de la société holding</t>
    </r>
  </si>
  <si>
    <t>Activité principale 
exercée par l'entreprise :</t>
  </si>
  <si>
    <r>
      <t xml:space="preserve">I - Compte de résultat prévisionnel  -  </t>
    </r>
    <r>
      <rPr>
        <b/>
        <i/>
        <sz val="12"/>
        <color theme="6" tint="-0.24994659260841701"/>
        <rFont val="Calibri"/>
        <family val="2"/>
      </rPr>
      <t>Emaitzen kondu aurreikusia</t>
    </r>
  </si>
  <si>
    <r>
      <t xml:space="preserve">II - Besoins ou dégagements en Fonds de Roulement prévisionnels  - </t>
    </r>
    <r>
      <rPr>
        <b/>
        <i/>
        <sz val="12"/>
        <color theme="6" tint="-0.249977111117893"/>
        <rFont val="Calibri"/>
        <family val="2"/>
      </rPr>
      <t>Laneko kapital beharrizanaren aurrikuspena</t>
    </r>
  </si>
  <si>
    <t>+ sur les titres participatifs</t>
  </si>
  <si>
    <t>Quote-part
détenue</t>
  </si>
  <si>
    <r>
      <t xml:space="preserve">capital social 
avant 
l'opération 
</t>
    </r>
    <r>
      <rPr>
        <b/>
        <sz val="11"/>
        <color indexed="9"/>
        <rFont val="Calibri"/>
        <family val="2"/>
      </rPr>
      <t>€</t>
    </r>
  </si>
  <si>
    <r>
      <t xml:space="preserve">Réduction
de 
capital 
</t>
    </r>
    <r>
      <rPr>
        <b/>
        <sz val="11"/>
        <color indexed="9"/>
        <rFont val="Calibri"/>
        <family val="2"/>
      </rPr>
      <t>€</t>
    </r>
  </si>
  <si>
    <t>Montant
 €</t>
  </si>
  <si>
    <t>- dont produitst sur cession d'actifs</t>
  </si>
  <si>
    <t>total 
apporté</t>
  </si>
  <si>
    <t>Le remboursement des fonds empruntés se fait-t-il par la remontée des dividendes de la société cible ?</t>
  </si>
  <si>
    <t xml:space="preserve"> Equipement informatique</t>
  </si>
  <si>
    <r>
      <t xml:space="preserve">Capacité d'autofinancement   -  </t>
    </r>
    <r>
      <rPr>
        <b/>
        <sz val="10"/>
        <color rgb="FF002060"/>
        <rFont val="Calibri"/>
        <family val="2"/>
        <scheme val="minor"/>
      </rPr>
      <t xml:space="preserve"> CAF </t>
    </r>
  </si>
  <si>
    <r>
      <t xml:space="preserve">C O M P T E S   P R E V I S I O N N E L S   D E   L A   S O C I E T E   H O  LD I N G  /  </t>
    </r>
    <r>
      <rPr>
        <b/>
        <i/>
        <sz val="11.5"/>
        <color rgb="FF99CC00"/>
        <rFont val="Calibri"/>
        <family val="2"/>
      </rPr>
      <t xml:space="preserve">H O L D I N A R E N  </t>
    </r>
    <r>
      <rPr>
        <b/>
        <sz val="11.5"/>
        <color indexed="9"/>
        <rFont val="Calibri"/>
        <family val="2"/>
      </rPr>
      <t xml:space="preserve"> </t>
    </r>
    <r>
      <rPr>
        <b/>
        <i/>
        <sz val="11.5"/>
        <color rgb="FF99CC00"/>
        <rFont val="Calibri"/>
        <family val="2"/>
      </rPr>
      <t>E M A I T Z E N   A U R R E I K U S P E N A</t>
    </r>
    <r>
      <rPr>
        <b/>
        <sz val="11.5"/>
        <color indexed="9"/>
        <rFont val="Calibri"/>
        <family val="2"/>
      </rPr>
      <t xml:space="preserve"> </t>
    </r>
  </si>
  <si>
    <t xml:space="preserve"> = Valeur des fonds propres</t>
  </si>
  <si>
    <t xml:space="preserve"> = % du capital acquis</t>
  </si>
  <si>
    <t>- Endettement financier net à déduire (-)</t>
  </si>
  <si>
    <r>
      <t xml:space="preserve">+/- Trésorerie nette   </t>
    </r>
    <r>
      <rPr>
        <sz val="10"/>
        <color indexed="32"/>
        <rFont val="Calibri"/>
        <family val="2"/>
      </rPr>
      <t xml:space="preserve">(excédentaire (+) - </t>
    </r>
    <r>
      <rPr>
        <sz val="10"/>
        <color rgb="FFFF0000"/>
        <rFont val="Calibri"/>
        <family val="2"/>
      </rPr>
      <t>négative (-)</t>
    </r>
    <r>
      <rPr>
        <sz val="10"/>
        <color indexed="32"/>
        <rFont val="Calibri"/>
        <family val="2"/>
      </rPr>
      <t>)</t>
    </r>
  </si>
  <si>
    <t>Méthode appliquée</t>
  </si>
  <si>
    <r>
      <t xml:space="preserve"> </t>
    </r>
    <r>
      <rPr>
        <sz val="10.5"/>
        <color rgb="FF0000CC"/>
        <rFont val="Symbol"/>
        <family val="1"/>
        <charset val="2"/>
      </rPr>
      <t>S</t>
    </r>
    <r>
      <rPr>
        <sz val="10.5"/>
        <color rgb="FF0000CC"/>
        <rFont val="Calibri"/>
        <family val="2"/>
      </rPr>
      <t xml:space="preserve"> de titres de capital</t>
    </r>
  </si>
  <si>
    <t xml:space="preserve"> Nombre de titres acquis</t>
  </si>
  <si>
    <t>Si oui, précisez la réglementation en vigueur :</t>
  </si>
  <si>
    <r>
      <t xml:space="preserve">1. Approche de valorisation de l'entreprise et des fonds propres </t>
    </r>
    <r>
      <rPr>
        <b/>
        <sz val="10"/>
        <color theme="0"/>
        <rFont val="Calibri"/>
        <family val="2"/>
        <scheme val="minor"/>
      </rPr>
      <t>(part revenant à l'actionnaire)</t>
    </r>
  </si>
  <si>
    <r>
      <t>Liasses fiscales, annexes et rapports du commissaire aux comptes des 3 derniers exercices de la société holding (</t>
    </r>
    <r>
      <rPr>
        <i/>
        <sz val="9"/>
        <color rgb="FF002060"/>
        <rFont val="Calibri"/>
        <family val="2"/>
      </rPr>
      <t>uniquement dans le cas d'une société déjà existante</t>
    </r>
    <r>
      <rPr>
        <i/>
        <sz val="10.5"/>
        <color rgb="FF002060"/>
        <rFont val="Calibri"/>
        <family val="2"/>
      </rPr>
      <t>)</t>
    </r>
  </si>
  <si>
    <r>
      <t>Extrait K bis de moins de 3 mois de la société holding (</t>
    </r>
    <r>
      <rPr>
        <i/>
        <sz val="9"/>
        <color rgb="FF002060"/>
        <rFont val="Calibri"/>
        <family val="2"/>
      </rPr>
      <t>dans le cas d'une société déjà existante</t>
    </r>
    <r>
      <rPr>
        <i/>
        <sz val="10.5"/>
        <color rgb="FF002060"/>
        <rFont val="Calibri"/>
        <family val="2"/>
      </rPr>
      <t>)</t>
    </r>
  </si>
  <si>
    <r>
      <t xml:space="preserve">N - 4 </t>
    </r>
    <r>
      <rPr>
        <i/>
        <sz val="11"/>
        <color rgb="FF002060"/>
        <rFont val="Calibri"/>
        <family val="2"/>
      </rPr>
      <t>(à renseigner)</t>
    </r>
  </si>
  <si>
    <t>Multiple
ou Taux</t>
  </si>
  <si>
    <r>
      <rPr>
        <i/>
        <sz val="11"/>
        <color indexed="56"/>
        <rFont val="Calibri"/>
        <family val="2"/>
      </rPr>
      <t>Dans le cas d'une</t>
    </r>
    <r>
      <rPr>
        <i/>
        <sz val="12"/>
        <color indexed="56"/>
        <rFont val="Calibri"/>
        <family val="2"/>
      </rPr>
      <t xml:space="preserve"> </t>
    </r>
    <r>
      <rPr>
        <b/>
        <i/>
        <u/>
        <sz val="12"/>
        <color indexed="56"/>
        <rFont val="Calibri"/>
        <family val="2"/>
      </rPr>
      <t>reprise d'entreprise</t>
    </r>
    <r>
      <rPr>
        <i/>
        <sz val="12"/>
        <color indexed="56"/>
        <rFont val="Calibri"/>
        <family val="2"/>
      </rPr>
      <t xml:space="preserve">, </t>
    </r>
    <r>
      <rPr>
        <i/>
        <sz val="11"/>
        <color indexed="56"/>
        <rFont val="Calibri"/>
        <family val="2"/>
      </rPr>
      <t>se reporter à l'onglet suivant :</t>
    </r>
  </si>
  <si>
    <t xml:space="preserve">Chiffres clès 
de 
l'entreprise  acquérante </t>
  </si>
  <si>
    <t xml:space="preserve">  Total des ressources financières</t>
  </si>
  <si>
    <t xml:space="preserve">  Total des financements complémentaires</t>
  </si>
  <si>
    <t xml:space="preserve">  Montant total des apports en capital </t>
  </si>
  <si>
    <r>
      <t xml:space="preserve">  Solde intermédiaire </t>
    </r>
    <r>
      <rPr>
        <b/>
        <i/>
        <sz val="10"/>
        <rFont val="Calibri"/>
        <family val="2"/>
      </rPr>
      <t xml:space="preserve">(Besoins - </t>
    </r>
    <r>
      <rPr>
        <b/>
        <i/>
        <sz val="10"/>
        <color rgb="FF0000FF"/>
        <rFont val="Calibri"/>
        <family val="2"/>
      </rPr>
      <t>Ressources</t>
    </r>
    <r>
      <rPr>
        <b/>
        <i/>
        <sz val="10"/>
        <rFont val="Calibri"/>
        <family val="2"/>
      </rPr>
      <t>)</t>
    </r>
  </si>
  <si>
    <r>
      <t xml:space="preserve">  Solde intermédiaire </t>
    </r>
    <r>
      <rPr>
        <b/>
        <i/>
        <sz val="10"/>
        <rFont val="Calibri"/>
        <family val="2"/>
      </rPr>
      <t>(Besoins  -</t>
    </r>
    <r>
      <rPr>
        <b/>
        <i/>
        <sz val="10"/>
        <color rgb="FF0000FF"/>
        <rFont val="Calibri"/>
        <family val="2"/>
      </rPr>
      <t>Ressources</t>
    </r>
    <r>
      <rPr>
        <b/>
        <i/>
        <sz val="10"/>
        <rFont val="Calibri"/>
        <family val="2"/>
      </rPr>
      <t>)</t>
    </r>
  </si>
  <si>
    <t xml:space="preserve">  Total des besoins de financement</t>
  </si>
  <si>
    <t xml:space="preserve">  Trésorerie nette cumulée</t>
  </si>
  <si>
    <t xml:space="preserve">  Montant total des fonds propres</t>
  </si>
  <si>
    <t xml:space="preserve">  Montant total des fonds empruntés</t>
  </si>
  <si>
    <t>Principaux 
indicateurs</t>
  </si>
  <si>
    <t>Changement de statut juridique</t>
  </si>
  <si>
    <t xml:space="preserve"> Risque de défaillance</t>
  </si>
  <si>
    <t xml:space="preserve"> Situation financière</t>
  </si>
  <si>
    <t>2 - Poids de l'endettement</t>
  </si>
  <si>
    <t>3 - Fonds de roulement - Besoin en Fonds de Roulement - Trésorerie</t>
  </si>
  <si>
    <t>4 - Délais d'écoulement moyens</t>
  </si>
  <si>
    <t xml:space="preserve"> Capitaux propres</t>
  </si>
  <si>
    <t xml:space="preserve"> Fonds propres </t>
  </si>
  <si>
    <t xml:space="preserve"> Endettement financier</t>
  </si>
  <si>
    <t xml:space="preserve"> Endettement total</t>
  </si>
  <si>
    <t xml:space="preserve"> Autonomie financière</t>
  </si>
  <si>
    <t xml:space="preserve"> Capacité d'endettement à terme</t>
  </si>
  <si>
    <t xml:space="preserve"> Capacité de remboursement</t>
  </si>
  <si>
    <t xml:space="preserve"> Vulnérabilité  financière</t>
  </si>
  <si>
    <t xml:space="preserve"> Fonds de roulement - FR</t>
  </si>
  <si>
    <t xml:space="preserve"> Besoin en fonds de roulement - BFR </t>
  </si>
  <si>
    <t xml:space="preserve"> Couverture du BFR par le FR</t>
  </si>
  <si>
    <t xml:space="preserve"> Flux de trésorerie généré par l'exploitation</t>
  </si>
  <si>
    <t xml:space="preserve"> Besoin de trésorerie/créances clients</t>
  </si>
  <si>
    <t xml:space="preserve"> Paiement des clients</t>
  </si>
  <si>
    <t xml:space="preserve"> Stocks matières &amp; marchandises</t>
  </si>
  <si>
    <t xml:space="preserve"> Paiement aux fournisseurs</t>
  </si>
  <si>
    <t xml:space="preserve"> Cotation financière 
 de l'entreprise</t>
  </si>
  <si>
    <t xml:space="preserve"> Stocks encours et produits finis</t>
  </si>
  <si>
    <t xml:space="preserve"> Point mort - P.M.</t>
  </si>
  <si>
    <t xml:space="preserve"> Chiffre d'affaires</t>
  </si>
  <si>
    <t xml:space="preserve"> Marge commerciale</t>
  </si>
  <si>
    <t xml:space="preserve"> Marge brute globale</t>
  </si>
  <si>
    <t xml:space="preserve"> Valeur ajoutée</t>
  </si>
  <si>
    <t xml:space="preserve"> Frais de personnel / VA</t>
  </si>
  <si>
    <t xml:space="preserve"> Excédent brut d'exploitation</t>
  </si>
  <si>
    <t xml:space="preserve"> Résultat courant avant impôts</t>
  </si>
  <si>
    <t xml:space="preserve"> Résultat net</t>
  </si>
  <si>
    <t xml:space="preserve"> Capacité d'autofinancement </t>
  </si>
  <si>
    <t xml:space="preserve"> Résultat d'exploitation</t>
  </si>
  <si>
    <t>1 - Niveau et structure de l'endettement</t>
  </si>
  <si>
    <t>Mat. technique-outillage (reprise fonds de commerce)</t>
  </si>
  <si>
    <t>Equipement informatique (reprise fonds de commerce)</t>
  </si>
  <si>
    <r>
      <t xml:space="preserve">Reconstitution du fonds de roulement  -  </t>
    </r>
    <r>
      <rPr>
        <b/>
        <sz val="10"/>
        <color rgb="FF800000"/>
        <rFont val="Calibri"/>
        <family val="2"/>
      </rPr>
      <t>FR</t>
    </r>
  </si>
  <si>
    <r>
      <t>Besoin en fonds de roulement  -</t>
    </r>
    <r>
      <rPr>
        <b/>
        <sz val="10"/>
        <color rgb="FF800000"/>
        <rFont val="Calibri"/>
        <family val="2"/>
      </rPr>
      <t xml:space="preserve">  BFR</t>
    </r>
  </si>
  <si>
    <r>
      <t xml:space="preserve">Dégagement de fonds de roulement  - </t>
    </r>
    <r>
      <rPr>
        <b/>
        <sz val="10"/>
        <color rgb="FF002060"/>
        <rFont val="Calibri"/>
        <family val="2"/>
        <scheme val="minor"/>
      </rPr>
      <t xml:space="preserve"> DFR</t>
    </r>
  </si>
  <si>
    <t>Ensemble des investissements 
(investissements matériels, immatériels et financiers)</t>
  </si>
  <si>
    <t>▪ Sur financements antérieurs</t>
  </si>
  <si>
    <t>▪ Sur nouveaux financements</t>
  </si>
  <si>
    <t>▪ Constitution si création d'une nouvelle société d'exploitation</t>
  </si>
  <si>
    <t>▪ Evolution  [ (+) si augmentation ; (-) si diminution ]</t>
  </si>
  <si>
    <r>
      <rPr>
        <sz val="10"/>
        <color rgb="FF800000"/>
        <rFont val="Calibri"/>
        <family val="2"/>
      </rPr>
      <t xml:space="preserve">▪ </t>
    </r>
    <r>
      <rPr>
        <sz val="10"/>
        <color rgb="FF800000"/>
        <rFont val="Calibri"/>
        <family val="2"/>
        <scheme val="minor"/>
      </rPr>
      <t>Investissements financés par crédit-bail</t>
    </r>
  </si>
  <si>
    <r>
      <rPr>
        <sz val="10"/>
        <color rgb="FF800000"/>
        <rFont val="Calibri"/>
        <family val="2"/>
      </rPr>
      <t xml:space="preserve">▪ </t>
    </r>
    <r>
      <rPr>
        <sz val="10"/>
        <color rgb="FF800000"/>
        <rFont val="Calibri"/>
        <family val="2"/>
        <scheme val="minor"/>
      </rPr>
      <t>Investissements hors crédit-bail</t>
    </r>
  </si>
  <si>
    <r>
      <t xml:space="preserve">▪ Montant plancher </t>
    </r>
    <r>
      <rPr>
        <i/>
        <sz val="10"/>
        <color rgb="FF800000"/>
        <rFont val="Calibri"/>
        <family val="2"/>
      </rPr>
      <t>(calculé)</t>
    </r>
  </si>
  <si>
    <r>
      <rPr>
        <sz val="10"/>
        <color rgb="FF002060"/>
        <rFont val="Calibri"/>
        <family val="2"/>
      </rPr>
      <t xml:space="preserve">▪ </t>
    </r>
    <r>
      <rPr>
        <sz val="10"/>
        <color rgb="FF002060"/>
        <rFont val="Calibri"/>
        <family val="2"/>
        <scheme val="minor"/>
      </rPr>
      <t>Constitution si création d'une nouvelle société d'exploitation</t>
    </r>
  </si>
  <si>
    <r>
      <rPr>
        <sz val="10"/>
        <color rgb="FF002060"/>
        <rFont val="Calibri"/>
        <family val="2"/>
      </rPr>
      <t xml:space="preserve">▪ </t>
    </r>
    <r>
      <rPr>
        <sz val="10"/>
        <color rgb="FF002060"/>
        <rFont val="Calibri"/>
        <family val="2"/>
        <scheme val="minor"/>
      </rPr>
      <t>Evolution  [ (+) si augmentation ;  (-) si diminution ]</t>
    </r>
  </si>
  <si>
    <r>
      <t xml:space="preserve">▪ Montant complémentaire </t>
    </r>
    <r>
      <rPr>
        <i/>
        <sz val="10"/>
        <color rgb="FF800000"/>
        <rFont val="Calibri"/>
        <family val="2"/>
      </rPr>
      <t>(à renseigner éventuellement)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</si>
</sst>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164" formatCode="#,##0.00\ &quot;F&quot;;[Red]\-#,##0.00\ &quot;F&quot;"/>
    <numFmt numFmtId="165" formatCode="0.0"/>
    <numFmt numFmtId="166" formatCode="#,##0&quot; &quot;"/>
    <numFmt numFmtId="167" formatCode="#,##0&quot; &quot;\ "/>
    <numFmt numFmtId="168" formatCode="0.0%"/>
    <numFmt numFmtId="169" formatCode="0&quot; j&quot;"/>
    <numFmt numFmtId="170" formatCode="0&quot; ans&quot;"/>
    <numFmt numFmtId="171" formatCode="#,##0\ [$€-1]"/>
    <numFmt numFmtId="172" formatCode="#,##0&quot; m2&quot;"/>
    <numFmt numFmtId="173" formatCode="#,##0&quot; j CA&quot;"/>
    <numFmt numFmtId="174" formatCode="0&quot; mois&quot;"/>
    <numFmt numFmtId="175" formatCode="#,##0\ &quot;€&quot;"/>
    <numFmt numFmtId="176" formatCode="0&quot; an(s)&quot;"/>
    <numFmt numFmtId="177" formatCode="#,##0\ &quot;€&quot;&quot; &quot;"/>
    <numFmt numFmtId="178" formatCode="#,##0&quot; m2 &quot;"/>
    <numFmt numFmtId="179" formatCode="#,##0&quot; € &quot;"/>
    <numFmt numFmtId="180" formatCode="dd/mm/yy;@"/>
    <numFmt numFmtId="181" formatCode="0&quot; j de CA&quot;"/>
    <numFmt numFmtId="182" formatCode="#,##0&quot; euros&quot;"/>
    <numFmt numFmtId="183" formatCode="0&quot; p&quot;"/>
    <numFmt numFmtId="184" formatCode="0.0&quot; an(s)&quot;"/>
    <numFmt numFmtId="185" formatCode="0&quot; personne(s)&quot;"/>
    <numFmt numFmtId="186" formatCode="&quot;Année&quot;\ 0"/>
    <numFmt numFmtId="187" formatCode="#,##0.00&quot; &quot;"/>
    <numFmt numFmtId="188" formatCode="#,##0.00\ &quot;€&quot;"/>
    <numFmt numFmtId="189" formatCode="0.0&quot; fois l'EBE de la cible&quot;"/>
    <numFmt numFmtId="190" formatCode="0.0&quot; fois l'EBE&quot;"/>
    <numFmt numFmtId="191" formatCode="0.0%&quot; du CA&quot;"/>
    <numFmt numFmtId="192" formatCode="0%&quot; du BFR&quot;"/>
    <numFmt numFmtId="193" formatCode="0&quot; j d'achat&quot;"/>
    <numFmt numFmtId="194" formatCode="#,##0&quot; K€&quot;"/>
    <numFmt numFmtId="195" formatCode="0&quot; jours de CA TTC&quot;"/>
    <numFmt numFmtId="196" formatCode="\+\ #,##0&quot; &quot;;\-\ #,##0&quot; &quot;;0&quot; &quot;"/>
    <numFmt numFmtId="197" formatCode="0&quot; jours&quot;"/>
    <numFmt numFmtId="198" formatCode="0&quot; fois sur &quot;"/>
    <numFmt numFmtId="199" formatCode="0&quot; J&quot;"/>
    <numFmt numFmtId="200" formatCode="&quot;TRI&quot;\ 0.0%"/>
    <numFmt numFmtId="201" formatCode="&quot;PNC&quot;\ 0.0%"/>
    <numFmt numFmtId="202" formatCode="&quot;an&quot;\ 0"/>
    <numFmt numFmtId="203" formatCode="0&quot; remb.&quot;"/>
    <numFmt numFmtId="204" formatCode="0&quot;ème année&quot;"/>
    <numFmt numFmtId="205" formatCode="&quot;Mini :&quot;\ 0%&quot; des total des financements&quot;"/>
    <numFmt numFmtId="206" formatCode="&quot;Maximum :&quot;\ 0%&quot; de la CAF&quot;"/>
    <numFmt numFmtId="207" formatCode="&quot;Maximum :&quot;\ 0.0&quot; fois l'EBE&quot;"/>
    <numFmt numFmtId="208" formatCode="0%&quot; du CA&quot;"/>
    <numFmt numFmtId="209" formatCode="0&quot; annuités&quot;"/>
    <numFmt numFmtId="210" formatCode="0&quot; fois&quot;"/>
    <numFmt numFmtId="211" formatCode="0.0&quot;/3&quot;"/>
    <numFmt numFmtId="212" formatCode="0&quot; avis&quot;"/>
    <numFmt numFmtId="213" formatCode="#,##0.00\ &quot;€&quot;&quot; le mètre carré&quot;"/>
    <numFmt numFmtId="214" formatCode="0.0&quot; fois l'EBE moyen prévisionnel de la cible&quot;"/>
    <numFmt numFmtId="215" formatCode="0.0&quot; fois l'EBE moyen des 3 derniers exercices de la cible&quot;"/>
    <numFmt numFmtId="216" formatCode="&quot;coef&quot;\ 0"/>
    <numFmt numFmtId="217" formatCode="0.0&quot; fois le CA&quot;"/>
    <numFmt numFmtId="218" formatCode="0.0&quot; fois le RN&quot;"/>
    <numFmt numFmtId="219" formatCode="&quot;Total&quot;\ 0"/>
    <numFmt numFmtId="220" formatCode="0.0&quot; x le CA&quot;"/>
    <numFmt numFmtId="221" formatCode="0.0&quot; x l'EBE&quot;"/>
    <numFmt numFmtId="222" formatCode="0.0&quot; x le RN&quot;"/>
    <numFmt numFmtId="223" formatCode="0&quot; an&quot;"/>
    <numFmt numFmtId="224" formatCode="&quot;à&quot;\ 0%"/>
    <numFmt numFmtId="225" formatCode="&quot;à&quot;\ 0"/>
    <numFmt numFmtId="226" formatCode="&quot;&lt; à&quot;\ 0&quot; ans&quot;"/>
    <numFmt numFmtId="227" formatCode="&quot;&lt; à&quot;\ 0%"/>
    <numFmt numFmtId="228" formatCode="&quot;&gt; à&quot;\ 0%"/>
    <numFmt numFmtId="229" formatCode="&quot;&gt; à&quot;\ 0"/>
    <numFmt numFmtId="230" formatCode="&quot;&lt; ou = à&quot;\ 0%"/>
    <numFmt numFmtId="231" formatCode="&quot;&lt; ou = à&quot;\ 0&quot; ans&quot;"/>
    <numFmt numFmtId="232" formatCode="0.0&quot; ans&quot;"/>
    <numFmt numFmtId="233" formatCode="0&quot; ans =&quot;"/>
    <numFmt numFmtId="234" formatCode="0%&quot; =&quot;"/>
    <numFmt numFmtId="235" formatCode="0.0&quot; p&quot;"/>
    <numFmt numFmtId="236" formatCode="0&quot; pers.&quot;"/>
    <numFmt numFmtId="237" formatCode="\+\ 0.0%;\-\ 0.0%&quot; &quot;;0.0%&quot; &quot;"/>
  </numFmts>
  <fonts count="536" x14ac:knownFonts="1">
    <font>
      <sz val="10"/>
      <name val="Times New Roman"/>
    </font>
    <font>
      <sz val="11"/>
      <color theme="1"/>
      <name val="Calibri"/>
      <family val="2"/>
      <scheme val="minor"/>
    </font>
    <font>
      <sz val="10"/>
      <name val="MS Sans Serif"/>
      <family val="2"/>
    </font>
    <font>
      <b/>
      <sz val="10"/>
      <name val="Times New Roman"/>
      <family val="1"/>
    </font>
    <font>
      <sz val="10"/>
      <name val="Times New Roman"/>
      <family val="1"/>
    </font>
    <font>
      <sz val="8"/>
      <color indexed="81"/>
      <name val="Tahoma"/>
      <family val="2"/>
    </font>
    <font>
      <b/>
      <sz val="8"/>
      <color indexed="81"/>
      <name val="Tahoma"/>
      <family val="2"/>
    </font>
    <font>
      <sz val="9"/>
      <color indexed="12"/>
      <name val="Times New Roman"/>
      <family val="1"/>
    </font>
    <font>
      <sz val="9"/>
      <name val="Times New Roman"/>
      <family val="1"/>
    </font>
    <font>
      <sz val="8"/>
      <color indexed="56"/>
      <name val="Tahoma"/>
      <family val="2"/>
    </font>
    <font>
      <sz val="9"/>
      <name val="Arial"/>
      <family val="2"/>
    </font>
    <font>
      <u/>
      <sz val="10"/>
      <color indexed="12"/>
      <name val="Times New Roman"/>
      <family val="1"/>
    </font>
    <font>
      <sz val="8"/>
      <color indexed="12"/>
      <name val="Tahoma"/>
      <family val="2"/>
    </font>
    <font>
      <sz val="8"/>
      <name val="Times New Roman"/>
      <family val="1"/>
    </font>
    <font>
      <sz val="10"/>
      <name val="Times New Roman"/>
      <family val="1"/>
    </font>
    <font>
      <b/>
      <sz val="12"/>
      <color indexed="32"/>
      <name val="Calibri"/>
      <family val="2"/>
    </font>
    <font>
      <sz val="10"/>
      <name val="Calibri"/>
      <family val="2"/>
    </font>
    <font>
      <b/>
      <sz val="9"/>
      <color indexed="32"/>
      <name val="Calibri"/>
      <family val="2"/>
    </font>
    <font>
      <b/>
      <sz val="10"/>
      <name val="Calibri"/>
      <family val="2"/>
    </font>
    <font>
      <b/>
      <sz val="8"/>
      <name val="Calibri"/>
      <family val="2"/>
    </font>
    <font>
      <b/>
      <sz val="10"/>
      <color indexed="9"/>
      <name val="Calibri"/>
      <family val="2"/>
    </font>
    <font>
      <b/>
      <sz val="10"/>
      <color indexed="17"/>
      <name val="Calibri"/>
      <family val="2"/>
    </font>
    <font>
      <b/>
      <sz val="11"/>
      <color indexed="32"/>
      <name val="Calibri"/>
      <family val="2"/>
    </font>
    <font>
      <sz val="10"/>
      <color indexed="32"/>
      <name val="Calibri"/>
      <family val="2"/>
    </font>
    <font>
      <sz val="9"/>
      <color indexed="32"/>
      <name val="Calibri"/>
      <family val="2"/>
    </font>
    <font>
      <b/>
      <sz val="10"/>
      <color indexed="32"/>
      <name val="Calibri"/>
      <family val="2"/>
    </font>
    <font>
      <sz val="10"/>
      <color indexed="17"/>
      <name val="Calibri"/>
      <family val="2"/>
    </font>
    <font>
      <b/>
      <sz val="11"/>
      <name val="Calibri"/>
      <family val="2"/>
    </font>
    <font>
      <b/>
      <sz val="11"/>
      <color indexed="60"/>
      <name val="Calibri"/>
      <family val="2"/>
    </font>
    <font>
      <b/>
      <sz val="11"/>
      <color indexed="17"/>
      <name val="Calibri"/>
      <family val="2"/>
    </font>
    <font>
      <b/>
      <sz val="11"/>
      <color indexed="9"/>
      <name val="Calibri"/>
      <family val="2"/>
    </font>
    <font>
      <sz val="10"/>
      <color indexed="9"/>
      <name val="Calibri"/>
      <family val="2"/>
    </font>
    <font>
      <b/>
      <sz val="10"/>
      <color indexed="60"/>
      <name val="Calibri"/>
      <family val="2"/>
    </font>
    <font>
      <sz val="10"/>
      <color indexed="60"/>
      <name val="Calibri"/>
      <family val="2"/>
    </font>
    <font>
      <b/>
      <sz val="12"/>
      <color indexed="9"/>
      <name val="Calibri"/>
      <family val="2"/>
    </font>
    <font>
      <sz val="12"/>
      <name val="Calibri"/>
      <family val="2"/>
    </font>
    <font>
      <b/>
      <sz val="12"/>
      <name val="Calibri"/>
      <family val="2"/>
    </font>
    <font>
      <b/>
      <sz val="9"/>
      <name val="Calibri"/>
      <family val="2"/>
    </font>
    <font>
      <sz val="9"/>
      <name val="Calibri"/>
      <family val="2"/>
    </font>
    <font>
      <b/>
      <i/>
      <sz val="10"/>
      <color indexed="32"/>
      <name val="Calibri"/>
      <family val="2"/>
    </font>
    <font>
      <b/>
      <i/>
      <sz val="9"/>
      <color indexed="32"/>
      <name val="Calibri"/>
      <family val="2"/>
    </font>
    <font>
      <b/>
      <i/>
      <sz val="9"/>
      <name val="Calibri"/>
      <family val="2"/>
    </font>
    <font>
      <b/>
      <i/>
      <sz val="10"/>
      <name val="Calibri"/>
      <family val="2"/>
    </font>
    <font>
      <b/>
      <sz val="12"/>
      <color indexed="60"/>
      <name val="Calibri"/>
      <family val="2"/>
    </font>
    <font>
      <sz val="10"/>
      <color indexed="56"/>
      <name val="Calibri"/>
      <family val="2"/>
    </font>
    <font>
      <u/>
      <sz val="10"/>
      <color indexed="12"/>
      <name val="Calibri"/>
      <family val="2"/>
    </font>
    <font>
      <i/>
      <sz val="10"/>
      <color indexed="32"/>
      <name val="Calibri"/>
      <family val="2"/>
    </font>
    <font>
      <b/>
      <i/>
      <sz val="10"/>
      <color indexed="56"/>
      <name val="Calibri"/>
      <family val="2"/>
    </font>
    <font>
      <b/>
      <sz val="10"/>
      <color indexed="56"/>
      <name val="Calibri"/>
      <family val="2"/>
    </font>
    <font>
      <i/>
      <sz val="10"/>
      <color indexed="56"/>
      <name val="Calibri"/>
      <family val="2"/>
    </font>
    <font>
      <sz val="11"/>
      <color indexed="60"/>
      <name val="Calibri"/>
      <family val="2"/>
    </font>
    <font>
      <b/>
      <i/>
      <sz val="10"/>
      <color indexed="10"/>
      <name val="Calibri"/>
      <family val="2"/>
    </font>
    <font>
      <sz val="9"/>
      <color indexed="9"/>
      <name val="Calibri"/>
      <family val="2"/>
    </font>
    <font>
      <b/>
      <sz val="10"/>
      <color indexed="12"/>
      <name val="Calibri"/>
      <family val="2"/>
    </font>
    <font>
      <b/>
      <sz val="11"/>
      <color indexed="56"/>
      <name val="Calibri"/>
      <family val="2"/>
    </font>
    <font>
      <sz val="11"/>
      <name val="Calibri"/>
      <family val="2"/>
    </font>
    <font>
      <b/>
      <sz val="9"/>
      <color indexed="9"/>
      <name val="Calibri"/>
      <family val="2"/>
    </font>
    <font>
      <i/>
      <sz val="10"/>
      <color indexed="12"/>
      <name val="Calibri"/>
      <family val="2"/>
    </font>
    <font>
      <b/>
      <i/>
      <sz val="10"/>
      <color indexed="12"/>
      <name val="Calibri"/>
      <family val="2"/>
    </font>
    <font>
      <b/>
      <i/>
      <sz val="12"/>
      <color indexed="32"/>
      <name val="Calibri"/>
      <family val="2"/>
    </font>
    <font>
      <sz val="10"/>
      <color indexed="12"/>
      <name val="Calibri"/>
      <family val="2"/>
    </font>
    <font>
      <b/>
      <i/>
      <sz val="10"/>
      <color indexed="17"/>
      <name val="Calibri"/>
      <family val="2"/>
    </font>
    <font>
      <b/>
      <sz val="10.5"/>
      <color indexed="9"/>
      <name val="Calibri"/>
      <family val="2"/>
    </font>
    <font>
      <b/>
      <sz val="10"/>
      <color indexed="25"/>
      <name val="Calibri"/>
      <family val="2"/>
    </font>
    <font>
      <sz val="10"/>
      <color indexed="25"/>
      <name val="Calibri"/>
      <family val="2"/>
    </font>
    <font>
      <i/>
      <sz val="10"/>
      <name val="Calibri"/>
      <family val="2"/>
    </font>
    <font>
      <sz val="11"/>
      <color indexed="9"/>
      <name val="Calibri"/>
      <family val="2"/>
    </font>
    <font>
      <b/>
      <sz val="12"/>
      <color indexed="56"/>
      <name val="Calibri"/>
      <family val="2"/>
    </font>
    <font>
      <sz val="8"/>
      <name val="Calibri"/>
      <family val="2"/>
    </font>
    <font>
      <b/>
      <i/>
      <sz val="12"/>
      <name val="Calibri"/>
      <family val="2"/>
    </font>
    <font>
      <b/>
      <i/>
      <sz val="10.5"/>
      <color indexed="32"/>
      <name val="Calibri"/>
      <family val="2"/>
    </font>
    <font>
      <sz val="9"/>
      <color indexed="12"/>
      <name val="Calibri"/>
      <family val="2"/>
    </font>
    <font>
      <b/>
      <sz val="9"/>
      <color indexed="56"/>
      <name val="Calibri"/>
      <family val="2"/>
    </font>
    <font>
      <b/>
      <sz val="10"/>
      <color indexed="10"/>
      <name val="Calibri"/>
      <family val="2"/>
    </font>
    <font>
      <b/>
      <i/>
      <sz val="9"/>
      <color indexed="9"/>
      <name val="Calibri"/>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name val="Calibri"/>
      <family val="2"/>
    </font>
    <font>
      <b/>
      <i/>
      <sz val="11"/>
      <color indexed="12"/>
      <name val="Calibri"/>
      <family val="2"/>
    </font>
    <font>
      <b/>
      <sz val="12"/>
      <color indexed="53"/>
      <name val="Calibri"/>
      <family val="2"/>
    </font>
    <font>
      <i/>
      <sz val="10"/>
      <name val="Times New Roman"/>
      <family val="1"/>
    </font>
    <font>
      <sz val="10"/>
      <name val="Calibri"/>
      <family val="2"/>
    </font>
    <font>
      <b/>
      <sz val="11"/>
      <color indexed="12"/>
      <name val="Calibri"/>
      <family val="2"/>
    </font>
    <font>
      <b/>
      <i/>
      <sz val="9"/>
      <color indexed="12"/>
      <name val="Calibri"/>
      <family val="2"/>
    </font>
    <font>
      <b/>
      <sz val="12"/>
      <color indexed="12"/>
      <name val="Calibri"/>
      <family val="2"/>
    </font>
    <font>
      <b/>
      <sz val="10"/>
      <color indexed="32"/>
      <name val="Calibri"/>
      <family val="2"/>
    </font>
    <font>
      <b/>
      <sz val="10"/>
      <color indexed="12"/>
      <name val="Calibri"/>
      <family val="2"/>
    </font>
    <font>
      <b/>
      <sz val="10"/>
      <color indexed="33"/>
      <name val="Calibri"/>
      <family val="2"/>
    </font>
    <font>
      <b/>
      <i/>
      <sz val="11"/>
      <color indexed="60"/>
      <name val="Calibri"/>
      <family val="2"/>
    </font>
    <font>
      <b/>
      <i/>
      <sz val="9"/>
      <color indexed="10"/>
      <name val="Calibri"/>
      <family val="2"/>
    </font>
    <font>
      <b/>
      <i/>
      <sz val="9"/>
      <color indexed="56"/>
      <name val="Calibri"/>
      <family val="2"/>
    </font>
    <font>
      <sz val="11"/>
      <color indexed="32"/>
      <name val="Calibri"/>
      <family val="2"/>
    </font>
    <font>
      <sz val="11"/>
      <name val="Times New Roman"/>
      <family val="1"/>
    </font>
    <font>
      <b/>
      <i/>
      <sz val="10"/>
      <color indexed="9"/>
      <name val="Calibri"/>
      <family val="2"/>
    </font>
    <font>
      <sz val="10"/>
      <name val="Times New Roman"/>
      <family val="1"/>
    </font>
    <font>
      <sz val="10"/>
      <color indexed="48"/>
      <name val="Calibri"/>
      <family val="2"/>
    </font>
    <font>
      <sz val="10"/>
      <color indexed="53"/>
      <name val="Calibri"/>
      <family val="2"/>
    </font>
    <font>
      <b/>
      <sz val="9"/>
      <color indexed="13"/>
      <name val="Calibri"/>
      <family val="2"/>
    </font>
    <font>
      <b/>
      <i/>
      <sz val="12"/>
      <color indexed="10"/>
      <name val="Calibri"/>
      <family val="2"/>
    </font>
    <font>
      <b/>
      <i/>
      <sz val="10"/>
      <color indexed="12"/>
      <name val="Calibri"/>
      <family val="2"/>
    </font>
    <font>
      <i/>
      <sz val="10"/>
      <color indexed="12"/>
      <name val="Calibri"/>
      <family val="2"/>
    </font>
    <font>
      <i/>
      <sz val="10"/>
      <color indexed="33"/>
      <name val="Calibri"/>
      <family val="2"/>
    </font>
    <font>
      <b/>
      <sz val="10"/>
      <color indexed="9"/>
      <name val="Calibri"/>
      <family val="2"/>
    </font>
    <font>
      <i/>
      <sz val="10"/>
      <color indexed="32"/>
      <name val="Calibri"/>
      <family val="2"/>
    </font>
    <font>
      <sz val="11"/>
      <color indexed="12"/>
      <name val="Calibri"/>
      <family val="2"/>
    </font>
    <font>
      <i/>
      <sz val="10"/>
      <color indexed="9"/>
      <name val="Calibri"/>
      <family val="2"/>
    </font>
    <font>
      <b/>
      <i/>
      <sz val="10"/>
      <color indexed="16"/>
      <name val="Calibri"/>
      <family val="2"/>
    </font>
    <font>
      <b/>
      <sz val="10"/>
      <color indexed="9"/>
      <name val="Calibri"/>
      <family val="2"/>
    </font>
    <font>
      <sz val="9"/>
      <color indexed="10"/>
      <name val="Calibri"/>
      <family val="2"/>
    </font>
    <font>
      <b/>
      <sz val="11"/>
      <color indexed="10"/>
      <name val="Calibri"/>
      <family val="2"/>
    </font>
    <font>
      <i/>
      <sz val="11"/>
      <name val="Calibri"/>
      <family val="2"/>
    </font>
    <font>
      <b/>
      <sz val="14"/>
      <color indexed="9"/>
      <name val="Calibri"/>
      <family val="2"/>
    </font>
    <font>
      <b/>
      <sz val="14"/>
      <name val="Calibri"/>
      <family val="2"/>
    </font>
    <font>
      <sz val="14"/>
      <name val="Calibri"/>
      <family val="2"/>
    </font>
    <font>
      <sz val="10.5"/>
      <color indexed="9"/>
      <name val="Calibri"/>
      <family val="2"/>
    </font>
    <font>
      <b/>
      <sz val="10"/>
      <color indexed="9"/>
      <name val="Calibri"/>
      <family val="2"/>
    </font>
    <font>
      <b/>
      <sz val="10"/>
      <color indexed="36"/>
      <name val="Calibri"/>
      <family val="2"/>
    </font>
    <font>
      <b/>
      <i/>
      <sz val="12"/>
      <color indexed="9"/>
      <name val="Calibri"/>
      <family val="2"/>
    </font>
    <font>
      <i/>
      <sz val="10"/>
      <color indexed="36"/>
      <name val="Calibri"/>
      <family val="2"/>
    </font>
    <font>
      <i/>
      <sz val="9"/>
      <name val="Calibri"/>
      <family val="2"/>
    </font>
    <font>
      <sz val="10.5"/>
      <color indexed="32"/>
      <name val="Calibri"/>
      <family val="2"/>
    </font>
    <font>
      <b/>
      <sz val="10.5"/>
      <color indexed="32"/>
      <name val="Calibri"/>
      <family val="2"/>
    </font>
    <font>
      <b/>
      <sz val="10"/>
      <color indexed="9"/>
      <name val="Symbol"/>
      <family val="1"/>
      <charset val="2"/>
    </font>
    <font>
      <b/>
      <i/>
      <sz val="9"/>
      <color indexed="17"/>
      <name val="Calibri"/>
      <family val="2"/>
    </font>
    <font>
      <sz val="10.5"/>
      <name val="Calibri"/>
      <family val="2"/>
    </font>
    <font>
      <sz val="10.5"/>
      <color indexed="12"/>
      <name val="Calibri"/>
      <family val="2"/>
    </font>
    <font>
      <b/>
      <sz val="10.5"/>
      <color indexed="12"/>
      <name val="Calibri"/>
      <family val="2"/>
    </font>
    <font>
      <sz val="12"/>
      <color indexed="9"/>
      <name val="Calibri"/>
      <family val="2"/>
    </font>
    <font>
      <sz val="12"/>
      <color indexed="32"/>
      <name val="Calibri"/>
      <family val="2"/>
    </font>
    <font>
      <sz val="10"/>
      <name val="Times New Roman"/>
      <family val="1"/>
    </font>
    <font>
      <sz val="11"/>
      <name val="Times New Roman"/>
      <family val="1"/>
    </font>
    <font>
      <b/>
      <i/>
      <sz val="14"/>
      <color indexed="9"/>
      <name val="Calibri"/>
      <family val="2"/>
    </font>
    <font>
      <sz val="16"/>
      <name val="Calibri"/>
      <family val="2"/>
    </font>
    <font>
      <sz val="16"/>
      <color indexed="9"/>
      <name val="Calibri"/>
      <family val="2"/>
    </font>
    <font>
      <b/>
      <sz val="11"/>
      <name val="Times New Roman"/>
      <family val="1"/>
    </font>
    <font>
      <i/>
      <sz val="11"/>
      <color indexed="32"/>
      <name val="Calibri"/>
      <family val="2"/>
    </font>
    <font>
      <sz val="12"/>
      <name val="Times New Roman"/>
      <family val="1"/>
    </font>
    <font>
      <b/>
      <sz val="10"/>
      <color indexed="53"/>
      <name val="Calibri"/>
      <family val="2"/>
    </font>
    <font>
      <sz val="10.5"/>
      <name val="Times New Roman"/>
      <family val="1"/>
    </font>
    <font>
      <sz val="10"/>
      <name val="Times New Roman"/>
      <family val="1"/>
    </font>
    <font>
      <sz val="14"/>
      <name val="Times New Roman"/>
      <family val="1"/>
    </font>
    <font>
      <sz val="16"/>
      <name val="Times New Roman"/>
      <family val="1"/>
    </font>
    <font>
      <sz val="10"/>
      <color indexed="18"/>
      <name val="Calibri"/>
      <family val="2"/>
    </font>
    <font>
      <sz val="10"/>
      <color indexed="12"/>
      <name val="Times New Roman"/>
      <family val="1"/>
    </font>
    <font>
      <sz val="10"/>
      <color indexed="9"/>
      <name val="Calibri"/>
      <family val="2"/>
    </font>
    <font>
      <b/>
      <sz val="14"/>
      <color indexed="32"/>
      <name val="Calibri"/>
      <family val="2"/>
    </font>
    <font>
      <b/>
      <sz val="14"/>
      <name val="Calibri"/>
      <family val="2"/>
    </font>
    <font>
      <sz val="14"/>
      <name val="Times New Roman"/>
      <family val="1"/>
    </font>
    <font>
      <b/>
      <i/>
      <sz val="9"/>
      <color indexed="25"/>
      <name val="Calibri"/>
      <family val="2"/>
    </font>
    <font>
      <sz val="9"/>
      <color indexed="17"/>
      <name val="Calibri"/>
      <family val="2"/>
    </font>
    <font>
      <b/>
      <sz val="8"/>
      <color indexed="12"/>
      <name val="Tahoma"/>
      <family val="2"/>
    </font>
    <font>
      <b/>
      <u/>
      <sz val="8"/>
      <color indexed="12"/>
      <name val="Tahoma"/>
      <family val="2"/>
    </font>
    <font>
      <b/>
      <u/>
      <sz val="10"/>
      <color indexed="12"/>
      <name val="Tahoma"/>
      <family val="2"/>
    </font>
    <font>
      <i/>
      <sz val="9"/>
      <color indexed="32"/>
      <name val="Calibri"/>
      <family val="2"/>
    </font>
    <font>
      <b/>
      <i/>
      <sz val="10.5"/>
      <color indexed="9"/>
      <name val="Calibri"/>
      <family val="2"/>
    </font>
    <font>
      <i/>
      <sz val="10.5"/>
      <name val="Times New Roman"/>
      <family val="1"/>
    </font>
    <font>
      <b/>
      <i/>
      <sz val="10.5"/>
      <color indexed="12"/>
      <name val="Calibri"/>
      <family val="2"/>
    </font>
    <font>
      <b/>
      <sz val="10.5"/>
      <name val="Calibri"/>
      <family val="2"/>
    </font>
    <font>
      <b/>
      <i/>
      <sz val="10.5"/>
      <color indexed="60"/>
      <name val="Calibri"/>
      <family val="2"/>
    </font>
    <font>
      <b/>
      <i/>
      <sz val="10.5"/>
      <name val="Calibri"/>
      <family val="2"/>
    </font>
    <font>
      <i/>
      <sz val="10.5"/>
      <name val="Calibri"/>
      <family val="2"/>
    </font>
    <font>
      <sz val="11"/>
      <color indexed="9"/>
      <name val="Cambria"/>
      <family val="1"/>
    </font>
    <font>
      <sz val="11"/>
      <name val="Cambria"/>
      <family val="1"/>
    </font>
    <font>
      <b/>
      <i/>
      <sz val="10"/>
      <color indexed="30"/>
      <name val="Calibri"/>
      <family val="2"/>
    </font>
    <font>
      <b/>
      <i/>
      <u/>
      <sz val="11"/>
      <color indexed="30"/>
      <name val="Calibri"/>
      <family val="2"/>
    </font>
    <font>
      <sz val="8"/>
      <color indexed="48"/>
      <name val="Tahoma"/>
      <family val="2"/>
    </font>
    <font>
      <sz val="8"/>
      <color indexed="32"/>
      <name val="Calibri"/>
      <family val="2"/>
    </font>
    <font>
      <sz val="14"/>
      <color indexed="32"/>
      <name val="Calibri"/>
      <family val="2"/>
    </font>
    <font>
      <b/>
      <sz val="10.5"/>
      <color indexed="60"/>
      <name val="Calibri"/>
      <family val="2"/>
    </font>
    <font>
      <b/>
      <u/>
      <sz val="10.5"/>
      <color indexed="9"/>
      <name val="Calibri"/>
      <family val="2"/>
    </font>
    <font>
      <sz val="9"/>
      <color theme="0"/>
      <name val="Calibri"/>
      <family val="2"/>
    </font>
    <font>
      <sz val="10"/>
      <color theme="0"/>
      <name val="Calibri"/>
      <family val="2"/>
    </font>
    <font>
      <b/>
      <sz val="9"/>
      <color theme="0"/>
      <name val="Calibri"/>
      <family val="2"/>
    </font>
    <font>
      <b/>
      <sz val="11"/>
      <color theme="0"/>
      <name val="Calibri"/>
      <family val="2"/>
    </font>
    <font>
      <b/>
      <sz val="10"/>
      <color theme="0"/>
      <name val="Calibri"/>
      <family val="2"/>
    </font>
    <font>
      <sz val="8"/>
      <color theme="0"/>
      <name val="Calibri"/>
      <family val="2"/>
    </font>
    <font>
      <b/>
      <sz val="8"/>
      <color rgb="FF0000CC"/>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b/>
      <sz val="10"/>
      <color indexed="9"/>
      <name val="Calibri"/>
      <family val="2"/>
      <scheme val="minor"/>
    </font>
    <font>
      <b/>
      <sz val="10"/>
      <color indexed="12"/>
      <name val="Calibri"/>
      <family val="2"/>
      <scheme val="minor"/>
    </font>
    <font>
      <b/>
      <sz val="10"/>
      <color rgb="FF7030A0"/>
      <name val="Calibri"/>
      <family val="2"/>
      <scheme val="minor"/>
    </font>
    <font>
      <sz val="10"/>
      <color indexed="12"/>
      <name val="Calibri"/>
      <family val="2"/>
      <scheme val="minor"/>
    </font>
    <font>
      <b/>
      <sz val="10"/>
      <color rgb="FF3333FF"/>
      <name val="Calibri"/>
      <family val="2"/>
      <scheme val="minor"/>
    </font>
    <font>
      <sz val="10"/>
      <color rgb="FF3333FF"/>
      <name val="Calibri"/>
      <family val="2"/>
    </font>
    <font>
      <u/>
      <sz val="10"/>
      <color indexed="12"/>
      <name val="Calibri"/>
      <family val="2"/>
      <scheme val="minor"/>
    </font>
    <font>
      <b/>
      <sz val="12"/>
      <color rgb="FFFF0000"/>
      <name val="Calibri"/>
      <family val="2"/>
    </font>
    <font>
      <b/>
      <i/>
      <sz val="10"/>
      <color theme="0"/>
      <name val="Calibri"/>
      <family val="2"/>
    </font>
    <font>
      <i/>
      <sz val="10"/>
      <color theme="0"/>
      <name val="Calibri"/>
      <family val="2"/>
    </font>
    <font>
      <i/>
      <sz val="10"/>
      <color rgb="FF0000FF"/>
      <name val="Calibri"/>
      <family val="2"/>
    </font>
    <font>
      <sz val="10"/>
      <color rgb="FFFF6600"/>
      <name val="Calibri"/>
      <family val="2"/>
    </font>
    <font>
      <sz val="10"/>
      <color rgb="FF0000FF"/>
      <name val="Calibri"/>
      <family val="2"/>
    </font>
    <font>
      <b/>
      <sz val="10"/>
      <color rgb="FF3366FF"/>
      <name val="Calibri"/>
      <family val="2"/>
    </font>
    <font>
      <i/>
      <sz val="10"/>
      <color rgb="FF3366FF"/>
      <name val="Calibri"/>
      <family val="2"/>
      <scheme val="minor"/>
    </font>
    <font>
      <b/>
      <i/>
      <sz val="10"/>
      <color rgb="FF3366FF"/>
      <name val="Calibri"/>
      <family val="2"/>
    </font>
    <font>
      <i/>
      <sz val="10"/>
      <color rgb="FF7030A0"/>
      <name val="Calibri"/>
      <family val="2"/>
    </font>
    <font>
      <sz val="10"/>
      <color rgb="FF3366FF"/>
      <name val="Calibri"/>
      <family val="2"/>
    </font>
    <font>
      <b/>
      <sz val="11"/>
      <color rgb="FF0000CC"/>
      <name val="Calibri"/>
      <family val="2"/>
    </font>
    <font>
      <sz val="9"/>
      <color theme="0"/>
      <name val="Calibri"/>
      <family val="2"/>
      <scheme val="minor"/>
    </font>
    <font>
      <b/>
      <sz val="10"/>
      <color theme="5" tint="-0.24994659260841701"/>
      <name val="Calibri"/>
      <family val="2"/>
    </font>
    <font>
      <b/>
      <sz val="10.5"/>
      <color theme="0"/>
      <name val="Calibri"/>
      <family val="2"/>
    </font>
    <font>
      <sz val="10"/>
      <color rgb="FF0066CC"/>
      <name val="Calibri"/>
      <family val="2"/>
    </font>
    <font>
      <b/>
      <sz val="9"/>
      <color rgb="FF0066CC"/>
      <name val="Calibri"/>
      <family val="2"/>
    </font>
    <font>
      <b/>
      <sz val="10"/>
      <color rgb="FF0066CC"/>
      <name val="Calibri"/>
      <family val="2"/>
    </font>
    <font>
      <b/>
      <sz val="12"/>
      <color rgb="FF0066CC"/>
      <name val="Calibri"/>
      <family val="2"/>
    </font>
    <font>
      <b/>
      <i/>
      <sz val="10"/>
      <color rgb="FF0066CC"/>
      <name val="Calibri"/>
      <family val="2"/>
    </font>
    <font>
      <i/>
      <sz val="10"/>
      <color rgb="FF0066CC"/>
      <name val="Calibri"/>
      <family val="2"/>
    </font>
    <font>
      <b/>
      <sz val="10.5"/>
      <color rgb="FF0066CC"/>
      <name val="Calibri"/>
      <family val="2"/>
    </font>
    <font>
      <sz val="10"/>
      <color theme="5" tint="-0.24994659260841701"/>
      <name val="Calibri"/>
      <family val="2"/>
    </font>
    <font>
      <sz val="10"/>
      <color rgb="FF008000"/>
      <name val="Calibri"/>
      <family val="2"/>
    </font>
    <font>
      <b/>
      <sz val="10"/>
      <color rgb="FF008000"/>
      <name val="Calibri"/>
      <family val="2"/>
    </font>
    <font>
      <b/>
      <sz val="11"/>
      <color rgb="FF008000"/>
      <name val="Calibri"/>
      <family val="2"/>
    </font>
    <font>
      <b/>
      <sz val="10.5"/>
      <color rgb="FF008000"/>
      <name val="Calibri"/>
      <family val="2"/>
    </font>
    <font>
      <b/>
      <sz val="10.5"/>
      <color rgb="FF002060"/>
      <name val="Calibri"/>
      <family val="2"/>
    </font>
    <font>
      <b/>
      <i/>
      <sz val="8.5"/>
      <color theme="0"/>
      <name val="Calibri"/>
      <family val="2"/>
      <scheme val="minor"/>
    </font>
    <font>
      <b/>
      <i/>
      <sz val="10.5"/>
      <color theme="0"/>
      <name val="Calibri"/>
      <family val="2"/>
      <scheme val="minor"/>
    </font>
    <font>
      <b/>
      <sz val="10"/>
      <color theme="9" tint="-0.24994659260841701"/>
      <name val="Calibri"/>
      <family val="2"/>
    </font>
    <font>
      <b/>
      <sz val="10"/>
      <color rgb="FF7030A0"/>
      <name val="Calibri"/>
      <family val="2"/>
    </font>
    <font>
      <sz val="10.5"/>
      <color rgb="FF0066CC"/>
      <name val="Calibri"/>
      <family val="2"/>
    </font>
    <font>
      <sz val="14"/>
      <name val="Calibri"/>
      <family val="2"/>
      <scheme val="minor"/>
    </font>
    <font>
      <sz val="9"/>
      <name val="Calibri"/>
      <family val="2"/>
      <scheme val="minor"/>
    </font>
    <font>
      <sz val="11"/>
      <name val="Calibri"/>
      <family val="2"/>
      <scheme val="minor"/>
    </font>
    <font>
      <b/>
      <i/>
      <sz val="10.5"/>
      <color theme="5" tint="-0.24994659260841701"/>
      <name val="Calibri"/>
      <family val="2"/>
    </font>
    <font>
      <sz val="10"/>
      <color theme="0"/>
      <name val="Times New Roman"/>
      <family val="1"/>
    </font>
    <font>
      <b/>
      <sz val="10"/>
      <color rgb="FF0000FF"/>
      <name val="Calibri"/>
      <family val="2"/>
    </font>
    <font>
      <b/>
      <sz val="10.5"/>
      <color rgb="FF0000FF"/>
      <name val="Calibri"/>
      <family val="2"/>
    </font>
    <font>
      <b/>
      <i/>
      <sz val="10"/>
      <color rgb="FF000080"/>
      <name val="Calibri"/>
      <family val="2"/>
    </font>
    <font>
      <b/>
      <sz val="12"/>
      <color indexed="56"/>
      <name val="Calibri"/>
      <family val="2"/>
      <scheme val="minor"/>
    </font>
    <font>
      <sz val="10"/>
      <color indexed="32"/>
      <name val="Calibri"/>
      <family val="2"/>
      <scheme val="minor"/>
    </font>
    <font>
      <sz val="8"/>
      <color rgb="FF3333FF"/>
      <name val="Calibri"/>
      <family val="2"/>
    </font>
    <font>
      <sz val="10"/>
      <color rgb="FF000080"/>
      <name val="Calibri"/>
      <family val="2"/>
    </font>
    <font>
      <sz val="11"/>
      <color theme="0"/>
      <name val="Calibri"/>
      <family val="2"/>
    </font>
    <font>
      <b/>
      <sz val="10"/>
      <color rgb="FF000080"/>
      <name val="Calibri"/>
      <family val="2"/>
    </font>
    <font>
      <sz val="10"/>
      <color rgb="FF800000"/>
      <name val="Calibri"/>
      <family val="2"/>
    </font>
    <font>
      <b/>
      <sz val="8"/>
      <color rgb="FF0000CC"/>
      <name val="Calibri"/>
      <family val="2"/>
    </font>
    <font>
      <b/>
      <sz val="12"/>
      <color theme="0"/>
      <name val="Calibri"/>
      <family val="2"/>
    </font>
    <font>
      <sz val="10"/>
      <color rgb="FF0066CC"/>
      <name val="Calibri"/>
      <family val="2"/>
      <scheme val="minor"/>
    </font>
    <font>
      <b/>
      <u/>
      <sz val="12"/>
      <color rgb="FF002060"/>
      <name val="Calibri"/>
      <family val="2"/>
      <scheme val="minor"/>
    </font>
    <font>
      <b/>
      <u/>
      <sz val="12"/>
      <color theme="9" tint="-0.249977111117893"/>
      <name val="Calibri"/>
      <family val="2"/>
      <scheme val="minor"/>
    </font>
    <font>
      <b/>
      <sz val="10.5"/>
      <color theme="0"/>
      <name val="Calibri"/>
      <family val="2"/>
      <scheme val="minor"/>
    </font>
    <font>
      <b/>
      <sz val="12"/>
      <color theme="0"/>
      <name val="Calibri"/>
      <family val="2"/>
      <scheme val="minor"/>
    </font>
    <font>
      <sz val="11"/>
      <color rgb="FF000080"/>
      <name val="Calibri"/>
      <family val="2"/>
    </font>
    <font>
      <sz val="9"/>
      <color rgb="FF000080"/>
      <name val="Calibri"/>
      <family val="2"/>
    </font>
    <font>
      <b/>
      <i/>
      <sz val="10.5"/>
      <color theme="0"/>
      <name val="Calibri"/>
      <family val="2"/>
    </font>
    <font>
      <b/>
      <u/>
      <sz val="12"/>
      <color theme="0"/>
      <name val="Calibri"/>
      <family val="2"/>
      <scheme val="minor"/>
    </font>
    <font>
      <b/>
      <sz val="12"/>
      <color rgb="FF464646"/>
      <name val="Calibri"/>
      <family val="2"/>
    </font>
    <font>
      <sz val="10"/>
      <color theme="0" tint="-0.24994659260841701"/>
      <name val="Calibri"/>
      <family val="2"/>
    </font>
    <font>
      <b/>
      <i/>
      <sz val="18"/>
      <color rgb="FFD21034"/>
      <name val="Calibri"/>
      <family val="2"/>
    </font>
    <font>
      <b/>
      <i/>
      <sz val="9"/>
      <color theme="0"/>
      <name val="Calibri"/>
      <family val="2"/>
      <scheme val="minor"/>
    </font>
    <font>
      <b/>
      <i/>
      <sz val="20"/>
      <color rgb="FFD21034"/>
      <name val="Calibri"/>
      <family val="2"/>
    </font>
    <font>
      <b/>
      <i/>
      <sz val="12"/>
      <color rgb="FFFF0000"/>
      <name val="Calibri"/>
      <family val="2"/>
    </font>
    <font>
      <sz val="11"/>
      <color rgb="FF000080"/>
      <name val="Calibri"/>
      <family val="2"/>
      <scheme val="minor"/>
    </font>
    <font>
      <sz val="10"/>
      <color theme="6" tint="-0.24994659260841701"/>
      <name val="Calibri"/>
      <family val="2"/>
    </font>
    <font>
      <b/>
      <i/>
      <sz val="10"/>
      <color theme="0"/>
      <name val="Calibri"/>
      <family val="2"/>
      <scheme val="minor"/>
    </font>
    <font>
      <sz val="10.5"/>
      <color theme="0"/>
      <name val="Calibri"/>
      <family val="2"/>
      <scheme val="minor"/>
    </font>
    <font>
      <sz val="12"/>
      <color theme="0"/>
      <name val="Calibri"/>
      <family val="2"/>
      <scheme val="minor"/>
    </font>
    <font>
      <b/>
      <i/>
      <sz val="10"/>
      <color rgb="FF0000FF"/>
      <name val="Calibri"/>
      <family val="2"/>
    </font>
    <font>
      <sz val="8"/>
      <name val="Calibri"/>
      <family val="2"/>
      <scheme val="minor"/>
    </font>
    <font>
      <b/>
      <sz val="10"/>
      <color rgb="FFFF0000"/>
      <name val="Calibri"/>
      <family val="2"/>
    </font>
    <font>
      <b/>
      <i/>
      <sz val="10"/>
      <color theme="8"/>
      <name val="Calibri"/>
      <family val="2"/>
    </font>
    <font>
      <b/>
      <i/>
      <sz val="10.5"/>
      <color theme="8" tint="-0.24994659260841701"/>
      <name val="Calibri"/>
      <family val="2"/>
    </font>
    <font>
      <b/>
      <sz val="10"/>
      <color rgb="FF002060"/>
      <name val="Calibri"/>
      <family val="2"/>
    </font>
    <font>
      <b/>
      <sz val="10"/>
      <color theme="8"/>
      <name val="Calibri"/>
      <family val="2"/>
    </font>
    <font>
      <sz val="8"/>
      <color rgb="FF000000"/>
      <name val="Tahoma"/>
      <family val="2"/>
    </font>
    <font>
      <sz val="9"/>
      <color rgb="FF0000FF"/>
      <name val="Times New Roman"/>
      <family val="1"/>
    </font>
    <font>
      <b/>
      <sz val="12"/>
      <color rgb="FF002060"/>
      <name val="Calibri"/>
      <family val="2"/>
    </font>
    <font>
      <sz val="10"/>
      <color rgb="FF002060"/>
      <name val="Calibri"/>
      <family val="2"/>
      <scheme val="minor"/>
    </font>
    <font>
      <sz val="10"/>
      <color rgb="FF002060"/>
      <name val="Arial"/>
      <family val="2"/>
    </font>
    <font>
      <sz val="10"/>
      <color rgb="FF0000CC"/>
      <name val="Calibri"/>
      <family val="2"/>
      <scheme val="minor"/>
    </font>
    <font>
      <b/>
      <sz val="10"/>
      <color rgb="FF0000CC"/>
      <name val="Calibri"/>
      <family val="2"/>
      <scheme val="minor"/>
    </font>
    <font>
      <b/>
      <sz val="10"/>
      <color rgb="FF002060"/>
      <name val="Calibri"/>
      <family val="2"/>
      <scheme val="minor"/>
    </font>
    <font>
      <b/>
      <sz val="12"/>
      <name val="Calibri"/>
      <family val="2"/>
      <scheme val="minor"/>
    </font>
    <font>
      <i/>
      <sz val="10"/>
      <color rgb="FF0000CC"/>
      <name val="Calibri"/>
      <family val="2"/>
      <scheme val="minor"/>
    </font>
    <font>
      <i/>
      <sz val="8"/>
      <name val="Calibri"/>
      <family val="2"/>
      <scheme val="minor"/>
    </font>
    <font>
      <sz val="10"/>
      <name val="Cambria"/>
      <family val="1"/>
    </font>
    <font>
      <sz val="8"/>
      <name val="Cambria"/>
      <family val="1"/>
    </font>
    <font>
      <b/>
      <sz val="8"/>
      <name val="Cambria"/>
      <family val="1"/>
    </font>
    <font>
      <sz val="9"/>
      <color rgb="FF002060"/>
      <name val="Calibri"/>
      <family val="2"/>
    </font>
    <font>
      <sz val="9"/>
      <color rgb="FF0000FF"/>
      <name val="Calibri"/>
      <family val="2"/>
    </font>
    <font>
      <sz val="10"/>
      <color rgb="FF002060"/>
      <name val="Calibri"/>
      <family val="2"/>
    </font>
    <font>
      <b/>
      <sz val="8"/>
      <color theme="0"/>
      <name val="Calibri"/>
      <family val="2"/>
      <scheme val="minor"/>
    </font>
    <font>
      <b/>
      <sz val="8"/>
      <color rgb="FF0000FF"/>
      <name val="Calibri"/>
      <family val="2"/>
      <scheme val="minor"/>
    </font>
    <font>
      <sz val="10"/>
      <color rgb="FF0000FF"/>
      <name val="Calibri"/>
      <family val="2"/>
      <scheme val="minor"/>
    </font>
    <font>
      <b/>
      <sz val="10"/>
      <color rgb="FFCC6600"/>
      <name val="Calibri"/>
      <family val="2"/>
    </font>
    <font>
      <i/>
      <sz val="10"/>
      <color indexed="25"/>
      <name val="Calibri"/>
      <family val="2"/>
    </font>
    <font>
      <sz val="9"/>
      <color indexed="12"/>
      <name val="Tahoma"/>
      <family val="2"/>
    </font>
    <font>
      <b/>
      <sz val="9"/>
      <color indexed="81"/>
      <name val="Tahoma"/>
      <family val="2"/>
    </font>
    <font>
      <b/>
      <i/>
      <sz val="10"/>
      <color rgb="FF7030A0"/>
      <name val="Calibri"/>
      <family val="2"/>
    </font>
    <font>
      <b/>
      <sz val="8"/>
      <color rgb="FF002060"/>
      <name val="Calibri"/>
      <family val="2"/>
    </font>
    <font>
      <b/>
      <sz val="9"/>
      <color rgb="FF002060"/>
      <name val="Calibri"/>
      <family val="2"/>
    </font>
    <font>
      <b/>
      <i/>
      <sz val="8"/>
      <color rgb="FF002060"/>
      <name val="Calibri"/>
      <family val="2"/>
    </font>
    <font>
      <b/>
      <i/>
      <sz val="9"/>
      <color rgb="FF0000CC"/>
      <name val="Calibri"/>
      <family val="2"/>
    </font>
    <font>
      <i/>
      <sz val="10"/>
      <color rgb="FF002060"/>
      <name val="Calibri"/>
      <family val="2"/>
    </font>
    <font>
      <b/>
      <sz val="10"/>
      <color rgb="FF0000CC"/>
      <name val="Calibri"/>
      <family val="2"/>
    </font>
    <font>
      <sz val="10"/>
      <color rgb="FF0000CC"/>
      <name val="Calibri"/>
      <family val="2"/>
    </font>
    <font>
      <b/>
      <sz val="10"/>
      <color rgb="FF0000FF"/>
      <name val="Calibri"/>
      <family val="2"/>
      <scheme val="minor"/>
    </font>
    <font>
      <b/>
      <i/>
      <sz val="12"/>
      <color theme="0"/>
      <name val="Calibri"/>
      <family val="2"/>
    </font>
    <font>
      <b/>
      <i/>
      <sz val="8"/>
      <color rgb="FFFF0000"/>
      <name val="Calibri"/>
      <family val="2"/>
    </font>
    <font>
      <sz val="8"/>
      <color rgb="FFFF0000"/>
      <name val="Calibri"/>
      <family val="2"/>
    </font>
    <font>
      <b/>
      <sz val="10"/>
      <color theme="9" tint="-0.24994659260841701"/>
      <name val="Calibri"/>
      <family val="2"/>
      <scheme val="minor"/>
    </font>
    <font>
      <b/>
      <i/>
      <sz val="10"/>
      <color theme="9" tint="-0.24994659260841701"/>
      <name val="Calibri"/>
      <family val="2"/>
    </font>
    <font>
      <sz val="10"/>
      <color theme="6" tint="-0.499984740745262"/>
      <name val="Calibri"/>
      <family val="2"/>
    </font>
    <font>
      <sz val="10"/>
      <color theme="6" tint="-0.499984740745262"/>
      <name val="Times New Roman"/>
      <family val="1"/>
    </font>
    <font>
      <sz val="10"/>
      <color theme="6" tint="-0.499984740745262"/>
      <name val="Calibri"/>
      <family val="2"/>
      <scheme val="minor"/>
    </font>
    <font>
      <b/>
      <sz val="10"/>
      <color theme="6" tint="-0.499984740745262"/>
      <name val="Calibri"/>
      <family val="2"/>
    </font>
    <font>
      <i/>
      <sz val="10"/>
      <color theme="6" tint="-0.499984740745262"/>
      <name val="Calibri"/>
      <family val="2"/>
    </font>
    <font>
      <b/>
      <i/>
      <sz val="10"/>
      <color theme="6" tint="-0.499984740745262"/>
      <name val="Calibri"/>
      <family val="2"/>
    </font>
    <font>
      <b/>
      <sz val="10"/>
      <color rgb="FFCC6600"/>
      <name val="Calibri"/>
      <family val="2"/>
      <scheme val="minor"/>
    </font>
    <font>
      <i/>
      <sz val="9"/>
      <color theme="9" tint="-0.24994659260841701"/>
      <name val="Calibri"/>
      <family val="2"/>
      <scheme val="minor"/>
    </font>
    <font>
      <b/>
      <i/>
      <sz val="10"/>
      <color rgb="FF002060"/>
      <name val="Calibri"/>
      <family val="2"/>
    </font>
    <font>
      <sz val="7"/>
      <color indexed="12"/>
      <name val="Tahoma"/>
      <family val="2"/>
    </font>
    <font>
      <b/>
      <sz val="10.5"/>
      <color indexed="56"/>
      <name val="Calibri"/>
      <family val="2"/>
    </font>
    <font>
      <b/>
      <sz val="10"/>
      <color indexed="48"/>
      <name val="Calibri"/>
      <family val="2"/>
    </font>
    <font>
      <b/>
      <i/>
      <sz val="10"/>
      <name val="Cambria"/>
      <family val="1"/>
    </font>
    <font>
      <b/>
      <sz val="11"/>
      <name val="Cambria"/>
      <family val="1"/>
    </font>
    <font>
      <b/>
      <i/>
      <sz val="12"/>
      <color theme="6" tint="-0.24994659260841701"/>
      <name val="Calibri"/>
      <family val="2"/>
    </font>
    <font>
      <b/>
      <sz val="11"/>
      <color theme="0"/>
      <name val="Calibri"/>
      <family val="2"/>
      <scheme val="minor"/>
    </font>
    <font>
      <sz val="11"/>
      <color theme="0"/>
      <name val="Calibri"/>
      <family val="2"/>
      <scheme val="minor"/>
    </font>
    <font>
      <i/>
      <sz val="10"/>
      <color rgb="FFFF0000"/>
      <name val="Calibri"/>
      <family val="2"/>
    </font>
    <font>
      <sz val="10.5"/>
      <color rgb="FF008000"/>
      <name val="Calibri"/>
      <family val="2"/>
    </font>
    <font>
      <b/>
      <sz val="10.5"/>
      <color rgb="FF0066CC"/>
      <name val="Calibri"/>
      <family val="2"/>
      <scheme val="minor"/>
    </font>
    <font>
      <b/>
      <sz val="10"/>
      <color rgb="FF0066CC"/>
      <name val="Calibri"/>
      <family val="2"/>
      <scheme val="minor"/>
    </font>
    <font>
      <sz val="10"/>
      <color rgb="FFFF0000"/>
      <name val="Calibri"/>
      <family val="2"/>
    </font>
    <font>
      <sz val="9"/>
      <color rgb="FFFF0000"/>
      <name val="Calibri"/>
      <family val="2"/>
    </font>
    <font>
      <b/>
      <i/>
      <sz val="10"/>
      <color rgb="FF0000CC"/>
      <name val="Calibri"/>
      <family val="2"/>
      <scheme val="minor"/>
    </font>
    <font>
      <b/>
      <sz val="18"/>
      <color theme="6" tint="-0.249977111117893"/>
      <name val="Wingdings"/>
      <charset val="2"/>
    </font>
    <font>
      <sz val="18"/>
      <name val="Calibri"/>
      <family val="2"/>
    </font>
    <font>
      <b/>
      <sz val="10"/>
      <color theme="0"/>
      <name val="Times New Roman"/>
      <family val="1"/>
    </font>
    <font>
      <b/>
      <sz val="10"/>
      <color rgb="FF0000CC"/>
      <name val="Times New Roman"/>
      <family val="1"/>
    </font>
    <font>
      <b/>
      <i/>
      <sz val="10"/>
      <color rgb="FF0000FF"/>
      <name val="Symbol"/>
      <family val="1"/>
      <charset val="2"/>
    </font>
    <font>
      <i/>
      <sz val="10"/>
      <color theme="0"/>
      <name val="Calibri"/>
      <family val="2"/>
      <scheme val="minor"/>
    </font>
    <font>
      <sz val="8"/>
      <color rgb="FF002060"/>
      <name val="Calibri"/>
      <family val="2"/>
      <scheme val="minor"/>
    </font>
    <font>
      <sz val="8"/>
      <color rgb="FF002060"/>
      <name val="Symbol"/>
      <family val="1"/>
      <charset val="2"/>
    </font>
    <font>
      <sz val="8"/>
      <color theme="0"/>
      <name val="Calibri"/>
      <family val="2"/>
      <scheme val="minor"/>
    </font>
    <font>
      <sz val="10"/>
      <color indexed="16"/>
      <name val="Calibri"/>
      <family val="2"/>
    </font>
    <font>
      <b/>
      <sz val="10"/>
      <color rgb="FF800000"/>
      <name val="Calibri"/>
      <family val="2"/>
    </font>
    <font>
      <b/>
      <sz val="10.5"/>
      <color indexed="9"/>
      <name val="Times New Roman"/>
      <family val="1"/>
    </font>
    <font>
      <sz val="10.5"/>
      <name val="Calibri"/>
      <family val="2"/>
      <scheme val="minor"/>
    </font>
    <font>
      <sz val="10"/>
      <color rgb="FF3333FF"/>
      <name val="Calibri"/>
      <family val="2"/>
      <scheme val="minor"/>
    </font>
    <font>
      <b/>
      <sz val="20"/>
      <color indexed="9"/>
      <name val="Calibri"/>
      <family val="2"/>
    </font>
    <font>
      <sz val="10"/>
      <color rgb="FF002060"/>
      <name val="Times New Roman"/>
      <family val="1"/>
    </font>
    <font>
      <sz val="14"/>
      <color theme="0"/>
      <name val="Calibri"/>
      <family val="2"/>
    </font>
    <font>
      <sz val="12"/>
      <color theme="0"/>
      <name val="Calibri"/>
      <family val="2"/>
    </font>
    <font>
      <i/>
      <sz val="11"/>
      <color theme="0"/>
      <name val="Calibri"/>
      <family val="2"/>
    </font>
    <font>
      <i/>
      <sz val="9"/>
      <color theme="0"/>
      <name val="Calibri"/>
      <family val="2"/>
    </font>
    <font>
      <i/>
      <sz val="9"/>
      <color rgb="FF0000FF"/>
      <name val="Calibri"/>
      <family val="2"/>
    </font>
    <font>
      <b/>
      <vertAlign val="superscript"/>
      <sz val="10"/>
      <color theme="0"/>
      <name val="Calibri"/>
      <family val="2"/>
      <scheme val="minor"/>
    </font>
    <font>
      <b/>
      <sz val="11"/>
      <color rgb="FF002060"/>
      <name val="Calibri"/>
      <family val="2"/>
    </font>
    <font>
      <sz val="10.5"/>
      <color rgb="FF002060"/>
      <name val="Calibri"/>
      <family val="2"/>
    </font>
    <font>
      <b/>
      <sz val="10.5"/>
      <color rgb="FF000080"/>
      <name val="Calibri"/>
      <family val="2"/>
    </font>
    <font>
      <b/>
      <sz val="12"/>
      <color rgb="FF0066CC"/>
      <name val="Calibri"/>
      <family val="2"/>
      <scheme val="minor"/>
    </font>
    <font>
      <b/>
      <sz val="11"/>
      <color rgb="FF0066CC"/>
      <name val="Calibri"/>
      <family val="2"/>
      <scheme val="minor"/>
    </font>
    <font>
      <b/>
      <i/>
      <sz val="11"/>
      <color theme="0"/>
      <name val="Calibri"/>
      <family val="2"/>
    </font>
    <font>
      <b/>
      <i/>
      <sz val="9"/>
      <color theme="0"/>
      <name val="Calibri"/>
      <family val="2"/>
    </font>
    <font>
      <i/>
      <sz val="10"/>
      <color rgb="FF800080"/>
      <name val="Calibri"/>
      <family val="2"/>
    </font>
    <font>
      <sz val="10"/>
      <color indexed="9"/>
      <name val="Calibri"/>
      <family val="2"/>
      <scheme val="minor"/>
    </font>
    <font>
      <b/>
      <sz val="9"/>
      <name val="Calibri"/>
      <family val="2"/>
      <scheme val="minor"/>
    </font>
    <font>
      <b/>
      <sz val="12"/>
      <color rgb="FF002060"/>
      <name val="Calibri"/>
      <family val="2"/>
      <scheme val="minor"/>
    </font>
    <font>
      <sz val="8"/>
      <color rgb="FF002060"/>
      <name val="Calibri"/>
      <family val="2"/>
    </font>
    <font>
      <b/>
      <sz val="8"/>
      <color theme="0"/>
      <name val="Calibri"/>
      <family val="2"/>
    </font>
    <font>
      <b/>
      <sz val="10.5"/>
      <color theme="9" tint="-0.24994659260841701"/>
      <name val="Calibri"/>
      <family val="2"/>
    </font>
    <font>
      <b/>
      <sz val="10.3"/>
      <color rgb="FF002060"/>
      <name val="Calibri"/>
      <family val="2"/>
      <scheme val="minor"/>
    </font>
    <font>
      <b/>
      <sz val="10.3"/>
      <color theme="9" tint="-0.24994659260841701"/>
      <name val="Calibri"/>
      <family val="2"/>
      <scheme val="minor"/>
    </font>
    <font>
      <b/>
      <sz val="10.3"/>
      <color rgb="FF0066CC"/>
      <name val="Calibri"/>
      <family val="2"/>
      <scheme val="minor"/>
    </font>
    <font>
      <b/>
      <i/>
      <sz val="10"/>
      <color indexed="9"/>
      <name val="Calibri"/>
      <family val="2"/>
      <scheme val="minor"/>
    </font>
    <font>
      <sz val="8"/>
      <color indexed="12"/>
      <name val="Calibri"/>
      <family val="2"/>
      <scheme val="minor"/>
    </font>
    <font>
      <b/>
      <sz val="12"/>
      <color indexed="9"/>
      <name val="Calibri"/>
      <family val="2"/>
      <scheme val="minor"/>
    </font>
    <font>
      <sz val="12"/>
      <color rgb="FF002060"/>
      <name val="Calibri"/>
      <family val="2"/>
      <scheme val="minor"/>
    </font>
    <font>
      <b/>
      <sz val="12"/>
      <color theme="9" tint="-0.24994659260841701"/>
      <name val="Calibri"/>
      <family val="2"/>
      <scheme val="minor"/>
    </font>
    <font>
      <b/>
      <sz val="12"/>
      <color rgb="FF0000FF"/>
      <name val="Calibri"/>
      <family val="2"/>
      <scheme val="minor"/>
    </font>
    <font>
      <i/>
      <sz val="8"/>
      <color indexed="12"/>
      <name val="Calibri"/>
      <family val="2"/>
      <scheme val="minor"/>
    </font>
    <font>
      <i/>
      <sz val="11"/>
      <name val="Calibri"/>
      <family val="2"/>
      <scheme val="minor"/>
    </font>
    <font>
      <b/>
      <sz val="10"/>
      <color rgb="FF000080"/>
      <name val="Calibri"/>
      <family val="2"/>
      <scheme val="minor"/>
    </font>
    <font>
      <b/>
      <i/>
      <sz val="10"/>
      <color indexed="10"/>
      <name val="Calibri"/>
      <family val="2"/>
      <scheme val="minor"/>
    </font>
    <font>
      <sz val="10"/>
      <color rgb="FF000080"/>
      <name val="Calibri"/>
      <family val="2"/>
      <scheme val="minor"/>
    </font>
    <font>
      <b/>
      <i/>
      <sz val="9"/>
      <color rgb="FF002060"/>
      <name val="Calibri"/>
      <family val="2"/>
    </font>
    <font>
      <b/>
      <i/>
      <sz val="10.5"/>
      <color rgb="FF0000FF"/>
      <name val="Calibri"/>
      <family val="2"/>
    </font>
    <font>
      <sz val="10"/>
      <color rgb="FF7030A0"/>
      <name val="Calibri"/>
      <family val="2"/>
    </font>
    <font>
      <b/>
      <i/>
      <sz val="12"/>
      <color rgb="FF99CC00"/>
      <name val="Calibri"/>
      <family val="2"/>
    </font>
    <font>
      <b/>
      <i/>
      <sz val="12"/>
      <color rgb="FF00FF00"/>
      <name val="Calibri"/>
      <family val="2"/>
    </font>
    <font>
      <b/>
      <sz val="12"/>
      <color rgb="FF99CC00"/>
      <name val="Calibri"/>
      <family val="2"/>
    </font>
    <font>
      <b/>
      <sz val="12"/>
      <color theme="6" tint="-0.24994659260841701"/>
      <name val="Calibri"/>
      <family val="2"/>
    </font>
    <font>
      <b/>
      <i/>
      <sz val="12"/>
      <color rgb="FF00FF99"/>
      <name val="Calibri"/>
      <family val="2"/>
    </font>
    <font>
      <b/>
      <sz val="13"/>
      <color indexed="9"/>
      <name val="Calibri"/>
      <family val="2"/>
    </font>
    <font>
      <b/>
      <i/>
      <sz val="13"/>
      <color rgb="FF99CC00"/>
      <name val="Calibri"/>
      <family val="2"/>
    </font>
    <font>
      <sz val="10"/>
      <color theme="9" tint="-0.24994659260841701"/>
      <name val="Calibri"/>
      <family val="2"/>
    </font>
    <font>
      <b/>
      <sz val="18"/>
      <color theme="0"/>
      <name val="Calibri"/>
      <family val="2"/>
    </font>
    <font>
      <b/>
      <i/>
      <sz val="18"/>
      <color rgb="FF99CC00"/>
      <name val="Calibri"/>
      <family val="2"/>
    </font>
    <font>
      <b/>
      <i/>
      <sz val="13"/>
      <color indexed="9"/>
      <name val="Calibri"/>
      <family val="2"/>
    </font>
    <font>
      <b/>
      <i/>
      <sz val="10"/>
      <color rgb="FFFF0000"/>
      <name val="Calibri"/>
      <family val="2"/>
    </font>
    <font>
      <i/>
      <sz val="9"/>
      <color indexed="12"/>
      <name val="Calibri"/>
      <family val="2"/>
    </font>
    <font>
      <b/>
      <sz val="11.6"/>
      <color theme="0"/>
      <name val="Calibri"/>
      <family val="2"/>
      <scheme val="minor"/>
    </font>
    <font>
      <b/>
      <i/>
      <sz val="11.6"/>
      <color rgb="FF99CC00"/>
      <name val="Calibri"/>
      <family val="2"/>
      <scheme val="minor"/>
    </font>
    <font>
      <b/>
      <sz val="11"/>
      <color theme="0"/>
      <name val="Times New Roman"/>
      <family val="1"/>
    </font>
    <font>
      <b/>
      <i/>
      <sz val="10"/>
      <color theme="0"/>
      <name val="Times New Roman"/>
      <family val="1"/>
    </font>
    <font>
      <b/>
      <u/>
      <sz val="10"/>
      <color indexed="12"/>
      <name val="Calibri"/>
      <family val="2"/>
    </font>
    <font>
      <sz val="12"/>
      <name val="Arial"/>
      <family val="2"/>
    </font>
    <font>
      <b/>
      <sz val="10.5"/>
      <color theme="0"/>
      <name val="Arial"/>
      <family val="2"/>
    </font>
    <font>
      <sz val="10"/>
      <color theme="0"/>
      <name val="Arial"/>
      <family val="2"/>
    </font>
    <font>
      <sz val="10.5"/>
      <color rgb="FF333399"/>
      <name val="Calibri"/>
      <family val="2"/>
    </font>
    <font>
      <sz val="10.5"/>
      <color rgb="FF000080"/>
      <name val="Calibri"/>
      <family val="2"/>
    </font>
    <font>
      <b/>
      <i/>
      <sz val="12"/>
      <color theme="6" tint="-0.249977111117893"/>
      <name val="Calibri"/>
      <family val="2"/>
    </font>
    <font>
      <sz val="9"/>
      <color indexed="39"/>
      <name val="Calibri"/>
      <family val="2"/>
    </font>
    <font>
      <sz val="12"/>
      <name val="Calibri"/>
      <family val="2"/>
      <scheme val="minor"/>
    </font>
    <font>
      <b/>
      <vertAlign val="superscript"/>
      <sz val="12"/>
      <color indexed="9"/>
      <name val="Calibri"/>
      <family val="2"/>
      <scheme val="minor"/>
    </font>
    <font>
      <b/>
      <i/>
      <sz val="12"/>
      <color rgb="FF99CC00"/>
      <name val="Calibri"/>
      <family val="2"/>
      <scheme val="minor"/>
    </font>
    <font>
      <b/>
      <i/>
      <sz val="10"/>
      <color indexed="36"/>
      <name val="Calibri"/>
      <family val="2"/>
    </font>
    <font>
      <b/>
      <sz val="9"/>
      <color rgb="FF3333FF"/>
      <name val="Calibri"/>
      <family val="2"/>
    </font>
    <font>
      <b/>
      <sz val="9"/>
      <color indexed="48"/>
      <name val="Calibri"/>
      <family val="2"/>
    </font>
    <font>
      <b/>
      <sz val="9"/>
      <color indexed="12"/>
      <name val="Calibri"/>
      <family val="2"/>
    </font>
    <font>
      <sz val="10"/>
      <color theme="1"/>
      <name val="Calibri"/>
      <family val="2"/>
    </font>
    <font>
      <sz val="9"/>
      <color theme="0"/>
      <name val="Arial"/>
      <family val="2"/>
    </font>
    <font>
      <b/>
      <sz val="8"/>
      <name val="Calibri"/>
      <family val="2"/>
      <scheme val="minor"/>
    </font>
    <font>
      <b/>
      <sz val="10.5"/>
      <color rgb="FF002060"/>
      <name val="Calibri"/>
      <family val="2"/>
      <scheme val="minor"/>
    </font>
    <font>
      <sz val="10.5"/>
      <color rgb="FF002060"/>
      <name val="Calibri"/>
      <family val="2"/>
      <scheme val="minor"/>
    </font>
    <font>
      <i/>
      <sz val="10"/>
      <color rgb="FF0000CC"/>
      <name val="Calibri"/>
      <family val="2"/>
    </font>
    <font>
      <b/>
      <i/>
      <sz val="10"/>
      <color rgb="FFC00000"/>
      <name val="Calibri"/>
      <family val="2"/>
    </font>
    <font>
      <b/>
      <sz val="10"/>
      <color rgb="FFC00000"/>
      <name val="Calibri"/>
      <family val="2"/>
    </font>
    <font>
      <sz val="10.5"/>
      <color theme="0"/>
      <name val="Calibri"/>
      <family val="2"/>
    </font>
    <font>
      <b/>
      <sz val="9"/>
      <color theme="0"/>
      <name val="Calibri"/>
      <family val="2"/>
      <scheme val="minor"/>
    </font>
    <font>
      <i/>
      <sz val="11"/>
      <color indexed="53"/>
      <name val="Calibri"/>
      <family val="2"/>
    </font>
    <font>
      <i/>
      <sz val="12"/>
      <color indexed="56"/>
      <name val="Calibri"/>
      <family val="2"/>
    </font>
    <font>
      <b/>
      <i/>
      <u/>
      <sz val="12"/>
      <color indexed="56"/>
      <name val="Calibri"/>
      <family val="2"/>
    </font>
    <font>
      <b/>
      <i/>
      <sz val="10"/>
      <color rgb="FF002060"/>
      <name val="Cambria"/>
      <family val="1"/>
    </font>
    <font>
      <sz val="10"/>
      <color rgb="FF002060"/>
      <name val="Cambria"/>
      <family val="1"/>
    </font>
    <font>
      <sz val="9"/>
      <color rgb="FF002060"/>
      <name val="Calibri"/>
      <family val="2"/>
      <scheme val="minor"/>
    </font>
    <font>
      <sz val="11"/>
      <color rgb="FF002060"/>
      <name val="Calibri"/>
      <family val="2"/>
      <scheme val="minor"/>
    </font>
    <font>
      <sz val="10"/>
      <color rgb="FFFF6600"/>
      <name val="Calibri"/>
      <family val="2"/>
      <scheme val="minor"/>
    </font>
    <font>
      <b/>
      <sz val="10.5"/>
      <color theme="8"/>
      <name val="Calibri"/>
      <family val="2"/>
    </font>
    <font>
      <i/>
      <sz val="10.5"/>
      <color rgb="FF0000CC"/>
      <name val="Calibri"/>
      <family val="2"/>
    </font>
    <font>
      <b/>
      <sz val="10.5"/>
      <color rgb="FF0000CC"/>
      <name val="Calibri"/>
      <family val="2"/>
    </font>
    <font>
      <sz val="9"/>
      <color indexed="28"/>
      <name val="Calibri"/>
      <family val="2"/>
      <scheme val="minor"/>
    </font>
    <font>
      <sz val="9"/>
      <color indexed="81"/>
      <name val="Tahoma"/>
      <family val="2"/>
    </font>
    <font>
      <sz val="9"/>
      <color indexed="62"/>
      <name val="Tahoma"/>
      <family val="2"/>
    </font>
    <font>
      <vertAlign val="superscript"/>
      <sz val="11"/>
      <color indexed="32"/>
      <name val="Calibri"/>
      <family val="2"/>
    </font>
    <font>
      <b/>
      <i/>
      <sz val="12"/>
      <color rgb="FF002060"/>
      <name val="Calibri"/>
      <family val="2"/>
      <scheme val="minor"/>
    </font>
    <font>
      <b/>
      <sz val="10.5"/>
      <name val="Calibri"/>
      <family val="2"/>
      <scheme val="minor"/>
    </font>
    <font>
      <sz val="10.5"/>
      <color indexed="30"/>
      <name val="Calibri"/>
      <family val="2"/>
    </font>
    <font>
      <sz val="10.5"/>
      <color indexed="10"/>
      <name val="Calibri"/>
      <family val="2"/>
    </font>
    <font>
      <sz val="10.5"/>
      <color indexed="53"/>
      <name val="Calibri"/>
      <family val="2"/>
    </font>
    <font>
      <sz val="10.5"/>
      <color theme="5"/>
      <name val="Calibri"/>
      <family val="2"/>
      <scheme val="minor"/>
    </font>
    <font>
      <i/>
      <sz val="10"/>
      <color rgb="FF333399"/>
      <name val="Calibri"/>
      <family val="2"/>
      <scheme val="minor"/>
    </font>
    <font>
      <sz val="10"/>
      <color indexed="8"/>
      <name val="Calibri"/>
      <family val="2"/>
      <scheme val="minor"/>
    </font>
    <font>
      <b/>
      <i/>
      <sz val="10"/>
      <color rgb="FF00B050"/>
      <name val="Calibri"/>
      <family val="2"/>
      <scheme val="minor"/>
    </font>
    <font>
      <b/>
      <i/>
      <sz val="10"/>
      <color rgb="FF00B050"/>
      <name val="Symbol"/>
      <family val="1"/>
      <charset val="2"/>
    </font>
    <font>
      <i/>
      <sz val="10"/>
      <color rgb="FF0000CC"/>
      <name val="Symbol"/>
      <family val="1"/>
      <charset val="2"/>
    </font>
    <font>
      <sz val="10"/>
      <color rgb="FF000066"/>
      <name val="Calibri"/>
      <family val="2"/>
    </font>
    <font>
      <sz val="9"/>
      <color rgb="FF000066"/>
      <name val="Calibri"/>
      <family val="2"/>
    </font>
    <font>
      <b/>
      <sz val="10"/>
      <color rgb="FF000066"/>
      <name val="Calibri"/>
      <family val="2"/>
    </font>
    <font>
      <b/>
      <i/>
      <sz val="10"/>
      <color rgb="FF666699"/>
      <name val="Calibri"/>
      <family val="2"/>
    </font>
    <font>
      <i/>
      <sz val="10"/>
      <color rgb="FF333399"/>
      <name val="Calibri"/>
      <family val="2"/>
    </font>
    <font>
      <i/>
      <sz val="10"/>
      <color indexed="8"/>
      <name val="Calibri"/>
      <family val="2"/>
      <scheme val="minor"/>
    </font>
    <font>
      <sz val="12"/>
      <color indexed="8"/>
      <name val="Calibri"/>
      <family val="2"/>
      <scheme val="minor"/>
    </font>
    <font>
      <i/>
      <sz val="10"/>
      <color rgb="FF333399"/>
      <name val="Symbol"/>
      <family val="1"/>
      <charset val="2"/>
    </font>
    <font>
      <b/>
      <i/>
      <sz val="10"/>
      <color rgb="FF002060"/>
      <name val="Calibri"/>
      <family val="2"/>
      <scheme val="minor"/>
    </font>
    <font>
      <sz val="16"/>
      <color theme="0"/>
      <name val="Times New Roman"/>
      <family val="1"/>
    </font>
    <font>
      <sz val="16"/>
      <color theme="0"/>
      <name val="Calibri"/>
      <family val="2"/>
      <scheme val="minor"/>
    </font>
    <font>
      <sz val="14"/>
      <color theme="0"/>
      <name val="Times New Roman"/>
      <family val="1"/>
    </font>
    <font>
      <sz val="14"/>
      <color theme="0"/>
      <name val="Calibri"/>
      <family val="2"/>
      <scheme val="minor"/>
    </font>
    <font>
      <sz val="10.5"/>
      <color theme="0"/>
      <name val="Times New Roman"/>
      <family val="1"/>
    </font>
    <font>
      <sz val="12"/>
      <color theme="0"/>
      <name val="Times New Roman"/>
      <family val="1"/>
    </font>
    <font>
      <i/>
      <sz val="10"/>
      <color theme="0"/>
      <name val="Times New Roman"/>
      <family val="1"/>
    </font>
    <font>
      <sz val="11"/>
      <color theme="0"/>
      <name val="Times New Roman"/>
      <family val="1"/>
    </font>
    <font>
      <sz val="10"/>
      <color rgb="FFFF0000"/>
      <name val="Calibri"/>
      <family val="2"/>
      <scheme val="minor"/>
    </font>
    <font>
      <b/>
      <i/>
      <sz val="11"/>
      <color indexed="9"/>
      <name val="Calibri"/>
      <family val="2"/>
    </font>
    <font>
      <b/>
      <sz val="10"/>
      <color rgb="FF333399"/>
      <name val="Calibri"/>
      <family val="2"/>
      <scheme val="minor"/>
    </font>
    <font>
      <b/>
      <i/>
      <sz val="10"/>
      <color rgb="FF333399"/>
      <name val="Calibri"/>
      <family val="2"/>
      <scheme val="minor"/>
    </font>
    <font>
      <b/>
      <u/>
      <sz val="12"/>
      <color theme="0"/>
      <name val="Calibri"/>
      <family val="2"/>
    </font>
    <font>
      <i/>
      <sz val="10.5"/>
      <color rgb="FF0000CC"/>
      <name val="Calibri"/>
      <family val="2"/>
      <scheme val="minor"/>
    </font>
    <font>
      <sz val="10.5"/>
      <color rgb="FF0000CC"/>
      <name val="Calibri"/>
      <family val="2"/>
      <scheme val="minor"/>
    </font>
    <font>
      <sz val="10"/>
      <color rgb="FF0000CC"/>
      <name val="Times New Roman"/>
      <family val="1"/>
    </font>
    <font>
      <sz val="11"/>
      <color rgb="FF002060"/>
      <name val="Calibri"/>
      <family val="2"/>
    </font>
    <font>
      <sz val="10.5"/>
      <color rgb="FF0000CC"/>
      <name val="Calibri"/>
      <family val="2"/>
    </font>
    <font>
      <b/>
      <u/>
      <sz val="11"/>
      <color indexed="32"/>
      <name val="Calibri"/>
      <family val="2"/>
    </font>
    <font>
      <i/>
      <sz val="10"/>
      <color rgb="FF008000"/>
      <name val="Calibri"/>
      <family val="2"/>
      <scheme val="minor"/>
    </font>
    <font>
      <i/>
      <sz val="10"/>
      <color indexed="17"/>
      <name val="Calibri"/>
      <family val="2"/>
    </font>
    <font>
      <b/>
      <u/>
      <sz val="9"/>
      <color indexed="12"/>
      <name val="Tahoma"/>
      <family val="2"/>
    </font>
    <font>
      <i/>
      <sz val="10"/>
      <color rgb="FF0066CC"/>
      <name val="Calibri"/>
      <family val="2"/>
      <scheme val="minor"/>
    </font>
    <font>
      <b/>
      <i/>
      <sz val="10"/>
      <color rgb="FF0000CC"/>
      <name val="Calibri"/>
      <family val="2"/>
    </font>
    <font>
      <sz val="10"/>
      <color rgb="FFC00000"/>
      <name val="Calibri"/>
      <family val="2"/>
      <scheme val="minor"/>
    </font>
    <font>
      <sz val="10"/>
      <color rgb="FFC00000"/>
      <name val="Times New Roman"/>
      <family val="1"/>
    </font>
    <font>
      <sz val="10.5"/>
      <color rgb="FF0000CC"/>
      <name val="Symbol"/>
      <family val="1"/>
      <charset val="2"/>
    </font>
    <font>
      <i/>
      <sz val="9"/>
      <color rgb="FF0000CC"/>
      <name val="Calibri"/>
      <family val="2"/>
    </font>
    <font>
      <sz val="10"/>
      <color rgb="FFC00000"/>
      <name val="Calibri"/>
      <family val="2"/>
    </font>
    <font>
      <i/>
      <sz val="10"/>
      <color rgb="FFC00000"/>
      <name val="Calibri"/>
      <family val="2"/>
      <scheme val="minor"/>
    </font>
    <font>
      <sz val="10"/>
      <color rgb="FF800000"/>
      <name val="Calibri"/>
      <family val="2"/>
      <scheme val="minor"/>
    </font>
    <font>
      <b/>
      <sz val="11.5"/>
      <color indexed="9"/>
      <name val="Calibri"/>
      <family val="2"/>
    </font>
    <font>
      <b/>
      <i/>
      <sz val="11.5"/>
      <color rgb="FF99CC00"/>
      <name val="Calibri"/>
      <family val="2"/>
    </font>
    <font>
      <sz val="11.5"/>
      <name val="Times New Roman"/>
      <family val="1"/>
    </font>
    <font>
      <b/>
      <sz val="13"/>
      <color theme="0"/>
      <name val="Calibri"/>
      <family val="2"/>
      <scheme val="minor"/>
    </font>
    <font>
      <i/>
      <sz val="11"/>
      <color rgb="FF002060"/>
      <name val="Calibri"/>
      <family val="2"/>
    </font>
    <font>
      <b/>
      <i/>
      <sz val="10.5"/>
      <color rgb="FF002060"/>
      <name val="Calibri"/>
      <family val="2"/>
    </font>
    <font>
      <i/>
      <sz val="10.5"/>
      <color rgb="FF002060"/>
      <name val="Calibri"/>
      <family val="2"/>
    </font>
    <font>
      <i/>
      <sz val="9"/>
      <color rgb="FF002060"/>
      <name val="Calibri"/>
      <family val="2"/>
    </font>
    <font>
      <b/>
      <i/>
      <sz val="13"/>
      <color indexed="32"/>
      <name val="Calibri"/>
      <family val="2"/>
    </font>
    <font>
      <sz val="13"/>
      <name val="Times New Roman"/>
      <family val="1"/>
    </font>
    <font>
      <i/>
      <sz val="11"/>
      <color indexed="56"/>
      <name val="Calibri"/>
      <family val="2"/>
    </font>
    <font>
      <i/>
      <sz val="10"/>
      <color indexed="10"/>
      <name val="Calibri"/>
      <family val="2"/>
    </font>
    <font>
      <i/>
      <sz val="10.5"/>
      <color indexed="9"/>
      <name val="Calibri"/>
      <family val="2"/>
    </font>
    <font>
      <sz val="10.5"/>
      <color rgb="FF0000FF"/>
      <name val="Calibri"/>
      <family val="2"/>
      <scheme val="minor"/>
    </font>
    <font>
      <sz val="10.5"/>
      <color theme="5" tint="-0.24994659260841701"/>
      <name val="Calibri"/>
      <family val="2"/>
    </font>
    <font>
      <b/>
      <i/>
      <sz val="9"/>
      <color rgb="FFFF0000"/>
      <name val="Calibri"/>
      <family val="2"/>
    </font>
    <font>
      <sz val="10.3"/>
      <color rgb="FF002060"/>
      <name val="Calibri"/>
      <family val="2"/>
      <scheme val="minor"/>
    </font>
    <font>
      <i/>
      <sz val="8.5"/>
      <color indexed="32"/>
      <name val="Calibri"/>
      <family val="2"/>
    </font>
    <font>
      <i/>
      <sz val="10.5"/>
      <color rgb="FF0000FF"/>
      <name val="Calibri"/>
      <family val="2"/>
    </font>
    <font>
      <sz val="9"/>
      <color rgb="FF0000CC"/>
      <name val="Calibri"/>
      <family val="2"/>
    </font>
    <font>
      <sz val="9"/>
      <color indexed="62"/>
      <name val="Calibri"/>
      <family val="2"/>
      <scheme val="minor"/>
    </font>
    <font>
      <b/>
      <sz val="9"/>
      <color indexed="12"/>
      <name val="Tahoma"/>
      <family val="2"/>
    </font>
    <font>
      <b/>
      <sz val="9"/>
      <color indexed="62"/>
      <name val="Tahoma"/>
      <family val="2"/>
    </font>
    <font>
      <sz val="10"/>
      <color indexed="12"/>
      <name val="Tahoma"/>
      <family val="2"/>
    </font>
    <font>
      <sz val="9"/>
      <color indexed="39"/>
      <name val="Tahoma"/>
      <family val="2"/>
    </font>
    <font>
      <b/>
      <sz val="9"/>
      <color indexed="39"/>
      <name val="Tahoma"/>
      <family val="2"/>
    </font>
    <font>
      <sz val="9"/>
      <color rgb="FF0000CC"/>
      <name val="Calibri"/>
      <family val="2"/>
      <scheme val="minor"/>
    </font>
    <font>
      <sz val="9"/>
      <color rgb="FF0000FF"/>
      <name val="Calibri"/>
      <family val="2"/>
      <scheme val="minor"/>
    </font>
    <font>
      <sz val="10"/>
      <color rgb="FF000099"/>
      <name val="Calibri"/>
      <family val="2"/>
      <scheme val="minor"/>
    </font>
    <font>
      <b/>
      <sz val="10"/>
      <color rgb="FF000099"/>
      <name val="Calibri"/>
      <family val="2"/>
    </font>
    <font>
      <i/>
      <sz val="10.5"/>
      <color rgb="FF002060"/>
      <name val="Calibri"/>
      <family val="2"/>
      <scheme val="minor"/>
    </font>
    <font>
      <u/>
      <sz val="9"/>
      <color indexed="12"/>
      <name val="Tahoma"/>
      <family val="2"/>
    </font>
    <font>
      <i/>
      <sz val="8"/>
      <color theme="0"/>
      <name val="Calibri"/>
      <family val="2"/>
    </font>
    <font>
      <i/>
      <sz val="10"/>
      <name val="Calibri"/>
      <family val="2"/>
      <scheme val="minor"/>
    </font>
    <font>
      <sz val="8"/>
      <color rgb="FF0000CC"/>
      <name val="Calibri"/>
      <family val="2"/>
    </font>
    <font>
      <i/>
      <sz val="10"/>
      <color rgb="FF800000"/>
      <name val="Calibri"/>
      <family val="2"/>
    </font>
    <font>
      <sz val="10"/>
      <color rgb="FF000099"/>
      <name val="Calibri"/>
      <family val="2"/>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2"/>
        <bgColor indexed="64"/>
      </patternFill>
    </fill>
    <fill>
      <patternFill patternType="solid">
        <fgColor indexed="54"/>
        <bgColor indexed="64"/>
      </patternFill>
    </fill>
    <fill>
      <patternFill patternType="solid">
        <fgColor indexed="24"/>
        <bgColor indexed="64"/>
      </patternFill>
    </fill>
    <fill>
      <patternFill patternType="solid">
        <fgColor indexed="21"/>
        <bgColor indexed="64"/>
      </patternFill>
    </fill>
    <fill>
      <patternFill patternType="solid">
        <fgColor indexed="26"/>
        <bgColor indexed="64"/>
      </patternFill>
    </fill>
    <fill>
      <patternFill patternType="solid">
        <fgColor indexed="4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30"/>
        <bgColor indexed="64"/>
      </patternFill>
    </fill>
    <fill>
      <patternFill patternType="solid">
        <fgColor indexed="51"/>
        <bgColor indexed="64"/>
      </patternFill>
    </fill>
    <fill>
      <patternFill patternType="solid">
        <fgColor theme="1"/>
        <bgColor indexed="64"/>
      </patternFill>
    </fill>
    <fill>
      <patternFill patternType="solid">
        <fgColor theme="9" tint="0.79998168889431442"/>
        <bgColor indexed="64"/>
      </patternFill>
    </fill>
    <fill>
      <patternFill patternType="solid">
        <fgColor rgb="FF0070C0"/>
        <bgColor indexed="64"/>
      </patternFill>
    </fill>
    <fill>
      <patternFill patternType="solid">
        <fgColor rgb="FFCCFFCC"/>
        <bgColor indexed="64"/>
      </patternFill>
    </fill>
    <fill>
      <patternFill patternType="solid">
        <fgColor rgb="FFFFFFCC"/>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5"/>
        <bgColor indexed="64"/>
      </patternFill>
    </fill>
    <fill>
      <patternFill patternType="solid">
        <fgColor rgb="FF666699"/>
        <bgColor indexed="64"/>
      </patternFill>
    </fill>
    <fill>
      <patternFill patternType="solid">
        <fgColor rgb="FFEBF9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rgb="FF33CCCC"/>
        <bgColor indexed="64"/>
      </patternFill>
    </fill>
    <fill>
      <patternFill patternType="solid">
        <fgColor rgb="FF9999FF"/>
        <bgColor indexed="64"/>
      </patternFill>
    </fill>
    <fill>
      <patternFill patternType="solid">
        <fgColor rgb="FF800000"/>
        <bgColor indexed="64"/>
      </patternFill>
    </fill>
    <fill>
      <patternFill patternType="solid">
        <fgColor theme="0"/>
        <bgColor indexed="64"/>
      </patternFill>
    </fill>
    <fill>
      <patternFill patternType="solid">
        <fgColor theme="8"/>
        <bgColor indexed="64"/>
      </patternFill>
    </fill>
    <fill>
      <patternFill patternType="solid">
        <fgColor theme="1"/>
      </patternFill>
    </fill>
    <fill>
      <patternFill patternType="solid">
        <fgColor theme="0" tint="-0.24994659260841701"/>
        <bgColor indexed="64"/>
      </patternFill>
    </fill>
    <fill>
      <patternFill patternType="solid">
        <fgColor rgb="FF008000"/>
        <bgColor indexed="64"/>
      </patternFill>
    </fill>
    <fill>
      <patternFill patternType="solid">
        <fgColor rgb="FFF2F2F2"/>
        <bgColor indexed="64"/>
      </patternFill>
    </fill>
    <fill>
      <patternFill patternType="solid">
        <fgColor theme="0" tint="-0.499984740745262"/>
        <bgColor indexed="64"/>
      </patternFill>
    </fill>
    <fill>
      <patternFill patternType="solid">
        <fgColor rgb="FF464646"/>
        <bgColor indexed="64"/>
      </patternFill>
    </fill>
    <fill>
      <patternFill patternType="solid">
        <fgColor rgb="FFD21034"/>
        <bgColor indexed="64"/>
      </patternFill>
    </fill>
    <fill>
      <patternFill patternType="solid">
        <fgColor theme="0" tint="-0.499984740745262"/>
        <bgColor indexed="36"/>
      </patternFill>
    </fill>
    <fill>
      <patternFill patternType="solid">
        <fgColor rgb="FF00B050"/>
        <bgColor indexed="64"/>
      </patternFill>
    </fill>
    <fill>
      <patternFill patternType="solid">
        <fgColor theme="0" tint="-0.14999847407452621"/>
        <bgColor indexed="64"/>
      </patternFill>
    </fill>
    <fill>
      <patternFill patternType="solid">
        <fgColor theme="8" tint="-0.24994659260841701"/>
        <bgColor indexed="64"/>
      </patternFill>
    </fill>
    <fill>
      <patternFill patternType="solid">
        <fgColor rgb="FF993300"/>
        <bgColor indexed="64"/>
      </patternFill>
    </fill>
    <fill>
      <patternFill patternType="solid">
        <fgColor rgb="FFC0C0C0"/>
        <bgColor indexed="64"/>
      </patternFill>
    </fill>
    <fill>
      <patternFill patternType="solid">
        <fgColor rgb="FFFFCC00"/>
        <bgColor indexed="64"/>
      </patternFill>
    </fill>
    <fill>
      <patternFill patternType="solid">
        <fgColor rgb="FF009999"/>
        <bgColor indexed="64"/>
      </patternFill>
    </fill>
    <fill>
      <patternFill patternType="solid">
        <fgColor rgb="FF990000"/>
        <bgColor indexed="64"/>
      </patternFill>
    </fill>
    <fill>
      <patternFill patternType="solid">
        <fgColor rgb="FFEAEAEA"/>
        <bgColor indexed="64"/>
      </patternFill>
    </fill>
    <fill>
      <patternFill patternType="solid">
        <fgColor rgb="FFFFFFFF"/>
        <bgColor indexed="64"/>
      </patternFill>
    </fill>
    <fill>
      <patternFill patternType="solid">
        <fgColor theme="4" tint="0.79998168889431442"/>
        <bgColor indexed="64"/>
      </patternFill>
    </fill>
    <fill>
      <patternFill patternType="solid">
        <fgColor theme="8" tint="0.59999389629810485"/>
        <bgColor indexed="65"/>
      </patternFill>
    </fill>
    <fill>
      <patternFill patternType="solid">
        <fgColor theme="5"/>
      </patternFill>
    </fill>
    <fill>
      <patternFill patternType="solid">
        <fgColor theme="5" tint="0.59999389629810485"/>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patternFill>
    </fill>
    <fill>
      <patternFill patternType="solid">
        <fgColor theme="7"/>
      </patternFill>
    </fill>
    <fill>
      <patternFill patternType="solid">
        <fgColor theme="4" tint="0.39997558519241921"/>
        <bgColor indexed="65"/>
      </patternFill>
    </fill>
    <fill>
      <patternFill patternType="solid">
        <fgColor theme="8"/>
      </patternFill>
    </fill>
    <fill>
      <patternFill patternType="solid">
        <fgColor rgb="FF993366"/>
        <bgColor indexed="64"/>
      </patternFill>
    </fill>
    <fill>
      <patternFill patternType="solid">
        <fgColor theme="4" tint="-0.24994659260841701"/>
        <bgColor indexed="64"/>
      </patternFill>
    </fill>
    <fill>
      <patternFill patternType="solid">
        <fgColor rgb="FFDA9694"/>
        <bgColor indexed="64"/>
      </patternFill>
    </fill>
    <fill>
      <patternFill patternType="solid">
        <fgColor indexed="16"/>
        <bgColor indexed="64"/>
      </patternFill>
    </fill>
    <fill>
      <patternFill patternType="solid">
        <fgColor theme="4"/>
        <bgColor indexed="64"/>
      </patternFill>
    </fill>
    <fill>
      <patternFill patternType="solid">
        <fgColor rgb="FF3366FF"/>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rgb="FFDAEEF3"/>
        <bgColor indexed="64"/>
      </patternFill>
    </fill>
    <fill>
      <patternFill patternType="solid">
        <fgColor theme="3" tint="0.39994506668294322"/>
        <bgColor indexed="64"/>
      </patternFill>
    </fill>
    <fill>
      <patternFill patternType="solid">
        <fgColor rgb="FFDDDDDD"/>
        <bgColor indexed="64"/>
      </patternFill>
    </fill>
    <fill>
      <patternFill patternType="solid">
        <fgColor theme="8" tint="0.79998168889431442"/>
        <bgColor indexed="64"/>
      </patternFill>
    </fill>
  </fills>
  <borders count="688">
    <border>
      <left/>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12"/>
      </left>
      <right style="thin">
        <color indexed="12"/>
      </right>
      <top style="thin">
        <color indexed="12"/>
      </top>
      <bottom style="thin">
        <color indexed="12"/>
      </bottom>
      <diagonal/>
    </border>
    <border>
      <left style="thin">
        <color indexed="32"/>
      </left>
      <right style="thin">
        <color indexed="32"/>
      </right>
      <top style="thin">
        <color indexed="32"/>
      </top>
      <bottom style="thin">
        <color indexed="32"/>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32"/>
      </bottom>
      <diagonal/>
    </border>
    <border>
      <left style="thin">
        <color indexed="32"/>
      </left>
      <right/>
      <top/>
      <bottom/>
      <diagonal/>
    </border>
    <border>
      <left style="thin">
        <color indexed="32"/>
      </left>
      <right/>
      <top style="thin">
        <color indexed="32"/>
      </top>
      <bottom style="thin">
        <color indexed="32"/>
      </bottom>
      <diagonal/>
    </border>
    <border>
      <left/>
      <right/>
      <top/>
      <bottom style="double">
        <color indexed="9"/>
      </bottom>
      <diagonal/>
    </border>
    <border>
      <left/>
      <right style="thin">
        <color indexed="9"/>
      </right>
      <top/>
      <bottom/>
      <diagonal/>
    </border>
    <border>
      <left/>
      <right style="thin">
        <color indexed="9"/>
      </right>
      <top/>
      <bottom style="double">
        <color indexed="9"/>
      </bottom>
      <diagonal/>
    </border>
    <border>
      <left/>
      <right/>
      <top style="thin">
        <color indexed="9"/>
      </top>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right style="thin">
        <color indexed="32"/>
      </right>
      <top/>
      <bottom/>
      <diagonal/>
    </border>
    <border>
      <left style="thin">
        <color indexed="32"/>
      </left>
      <right/>
      <top style="thin">
        <color indexed="32"/>
      </top>
      <bottom/>
      <diagonal/>
    </border>
    <border>
      <left/>
      <right/>
      <top style="thin">
        <color indexed="32"/>
      </top>
      <bottom/>
      <diagonal/>
    </border>
    <border>
      <left/>
      <right style="thin">
        <color indexed="32"/>
      </right>
      <top style="thin">
        <color indexed="32"/>
      </top>
      <bottom/>
      <diagonal/>
    </border>
    <border>
      <left style="thin">
        <color indexed="32"/>
      </left>
      <right/>
      <top/>
      <bottom style="thin">
        <color indexed="32"/>
      </bottom>
      <diagonal/>
    </border>
    <border>
      <left/>
      <right style="thin">
        <color indexed="32"/>
      </right>
      <top/>
      <bottom style="thin">
        <color indexed="32"/>
      </bottom>
      <diagonal/>
    </border>
    <border>
      <left style="thin">
        <color rgb="FF7030A0"/>
      </left>
      <right style="thin">
        <color rgb="FF7030A0"/>
      </right>
      <top style="thin">
        <color rgb="FF7030A0"/>
      </top>
      <bottom style="thin">
        <color rgb="FF7030A0"/>
      </bottom>
      <diagonal/>
    </border>
    <border>
      <left style="thin">
        <color theme="3" tint="0.39994506668294322"/>
      </left>
      <right style="thin">
        <color theme="3" tint="0.39994506668294322"/>
      </right>
      <top style="thin">
        <color theme="3" tint="0.39994506668294322"/>
      </top>
      <bottom style="thin">
        <color theme="0" tint="-0.14996795556505021"/>
      </bottom>
      <diagonal/>
    </border>
    <border>
      <left/>
      <right style="thin">
        <color theme="3" tint="0.39994506668294322"/>
      </right>
      <top style="thin">
        <color theme="3" tint="0.39994506668294322"/>
      </top>
      <bottom style="thin">
        <color theme="0" tint="-0.14996795556505021"/>
      </bottom>
      <diagonal/>
    </border>
    <border>
      <left style="thin">
        <color theme="3" tint="0.39994506668294322"/>
      </left>
      <right style="thin">
        <color theme="3" tint="0.39994506668294322"/>
      </right>
      <top/>
      <bottom/>
      <diagonal/>
    </border>
    <border>
      <left/>
      <right style="thin">
        <color theme="3" tint="0.39994506668294322"/>
      </right>
      <top/>
      <bottom/>
      <diagonal/>
    </border>
    <border>
      <left/>
      <right style="thin">
        <color theme="3" tint="0.39994506668294322"/>
      </right>
      <top style="thin">
        <color theme="3" tint="0.39991454817346722"/>
      </top>
      <bottom/>
      <diagonal/>
    </border>
    <border>
      <left/>
      <right style="thin">
        <color theme="3" tint="0.39994506668294322"/>
      </right>
      <top style="thin">
        <color theme="0" tint="-0.14996795556505021"/>
      </top>
      <bottom style="thin">
        <color theme="0" tint="-0.14996795556505021"/>
      </bottom>
      <diagonal/>
    </border>
    <border>
      <left/>
      <right style="thin">
        <color theme="3" tint="0.39994506668294322"/>
      </right>
      <top/>
      <bottom style="thin">
        <color theme="3" tint="0.39991454817346722"/>
      </bottom>
      <diagonal/>
    </border>
    <border>
      <left style="thin">
        <color theme="3" tint="0.39994506668294322"/>
      </left>
      <right style="thin">
        <color theme="3" tint="0.39994506668294322"/>
      </right>
      <top style="thin">
        <color theme="3" tint="0.39991454817346722"/>
      </top>
      <bottom/>
      <diagonal/>
    </border>
    <border>
      <left style="thin">
        <color theme="3" tint="0.39994506668294322"/>
      </left>
      <right style="thin">
        <color theme="3" tint="0.39994506668294322"/>
      </right>
      <top style="thin">
        <color theme="0" tint="-0.14996795556505021"/>
      </top>
      <bottom style="thin">
        <color theme="0" tint="-0.14996795556505021"/>
      </bottom>
      <diagonal/>
    </border>
    <border>
      <left style="thin">
        <color theme="3" tint="0.39994506668294322"/>
      </left>
      <right style="thin">
        <color theme="3" tint="0.39994506668294322"/>
      </right>
      <top/>
      <bottom style="thin">
        <color theme="3" tint="0.399914548173467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style="thin">
        <color theme="3" tint="0.39994506668294322"/>
      </top>
      <bottom style="thin">
        <color theme="0" tint="-0.14996795556505021"/>
      </bottom>
      <diagonal/>
    </border>
    <border>
      <left style="thin">
        <color theme="3" tint="0.39994506668294322"/>
      </left>
      <right/>
      <top/>
      <bottom/>
      <diagonal/>
    </border>
    <border>
      <left style="thin">
        <color theme="3" tint="0.39994506668294322"/>
      </left>
      <right/>
      <top style="thin">
        <color theme="3" tint="0.39994506668294322"/>
      </top>
      <bottom/>
      <diagonal/>
    </border>
    <border>
      <left style="thin">
        <color theme="3" tint="0.39994506668294322"/>
      </left>
      <right/>
      <top style="thin">
        <color theme="0" tint="-0.14996795556505021"/>
      </top>
      <bottom style="thin">
        <color theme="0" tint="-0.14996795556505021"/>
      </bottom>
      <diagonal/>
    </border>
    <border>
      <left style="thin">
        <color theme="3" tint="0.39994506668294322"/>
      </left>
      <right/>
      <top/>
      <bottom style="thin">
        <color theme="3" tint="0.39994506668294322"/>
      </bottom>
      <diagonal/>
    </border>
    <border>
      <left/>
      <right style="thin">
        <color theme="3" tint="0.39994506668294322"/>
      </right>
      <top style="thin">
        <color theme="3" tint="0.39994506668294322"/>
      </top>
      <bottom/>
      <diagonal/>
    </border>
    <border>
      <left/>
      <right style="thin">
        <color theme="3" tint="0.39994506668294322"/>
      </right>
      <top/>
      <bottom style="thin">
        <color theme="3" tint="0.39994506668294322"/>
      </bottom>
      <diagonal/>
    </border>
    <border>
      <left style="thin">
        <color theme="3" tint="0.39994506668294322"/>
      </left>
      <right style="thin">
        <color theme="3" tint="0.39994506668294322"/>
      </right>
      <top style="thin">
        <color theme="0" tint="-0.14996795556505021"/>
      </top>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4" tint="0.39994506668294322"/>
      </left>
      <right style="thin">
        <color theme="4" tint="0.39994506668294322"/>
      </right>
      <top/>
      <bottom/>
      <diagonal/>
    </border>
    <border>
      <left/>
      <right style="thin">
        <color theme="4" tint="0.39994506668294322"/>
      </right>
      <top/>
      <bottom/>
      <diagonal/>
    </border>
    <border>
      <left style="thin">
        <color theme="3" tint="0.39994506668294322"/>
      </left>
      <right style="thin">
        <color theme="3" tint="0.39994506668294322"/>
      </right>
      <top/>
      <bottom style="thin">
        <color theme="0" tint="-0.14996795556505021"/>
      </bottom>
      <diagonal/>
    </border>
    <border>
      <left style="thin">
        <color theme="3" tint="0.39994506668294322"/>
      </left>
      <right/>
      <top style="thin">
        <color theme="0" tint="-0.14996795556505021"/>
      </top>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rgb="FF0000FF"/>
      </left>
      <right style="thin">
        <color rgb="FF0000FF"/>
      </right>
      <top style="thin">
        <color rgb="FF0000FF"/>
      </top>
      <bottom style="thin">
        <color rgb="FF0000FF"/>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int="-0.34998626667073579"/>
      </top>
      <bottom style="thin">
        <color theme="0" tint="-0.34998626667073579"/>
      </bottom>
      <diagonal/>
    </border>
    <border>
      <left/>
      <right/>
      <top/>
      <bottom style="thin">
        <color theme="0" tint="-0.14996795556505021"/>
      </bottom>
      <diagonal/>
    </border>
    <border>
      <left/>
      <right/>
      <top style="thin">
        <color theme="0" tint="-0.24994659260841701"/>
      </top>
      <bottom style="thin">
        <color theme="0" tint="-0.14996795556505021"/>
      </bottom>
      <diagonal/>
    </border>
    <border>
      <left/>
      <right/>
      <top style="thin">
        <color theme="0" tint="-0.14996795556505021"/>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
      <left/>
      <right/>
      <top style="thin">
        <color theme="3" tint="0.39994506668294322"/>
      </top>
      <bottom style="thin">
        <color theme="0" tint="-0.14996795556505021"/>
      </bottom>
      <diagonal/>
    </border>
    <border>
      <left style="thin">
        <color theme="3" tint="0.39994506668294322"/>
      </left>
      <right/>
      <top style="thin">
        <color theme="0" tint="-0.14996795556505021"/>
      </top>
      <bottom style="thin">
        <color theme="3" tint="0.39991454817346722"/>
      </bottom>
      <diagonal/>
    </border>
    <border>
      <left/>
      <right/>
      <top style="thin">
        <color theme="0" tint="-0.14996795556505021"/>
      </top>
      <bottom style="thin">
        <color theme="3" tint="0.39991454817346722"/>
      </bottom>
      <diagonal/>
    </border>
    <border>
      <left/>
      <right style="thin">
        <color theme="3" tint="0.39994506668294322"/>
      </right>
      <top style="thin">
        <color theme="0" tint="-0.14996795556505021"/>
      </top>
      <bottom style="thin">
        <color theme="3" tint="0.39991454817346722"/>
      </bottom>
      <diagonal/>
    </border>
    <border>
      <left style="thin">
        <color theme="3" tint="0.39994506668294322"/>
      </left>
      <right/>
      <top style="thin">
        <color theme="0" tint="-0.14996795556505021"/>
      </top>
      <bottom style="thin">
        <color theme="3" tint="0.39994506668294322"/>
      </bottom>
      <diagonal/>
    </border>
    <border>
      <left/>
      <right/>
      <top style="thin">
        <color theme="0" tint="-0.14996795556505021"/>
      </top>
      <bottom style="thin">
        <color theme="3" tint="0.39994506668294322"/>
      </bottom>
      <diagonal/>
    </border>
    <border>
      <left style="thin">
        <color theme="3" tint="0.39994506668294322"/>
      </left>
      <right/>
      <top style="thin">
        <color theme="3" tint="0.39991454817346722"/>
      </top>
      <bottom/>
      <diagonal/>
    </border>
    <border>
      <left style="thin">
        <color theme="3" tint="0.39994506668294322"/>
      </left>
      <right/>
      <top/>
      <bottom style="thin">
        <color theme="3" tint="0.39991454817346722"/>
      </bottom>
      <diagonal/>
    </border>
    <border>
      <left/>
      <right/>
      <top style="thin">
        <color theme="3" tint="0.39991454817346722"/>
      </top>
      <bottom/>
      <diagonal/>
    </border>
    <border>
      <left style="thin">
        <color theme="3" tint="0.39994506668294322"/>
      </left>
      <right/>
      <top/>
      <bottom style="thin">
        <color theme="3" tint="0.59996337778862885"/>
      </bottom>
      <diagonal/>
    </border>
    <border>
      <left/>
      <right/>
      <top/>
      <bottom style="thin">
        <color theme="3" tint="0.59996337778862885"/>
      </bottom>
      <diagonal/>
    </border>
    <border>
      <left/>
      <right style="thin">
        <color theme="3" tint="0.39994506668294322"/>
      </right>
      <top/>
      <bottom style="thin">
        <color theme="3" tint="0.59996337778862885"/>
      </bottom>
      <diagonal/>
    </border>
    <border>
      <left style="thin">
        <color theme="3" tint="0.39994506668294322"/>
      </left>
      <right/>
      <top style="thin">
        <color theme="3" tint="0.39991454817346722"/>
      </top>
      <bottom style="thin">
        <color theme="3" tint="0.39994506668294322"/>
      </bottom>
      <diagonal/>
    </border>
    <border>
      <left style="thin">
        <color theme="3" tint="0.39994506668294322"/>
      </left>
      <right/>
      <top/>
      <bottom style="thin">
        <color theme="0" tint="-0.14996795556505021"/>
      </bottom>
      <diagonal/>
    </border>
    <border>
      <left/>
      <right style="thin">
        <color theme="3" tint="0.39994506668294322"/>
      </right>
      <top/>
      <bottom style="thin">
        <color theme="0" tint="-0.14996795556505021"/>
      </bottom>
      <diagonal/>
    </border>
    <border>
      <left style="thin">
        <color theme="0" tint="-0.34998626667073579"/>
      </left>
      <right/>
      <top style="thin">
        <color theme="0" tint="-0.34998626667073579"/>
      </top>
      <bottom style="thin">
        <color theme="0" tint="-0.34998626667073579"/>
      </bottom>
      <diagonal/>
    </border>
    <border>
      <left style="thin">
        <color theme="5"/>
      </left>
      <right style="thin">
        <color theme="5"/>
      </right>
      <top/>
      <bottom/>
      <diagonal/>
    </border>
    <border>
      <left style="thin">
        <color theme="0" tint="-0.499984740745262"/>
      </left>
      <right style="thin">
        <color theme="5"/>
      </right>
      <top style="thin">
        <color theme="0" tint="-0.499984740745262"/>
      </top>
      <bottom/>
      <diagonal/>
    </border>
    <border>
      <left style="thin">
        <color theme="5"/>
      </left>
      <right style="thin">
        <color theme="5"/>
      </right>
      <top style="thin">
        <color theme="0" tint="-0.499984740745262"/>
      </top>
      <bottom/>
      <diagonal/>
    </border>
    <border>
      <left style="thin">
        <color theme="5"/>
      </left>
      <right style="thin">
        <color theme="0" tint="-0.499984740745262"/>
      </right>
      <top style="thin">
        <color theme="0" tint="-0.499984740745262"/>
      </top>
      <bottom/>
      <diagonal/>
    </border>
    <border>
      <left style="thin">
        <color theme="0" tint="-0.499984740745262"/>
      </left>
      <right style="thin">
        <color theme="5"/>
      </right>
      <top/>
      <bottom style="thin">
        <color theme="0" tint="-0.499984740745262"/>
      </bottom>
      <diagonal/>
    </border>
    <border>
      <left style="thin">
        <color theme="5"/>
      </left>
      <right style="thin">
        <color theme="5"/>
      </right>
      <top/>
      <bottom style="thin">
        <color theme="0" tint="-0.499984740745262"/>
      </bottom>
      <diagonal/>
    </border>
    <border>
      <left style="thin">
        <color theme="5"/>
      </left>
      <right style="thin">
        <color theme="0" tint="-0.499984740745262"/>
      </right>
      <top/>
      <bottom style="thin">
        <color theme="0" tint="-0.49998474074526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left>
      <right/>
      <top/>
      <bottom/>
      <diagonal/>
    </border>
    <border>
      <left style="thin">
        <color theme="0" tint="-0.34998626667073579"/>
      </left>
      <right/>
      <top/>
      <bottom/>
      <diagonal/>
    </border>
    <border>
      <left/>
      <right/>
      <top style="thin">
        <color indexed="64"/>
      </top>
      <bottom/>
      <diagonal/>
    </border>
    <border>
      <left/>
      <right/>
      <top/>
      <bottom style="thin">
        <color theme="0" tint="-0.34998626667073579"/>
      </bottom>
      <diagonal/>
    </border>
    <border>
      <left/>
      <right/>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4" tint="-0.24994659260841701"/>
      </left>
      <right style="thin">
        <color theme="3" tint="0.39994506668294322"/>
      </right>
      <top style="thin">
        <color theme="4" tint="-0.24994659260841701"/>
      </top>
      <bottom/>
      <diagonal/>
    </border>
    <border>
      <left style="thin">
        <color theme="3" tint="0.39994506668294322"/>
      </left>
      <right style="thin">
        <color theme="4" tint="-0.24994659260841701"/>
      </right>
      <top style="thin">
        <color theme="4" tint="-0.2499465926084170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theme="0" tint="-0.24994659260841701"/>
      </top>
      <bottom/>
      <diagonal/>
    </border>
    <border>
      <left/>
      <right style="thin">
        <color theme="0" tint="-0.34998626667073579"/>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499984740745262"/>
      </top>
      <bottom style="thin">
        <color theme="0" tint="-0.499984740745262"/>
      </bottom>
      <diagonal/>
    </border>
    <border>
      <left/>
      <right/>
      <top style="thin">
        <color theme="0" tint="-0.34998626667073579"/>
      </top>
      <bottom/>
      <diagonal/>
    </border>
    <border>
      <left style="thin">
        <color theme="0" tint="-0.34998626667073579"/>
      </left>
      <right style="thin">
        <color theme="0" tint="-0.34998626667073579"/>
      </right>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499984740745262"/>
      </bottom>
      <diagonal/>
    </border>
    <border>
      <left style="thin">
        <color theme="0" tint="-0.34998626667073579"/>
      </left>
      <right style="thin">
        <color theme="0" tint="-0.499984740745262"/>
      </right>
      <top style="thin">
        <color theme="0" tint="-0.34998626667073579"/>
      </top>
      <bottom/>
      <diagonal/>
    </border>
    <border>
      <left style="thin">
        <color theme="0" tint="-0.499984740745262"/>
      </left>
      <right style="thin">
        <color theme="0" tint="-0.34998626667073579"/>
      </right>
      <top style="thin">
        <color theme="0" tint="-0.499984740745262"/>
      </top>
      <bottom/>
      <diagonal/>
    </border>
    <border>
      <left style="thin">
        <color theme="0" tint="-0.499984740745262"/>
      </left>
      <right style="thin">
        <color theme="5"/>
      </right>
      <top/>
      <bottom/>
      <diagonal/>
    </border>
    <border>
      <left style="thin">
        <color theme="5"/>
      </left>
      <right style="thin">
        <color theme="0" tint="-0.499984740745262"/>
      </right>
      <top/>
      <bottom/>
      <diagonal/>
    </border>
    <border>
      <left/>
      <right/>
      <top/>
      <bottom style="thin">
        <color theme="0" tint="-0.499984740745262"/>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499984740745262"/>
      </left>
      <right style="thin">
        <color theme="5"/>
      </right>
      <top style="thin">
        <color theme="0" tint="-0.24994659260841701"/>
      </top>
      <bottom style="thin">
        <color theme="0" tint="-0.24994659260841701"/>
      </bottom>
      <diagonal/>
    </border>
    <border>
      <left style="thin">
        <color theme="5"/>
      </left>
      <right style="thin">
        <color theme="5"/>
      </right>
      <top style="thin">
        <color theme="0" tint="-0.24994659260841701"/>
      </top>
      <bottom style="thin">
        <color theme="0" tint="-0.24994659260841701"/>
      </bottom>
      <diagonal/>
    </border>
    <border>
      <left style="thin">
        <color theme="5"/>
      </left>
      <right style="thin">
        <color theme="0" tint="-0.499984740745262"/>
      </right>
      <top style="thin">
        <color theme="0" tint="-0.24994659260841701"/>
      </top>
      <bottom style="thin">
        <color theme="0" tint="-0.24994659260841701"/>
      </bottom>
      <diagonal/>
    </border>
    <border>
      <left style="thin">
        <color theme="0" tint="-0.34998626667073579"/>
      </left>
      <right style="thin">
        <color theme="0" tint="-0.499984740745262"/>
      </right>
      <top style="thin">
        <color theme="0" tint="-0.499984740745262"/>
      </top>
      <bottom/>
      <diagonal/>
    </border>
    <border>
      <left style="thin">
        <color theme="0" tint="-0.499984740745262"/>
      </left>
      <right/>
      <top style="thin">
        <color theme="0" tint="-0.24994659260841701"/>
      </top>
      <bottom style="thin">
        <color theme="0" tint="-0.24994659260841701"/>
      </bottom>
      <diagonal/>
    </border>
    <border>
      <left style="thin">
        <color theme="0" tint="-0.34998626667073579"/>
      </left>
      <right style="thin">
        <color theme="0" tint="-0.499984740745262"/>
      </right>
      <top style="thin">
        <color theme="0" tint="-0.24994659260841701"/>
      </top>
      <bottom style="thin">
        <color theme="0" tint="-0.24994659260841701"/>
      </bottom>
      <diagonal/>
    </border>
    <border>
      <left/>
      <right/>
      <top style="thin">
        <color theme="0" tint="-0.24994659260841701"/>
      </top>
      <bottom style="thin">
        <color theme="0" tint="-0.34998626667073579"/>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top style="thin">
        <color theme="0" tint="-0.499984740745262"/>
      </top>
      <bottom/>
      <diagonal/>
    </border>
    <border>
      <left/>
      <right style="thin">
        <color theme="0" tint="-0.499984740745262"/>
      </right>
      <top style="thin">
        <color theme="0" tint="-0.499984740745262"/>
      </top>
      <bottom/>
      <diagonal/>
    </border>
    <border>
      <left style="thin">
        <color theme="0" tint="-0.34998626667073579"/>
      </left>
      <right/>
      <top style="thin">
        <color theme="0" tint="-0.24994659260841701"/>
      </top>
      <bottom style="thin">
        <color theme="0" tint="-0.34998626667073579"/>
      </bottom>
      <diagonal/>
    </border>
    <border>
      <left/>
      <right style="thin">
        <color theme="0" tint="-0.499984740745262"/>
      </right>
      <top style="thin">
        <color theme="0" tint="-0.24994659260841701"/>
      </top>
      <bottom style="thin">
        <color theme="0" tint="-0.34998626667073579"/>
      </bottom>
      <diagonal/>
    </border>
    <border>
      <left style="thin">
        <color theme="0" tint="-0.34998626667073579"/>
      </left>
      <right style="thin">
        <color theme="0" tint="-0.499984740745262"/>
      </right>
      <top style="thin">
        <color theme="0" tint="-0.24994659260841701"/>
      </top>
      <bottom style="thin">
        <color theme="0" tint="-0.34998626667073579"/>
      </bottom>
      <diagonal/>
    </border>
    <border>
      <left style="thin">
        <color theme="0" tint="-0.499984740745262"/>
      </left>
      <right style="thin">
        <color theme="0" tint="-0.34998626667073579"/>
      </right>
      <top style="thin">
        <color theme="0" tint="-0.34998626667073579"/>
      </top>
      <bottom/>
      <diagonal/>
    </border>
    <border>
      <left style="thin">
        <color rgb="FF000080"/>
      </left>
      <right/>
      <top style="thin">
        <color rgb="FF000080"/>
      </top>
      <bottom/>
      <diagonal/>
    </border>
    <border>
      <left/>
      <right/>
      <top style="thin">
        <color rgb="FF000080"/>
      </top>
      <bottom/>
      <diagonal/>
    </border>
    <border>
      <left style="thin">
        <color theme="0" tint="-0.499984740745262"/>
      </left>
      <right style="thin">
        <color theme="0" tint="-0.499984740745262"/>
      </right>
      <top style="thin">
        <color theme="0" tint="-0.24994659260841701"/>
      </top>
      <bottom style="thin">
        <color theme="0" tint="-0.34998626667073579"/>
      </bottom>
      <diagonal/>
    </border>
    <border>
      <left style="thin">
        <color theme="0" tint="-0.499984740745262"/>
      </left>
      <right/>
      <top style="thin">
        <color theme="0" tint="-0.34998626667073579"/>
      </top>
      <bottom/>
      <diagonal/>
    </border>
    <border>
      <left/>
      <right style="thin">
        <color theme="0" tint="-0.499984740745262"/>
      </right>
      <top style="thin">
        <color theme="0" tint="-0.34998626667073579"/>
      </top>
      <bottom/>
      <diagonal/>
    </border>
    <border>
      <left style="thin">
        <color theme="0" tint="-0.499984740745262"/>
      </left>
      <right/>
      <top/>
      <bottom style="thin">
        <color theme="0" tint="-0.34998626667073579"/>
      </bottom>
      <diagonal/>
    </border>
    <border>
      <left/>
      <right style="thin">
        <color theme="0" tint="-0.499984740745262"/>
      </right>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diagonal/>
    </border>
    <border>
      <left style="thin">
        <color theme="0" tint="-0.499984740745262"/>
      </left>
      <right style="thin">
        <color theme="0" tint="-0.34998626667073579"/>
      </right>
      <top/>
      <bottom style="thin">
        <color theme="0" tint="-0.499984740745262"/>
      </bottom>
      <diagonal/>
    </border>
    <border>
      <left style="thin">
        <color indexed="64"/>
      </left>
      <right/>
      <top/>
      <bottom/>
      <diagonal/>
    </border>
    <border>
      <left style="thin">
        <color theme="0"/>
      </left>
      <right style="double">
        <color theme="0"/>
      </right>
      <top style="thin">
        <color theme="0"/>
      </top>
      <bottom/>
      <diagonal/>
    </border>
    <border>
      <left/>
      <right style="thin">
        <color theme="0"/>
      </right>
      <top style="thin">
        <color theme="0"/>
      </top>
      <bottom/>
      <diagonal/>
    </border>
    <border>
      <left style="thin">
        <color theme="0"/>
      </left>
      <right style="thin">
        <color theme="0"/>
      </right>
      <top style="thin">
        <color indexed="9"/>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0"/>
      </right>
      <top style="thin">
        <color theme="0"/>
      </top>
      <bottom/>
      <diagonal/>
    </border>
    <border>
      <left style="thin">
        <color theme="0"/>
      </left>
      <right style="thin">
        <color theme="8" tint="-0.24994659260841701"/>
      </right>
      <top style="thin">
        <color indexed="9"/>
      </top>
      <bottom/>
      <diagonal/>
    </border>
    <border>
      <left style="thin">
        <color theme="8" tint="-0.24994659260841701"/>
      </left>
      <right style="thin">
        <color theme="0"/>
      </right>
      <top/>
      <bottom style="thin">
        <color theme="0"/>
      </bottom>
      <diagonal/>
    </border>
    <border>
      <left style="thin">
        <color theme="0"/>
      </left>
      <right style="thin">
        <color theme="8" tint="-0.24994659260841701"/>
      </right>
      <top/>
      <bottom style="thin">
        <color indexed="9"/>
      </bottom>
      <diagonal/>
    </border>
    <border>
      <left style="thin">
        <color theme="0"/>
      </left>
      <right style="thin">
        <color theme="8" tint="-0.24994659260841701"/>
      </right>
      <top/>
      <bottom style="thin">
        <color theme="0"/>
      </bottom>
      <diagonal/>
    </border>
    <border>
      <left style="thin">
        <color theme="0"/>
      </left>
      <right style="thin">
        <color theme="8" tint="-0.24994659260841701"/>
      </right>
      <top style="thin">
        <color theme="0"/>
      </top>
      <bottom/>
      <diagonal/>
    </border>
    <border>
      <left style="thin">
        <color theme="8" tint="-0.24994659260841701"/>
      </left>
      <right style="thin">
        <color theme="0"/>
      </right>
      <top/>
      <bottom style="thin">
        <color theme="8" tint="-0.24994659260841701"/>
      </bottom>
      <diagonal/>
    </border>
    <border>
      <left style="thin">
        <color theme="0"/>
      </left>
      <right style="thin">
        <color theme="0"/>
      </right>
      <top/>
      <bottom style="thin">
        <color theme="8" tint="-0.24994659260841701"/>
      </bottom>
      <diagonal/>
    </border>
    <border>
      <left style="thin">
        <color theme="0"/>
      </left>
      <right style="thin">
        <color theme="8" tint="-0.24994659260841701"/>
      </right>
      <top/>
      <bottom style="thin">
        <color theme="8" tint="-0.24994659260841701"/>
      </bottom>
      <diagonal/>
    </border>
    <border>
      <left/>
      <right/>
      <top/>
      <bottom style="thin">
        <color rgb="FF000080"/>
      </bottom>
      <diagonal/>
    </border>
    <border>
      <left/>
      <right/>
      <top style="thin">
        <color theme="0" tint="-0.499984740745262"/>
      </top>
      <bottom/>
      <diagonal/>
    </border>
    <border>
      <left/>
      <right/>
      <top/>
      <bottom style="thin">
        <color theme="0" tint="-0.24994659260841701"/>
      </bottom>
      <diagonal/>
    </border>
    <border>
      <left style="thin">
        <color indexed="9"/>
      </left>
      <right/>
      <top/>
      <bottom/>
      <diagonal/>
    </border>
    <border>
      <left/>
      <right/>
      <top style="thin">
        <color theme="0" tint="-0.24994659260841701"/>
      </top>
      <bottom style="thin">
        <color theme="0" tint="-0.499984740745262"/>
      </bottom>
      <diagonal/>
    </border>
    <border>
      <left/>
      <right/>
      <top style="thin">
        <color theme="0" tint="-0.14996795556505021"/>
      </top>
      <bottom style="thin">
        <color theme="0" tint="-0.499984740745262"/>
      </bottom>
      <diagonal/>
    </border>
    <border>
      <left/>
      <right/>
      <top style="thin">
        <color theme="0" tint="-0.499984740745262"/>
      </top>
      <bottom style="thin">
        <color theme="0" tint="-0.14996795556505021"/>
      </bottom>
      <diagonal/>
    </border>
    <border>
      <left/>
      <right/>
      <top style="thin">
        <color theme="0" tint="-0.34998626667073579"/>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rgb="FF000080"/>
      </left>
      <right style="thin">
        <color rgb="FF000080"/>
      </right>
      <top style="thin">
        <color rgb="FF000080"/>
      </top>
      <bottom style="thin">
        <color rgb="FF000080"/>
      </bottom>
      <diagonal/>
    </border>
    <border>
      <left/>
      <right/>
      <top style="thin">
        <color theme="8" tint="-0.24994659260841701"/>
      </top>
      <bottom/>
      <diagonal/>
    </border>
    <border>
      <left style="thin">
        <color theme="8" tint="-0.24994659260841701"/>
      </left>
      <right/>
      <top style="thin">
        <color theme="8" tint="-0.24994659260841701"/>
      </top>
      <bottom/>
      <diagonal/>
    </border>
    <border>
      <left style="thin">
        <color theme="8" tint="-0.24994659260841701"/>
      </left>
      <right/>
      <top/>
      <bottom/>
      <diagonal/>
    </border>
    <border>
      <left/>
      <right style="thin">
        <color theme="8" tint="-0.24994659260841701"/>
      </right>
      <top style="thin">
        <color theme="8" tint="-0.24994659260841701"/>
      </top>
      <bottom/>
      <diagonal/>
    </border>
    <border>
      <left/>
      <right style="thin">
        <color theme="8" tint="-0.24994659260841701"/>
      </right>
      <top/>
      <bottom/>
      <diagonal/>
    </border>
    <border>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tint="-0.34998626667073579"/>
      </left>
      <right/>
      <top style="thin">
        <color theme="0" tint="-0.34998626667073579"/>
      </top>
      <bottom/>
      <diagonal/>
    </border>
    <border>
      <left style="thin">
        <color theme="0"/>
      </left>
      <right style="thin">
        <color theme="0"/>
      </right>
      <top style="thin">
        <color theme="0" tint="-0.499984740745262"/>
      </top>
      <bottom style="thin">
        <color theme="0"/>
      </bottom>
      <diagonal/>
    </border>
    <border>
      <left style="thin">
        <color theme="0" tint="-0.34998626667073579"/>
      </left>
      <right/>
      <top style="thin">
        <color theme="0" tint="-0.24994659260841701"/>
      </top>
      <bottom style="thin">
        <color theme="0" tint="-0.24994659260841701"/>
      </bottom>
      <diagonal/>
    </border>
    <border>
      <left style="thin">
        <color theme="0"/>
      </left>
      <right style="thin">
        <color theme="0"/>
      </right>
      <top style="thin">
        <color theme="0" tint="-0.499984740745262"/>
      </top>
      <bottom/>
      <diagonal/>
    </border>
    <border>
      <left style="thin">
        <color theme="0"/>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right/>
      <top style="thin">
        <color theme="0"/>
      </top>
      <bottom style="thin">
        <color theme="0" tint="-0.499984740745262"/>
      </bottom>
      <diagonal/>
    </border>
    <border>
      <left/>
      <right/>
      <top style="thin">
        <color theme="0" tint="-0.499984740745262"/>
      </top>
      <bottom style="thin">
        <color theme="0"/>
      </bottom>
      <diagonal/>
    </border>
    <border>
      <left style="thin">
        <color theme="0" tint="-0.499984740745262"/>
      </left>
      <right/>
      <top style="thin">
        <color theme="0" tint="-0.499984740745262"/>
      </top>
      <bottom style="thin">
        <color theme="0" tint="-0.14996795556505021"/>
      </bottom>
      <diagonal/>
    </border>
    <border>
      <left/>
      <right/>
      <top style="thin">
        <color theme="0"/>
      </top>
      <bottom/>
      <diagonal/>
    </border>
    <border>
      <left style="thin">
        <color theme="0" tint="-0.34998626667073579"/>
      </left>
      <right/>
      <top style="thin">
        <color theme="0" tint="-0.24994659260841701"/>
      </top>
      <bottom style="thin">
        <color theme="0" tint="-0.499984740745262"/>
      </bottom>
      <diagonal/>
    </border>
    <border>
      <left style="thin">
        <color theme="0" tint="-0.34998626667073579"/>
      </left>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0" tint="-0.499984740745262"/>
      </left>
      <right/>
      <top style="thin">
        <color theme="0" tint="-0.14996795556505021"/>
      </top>
      <bottom style="thin">
        <color theme="0" tint="-0.14996795556505021"/>
      </bottom>
      <diagonal/>
    </border>
    <border>
      <left style="thin">
        <color theme="0" tint="-0.499984740745262"/>
      </left>
      <right/>
      <top style="thin">
        <color theme="0" tint="-0.14996795556505021"/>
      </top>
      <bottom/>
      <diagonal/>
    </border>
    <border>
      <left style="thin">
        <color theme="0" tint="-0.499984740745262"/>
      </left>
      <right/>
      <top/>
      <bottom style="thin">
        <color theme="0" tint="-0.14996795556505021"/>
      </bottom>
      <diagonal/>
    </border>
    <border>
      <left style="thin">
        <color theme="0" tint="-0.499984740745262"/>
      </left>
      <right/>
      <top style="thin">
        <color theme="0" tint="-0.34998626667073579"/>
      </top>
      <bottom style="thin">
        <color theme="0" tint="-0.499984740745262"/>
      </bottom>
      <diagonal/>
    </border>
    <border>
      <left style="thin">
        <color theme="0" tint="-0.499984740745262"/>
      </left>
      <right/>
      <top style="thin">
        <color theme="0" tint="-0.34998626667073579"/>
      </top>
      <bottom style="thin">
        <color theme="0" tint="-0.14996795556505021"/>
      </bottom>
      <diagonal/>
    </border>
    <border>
      <left style="thin">
        <color rgb="FF000080"/>
      </left>
      <right/>
      <top style="thin">
        <color rgb="FF000080"/>
      </top>
      <bottom style="thin">
        <color rgb="FF000080"/>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style="thin">
        <color theme="0" tint="-0.499984740745262"/>
      </right>
      <top style="thin">
        <color theme="0" tint="-0.24994659260841701"/>
      </top>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24994659260841701"/>
      </top>
      <bottom style="thin">
        <color theme="0" tint="-0.24994659260841701"/>
      </bottom>
      <diagonal/>
    </border>
    <border>
      <left style="thin">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tint="-0.499984740745262"/>
      </right>
      <top/>
      <bottom style="thin">
        <color theme="0" tint="-0.499984740745262"/>
      </bottom>
      <diagonal/>
    </border>
    <border>
      <left style="thin">
        <color theme="0" tint="-0.24994659260841701"/>
      </left>
      <right/>
      <top style="thin">
        <color theme="0" tint="-0.24994659260841701"/>
      </top>
      <bottom style="thin">
        <color theme="0" tint="-0.34998626667073579"/>
      </bottom>
      <diagonal/>
    </border>
    <border>
      <left/>
      <right/>
      <top style="thin">
        <color theme="0" tint="-0.34998626667073579"/>
      </top>
      <bottom style="thin">
        <color theme="0" tint="-0.24994659260841701"/>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rgb="FF002060"/>
      </left>
      <right style="thin">
        <color rgb="FF002060"/>
      </right>
      <top style="thin">
        <color rgb="FF002060"/>
      </top>
      <bottom style="thin">
        <color rgb="FF002060"/>
      </bottom>
      <diagonal/>
    </border>
    <border>
      <left style="thin">
        <color theme="9" tint="-0.24994659260841701"/>
      </left>
      <right/>
      <top/>
      <bottom/>
      <diagonal/>
    </border>
    <border>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499984740745262"/>
      </bottom>
      <diagonal/>
    </border>
    <border>
      <left style="thin">
        <color theme="0" tint="-0.499984740745262"/>
      </left>
      <right/>
      <top style="thin">
        <color theme="0" tint="-0.24994659260841701"/>
      </top>
      <bottom style="thin">
        <color theme="0" tint="-0.499984740745262"/>
      </bottom>
      <diagonal/>
    </border>
    <border>
      <left style="thin">
        <color theme="0" tint="-0.34998626667073579"/>
      </left>
      <right style="thin">
        <color theme="0" tint="-0.499984740745262"/>
      </right>
      <top style="thin">
        <color theme="0" tint="-0.24994659260841701"/>
      </top>
      <bottom style="thin">
        <color theme="0" tint="-0.499984740745262"/>
      </bottom>
      <diagonal/>
    </border>
    <border>
      <left/>
      <right style="thin">
        <color theme="0" tint="-0.499984740745262"/>
      </right>
      <top style="thin">
        <color theme="0" tint="-0.24994659260841701"/>
      </top>
      <bottom style="thin">
        <color theme="0" tint="-0.499984740745262"/>
      </bottom>
      <diagonal/>
    </border>
    <border>
      <left/>
      <right/>
      <top style="thin">
        <color theme="0"/>
      </top>
      <bottom style="thin">
        <color theme="0"/>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diagonal/>
    </border>
    <border>
      <left/>
      <right/>
      <top style="thin">
        <color auto="1"/>
      </top>
      <bottom/>
      <diagonal/>
    </border>
    <border>
      <left/>
      <right style="thin">
        <color theme="0"/>
      </right>
      <top style="thin">
        <color theme="0" tint="-0.499984740745262"/>
      </top>
      <bottom/>
      <diagonal/>
    </border>
    <border>
      <left/>
      <right style="thin">
        <color theme="0" tint="-0.24994659260841701"/>
      </right>
      <top style="thin">
        <color theme="0" tint="-0.34998626667073579"/>
      </top>
      <bottom style="thin">
        <color theme="0" tint="-0.499984740745262"/>
      </bottom>
      <diagonal/>
    </border>
    <border>
      <left/>
      <right/>
      <top style="thin">
        <color auto="1"/>
      </top>
      <bottom style="thin">
        <color auto="1"/>
      </bottom>
      <diagonal/>
    </border>
    <border>
      <left/>
      <right style="thin">
        <color theme="5"/>
      </right>
      <top style="thin">
        <color theme="0" tint="-0.499984740745262"/>
      </top>
      <bottom/>
      <diagonal/>
    </border>
    <border>
      <left/>
      <right style="thin">
        <color theme="5"/>
      </right>
      <top style="thin">
        <color theme="0" tint="-0.24994659260841701"/>
      </top>
      <bottom style="thin">
        <color theme="0" tint="-0.24994659260841701"/>
      </bottom>
      <diagonal/>
    </border>
    <border>
      <left/>
      <right style="thin">
        <color theme="5"/>
      </right>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int="-0.34998626667073579"/>
      </top>
      <bottom style="thin">
        <color theme="0" tint="-0.24994659260841701"/>
      </bottom>
      <diagonal/>
    </border>
    <border>
      <left style="thin">
        <color theme="4" tint="-0.24994659260841701"/>
      </left>
      <right style="thin">
        <color theme="3" tint="0.39994506668294322"/>
      </right>
      <top style="thin">
        <color theme="0" tint="-0.34998626667073579"/>
      </top>
      <bottom/>
      <diagonal/>
    </border>
    <border>
      <left style="thin">
        <color theme="3" tint="0.39994506668294322"/>
      </left>
      <right style="thin">
        <color theme="4" tint="-0.24994659260841701"/>
      </right>
      <top style="thin">
        <color theme="0" tint="-0.34998626667073579"/>
      </top>
      <bottom/>
      <diagonal/>
    </border>
    <border>
      <left/>
      <right/>
      <top style="thin">
        <color theme="4" tint="-0.24994659260841701"/>
      </top>
      <bottom/>
      <diagonal/>
    </border>
    <border>
      <left/>
      <right/>
      <top/>
      <bottom style="thin">
        <color theme="4" tint="-0.24994659260841701"/>
      </bottom>
      <diagonal/>
    </border>
    <border>
      <left style="thin">
        <color theme="4" tint="-0.24994659260841701"/>
      </left>
      <right style="thin">
        <color theme="0" tint="-0.34998626667073579"/>
      </right>
      <top style="thin">
        <color theme="4" tint="-0.24994659260841701"/>
      </top>
      <bottom/>
      <diagonal/>
    </border>
    <border>
      <left style="thin">
        <color theme="4" tint="-0.24994659260841701"/>
      </left>
      <right style="thin">
        <color theme="0" tint="-0.34998626667073579"/>
      </right>
      <top/>
      <bottom/>
      <diagonal/>
    </border>
    <border>
      <left style="thin">
        <color theme="4" tint="-0.24994659260841701"/>
      </left>
      <right style="thin">
        <color theme="0" tint="-0.34998626667073579"/>
      </right>
      <top/>
      <bottom style="thin">
        <color theme="4" tint="-0.24994659260841701"/>
      </bottom>
      <diagonal/>
    </border>
    <border>
      <left style="thin">
        <color theme="4" tint="-0.24994659260841701"/>
      </left>
      <right style="thin">
        <color theme="3" tint="0.39994506668294322"/>
      </right>
      <top style="thin">
        <color theme="0" tint="-0.24994659260841701"/>
      </top>
      <bottom/>
      <diagonal/>
    </border>
    <border>
      <left style="thin">
        <color theme="3" tint="0.39994506668294322"/>
      </left>
      <right style="thin">
        <color theme="4" tint="-0.24994659260841701"/>
      </right>
      <top style="thin">
        <color theme="0" tint="-0.24994659260841701"/>
      </top>
      <bottom/>
      <diagonal/>
    </border>
    <border>
      <left style="thin">
        <color theme="4" tint="-0.24994659260841701"/>
      </left>
      <right style="thin">
        <color theme="3" tint="0.39994506668294322"/>
      </right>
      <top style="thin">
        <color theme="0" tint="-0.24994659260841701"/>
      </top>
      <bottom style="thin">
        <color theme="4" tint="-0.24994659260841701"/>
      </bottom>
      <diagonal/>
    </border>
    <border>
      <left style="thin">
        <color theme="3" tint="0.39994506668294322"/>
      </left>
      <right style="thin">
        <color theme="4" tint="-0.24994659260841701"/>
      </right>
      <top style="thin">
        <color theme="0" tint="-0.24994659260841701"/>
      </top>
      <bottom style="thin">
        <color theme="4" tint="-0.24994659260841701"/>
      </bottom>
      <diagonal/>
    </border>
    <border>
      <left style="thin">
        <color theme="0" tint="-0.24994659260841701"/>
      </left>
      <right style="thin">
        <color theme="4" tint="-0.24994659260841701"/>
      </right>
      <top style="thin">
        <color theme="4" tint="-0.24994659260841701"/>
      </top>
      <bottom/>
      <diagonal/>
    </border>
    <border>
      <left style="thin">
        <color theme="0" tint="-0.24994659260841701"/>
      </left>
      <right style="thin">
        <color theme="4" tint="-0.24994659260841701"/>
      </right>
      <top style="thin">
        <color theme="0" tint="-0.24994659260841701"/>
      </top>
      <bottom/>
      <diagonal/>
    </border>
    <border>
      <left style="thin">
        <color theme="0" tint="-0.24994659260841701"/>
      </left>
      <right style="thin">
        <color theme="4" tint="-0.24994659260841701"/>
      </right>
      <top style="thin">
        <color theme="0" tint="-0.34998626667073579"/>
      </top>
      <bottom/>
      <diagonal/>
    </border>
    <border>
      <left style="thin">
        <color theme="0" tint="-0.24994659260841701"/>
      </left>
      <right style="thin">
        <color theme="4" tint="-0.24994659260841701"/>
      </right>
      <top style="thin">
        <color theme="0" tint="-0.24994659260841701"/>
      </top>
      <bottom style="thin">
        <color theme="4" tint="-0.24994659260841701"/>
      </bottom>
      <diagonal/>
    </border>
    <border>
      <left style="thin">
        <color theme="0" tint="-0.24994659260841701"/>
      </left>
      <right/>
      <top/>
      <bottom/>
      <diagonal/>
    </border>
    <border>
      <left style="thin">
        <color theme="0" tint="-0.34998626667073579"/>
      </left>
      <right/>
      <top style="thin">
        <color theme="0" tint="-0.24994659260841701"/>
      </top>
      <bottom/>
      <diagonal/>
    </border>
    <border>
      <left style="thin">
        <color theme="0" tint="-0.34998626667073579"/>
      </left>
      <right/>
      <top style="thin">
        <color theme="0" tint="-0.34998626667073579"/>
      </top>
      <bottom style="thin">
        <color theme="0" tint="-0.499984740745262"/>
      </bottom>
      <diagonal/>
    </border>
    <border>
      <left/>
      <right style="thin">
        <color theme="0" tint="-0.499984740745262"/>
      </right>
      <top/>
      <bottom/>
      <diagonal/>
    </border>
    <border>
      <left style="thin">
        <color theme="0" tint="-0.24994659260841701"/>
      </left>
      <right style="thin">
        <color theme="0" tint="-0.499984740745262"/>
      </right>
      <top style="thin">
        <color theme="0" tint="-0.34998626667073579"/>
      </top>
      <bottom style="thin">
        <color theme="0" tint="-0.49998474074526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style="thin">
        <color rgb="FF002060"/>
      </right>
      <top/>
      <bottom/>
      <diagonal/>
    </border>
    <border>
      <left style="thin">
        <color theme="0" tint="-0.499984740745262"/>
      </left>
      <right/>
      <top/>
      <bottom style="thin">
        <color theme="0" tint="-0.24994659260841701"/>
      </bottom>
      <diagonal/>
    </border>
    <border>
      <left style="thin">
        <color indexed="32"/>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style="thin">
        <color indexed="32"/>
      </top>
      <bottom/>
      <diagonal/>
    </border>
    <border>
      <left/>
      <right/>
      <top style="thin">
        <color indexed="32"/>
      </top>
      <bottom/>
      <diagonal/>
    </border>
    <border>
      <left/>
      <right style="thin">
        <color indexed="32"/>
      </right>
      <top style="thin">
        <color indexed="32"/>
      </top>
      <bottom/>
      <diagonal/>
    </border>
    <border>
      <left style="thin">
        <color indexed="32"/>
      </left>
      <right/>
      <top/>
      <bottom style="thin">
        <color indexed="32"/>
      </bottom>
      <diagonal/>
    </border>
    <border>
      <left/>
      <right/>
      <top/>
      <bottom style="thin">
        <color indexed="32"/>
      </bottom>
      <diagonal/>
    </border>
    <border>
      <left/>
      <right style="thin">
        <color indexed="32"/>
      </right>
      <top/>
      <bottom style="thin">
        <color indexed="32"/>
      </bottom>
      <diagonal/>
    </border>
    <border>
      <left/>
      <right style="thin">
        <color theme="0"/>
      </right>
      <top/>
      <bottom/>
      <diagonal/>
    </border>
    <border>
      <left/>
      <right style="thin">
        <color theme="0" tint="-0.34998626667073579"/>
      </right>
      <top/>
      <bottom style="thin">
        <color theme="0" tint="-0.24994659260841701"/>
      </bottom>
      <diagonal/>
    </border>
    <border>
      <left/>
      <right style="thin">
        <color theme="0" tint="-0.34998626667073579"/>
      </right>
      <top style="thin">
        <color theme="0" tint="-0.24994659260841701"/>
      </top>
      <bottom style="thin">
        <color theme="0" tint="-0.499984740745262"/>
      </bottom>
      <diagonal/>
    </border>
    <border>
      <left style="thin">
        <color theme="0"/>
      </left>
      <right/>
      <top style="thin">
        <color theme="0"/>
      </top>
      <bottom style="thin">
        <color theme="0"/>
      </bottom>
      <diagonal/>
    </border>
    <border>
      <left style="thin">
        <color indexed="32"/>
      </left>
      <right/>
      <top style="thin">
        <color indexed="32"/>
      </top>
      <bottom/>
      <diagonal/>
    </border>
    <border>
      <left/>
      <right style="thin">
        <color indexed="32"/>
      </right>
      <top style="thin">
        <color indexed="32"/>
      </top>
      <bottom/>
      <diagonal/>
    </border>
    <border>
      <left style="thin">
        <color theme="0"/>
      </left>
      <right/>
      <top style="thin">
        <color theme="0" tint="-0.499984740745262"/>
      </top>
      <bottom/>
      <diagonal/>
    </border>
    <border>
      <left style="thin">
        <color indexed="9"/>
      </left>
      <right style="thin">
        <color indexed="9"/>
      </right>
      <top style="thin">
        <color theme="0" tint="-0.499984740745262"/>
      </top>
      <bottom style="thin">
        <color theme="0" tint="-0.499984740745262"/>
      </bottom>
      <diagonal/>
    </border>
    <border>
      <left style="thin">
        <color indexed="9"/>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24994659260841701"/>
      </bottom>
      <diagonal/>
    </border>
    <border>
      <left/>
      <right style="thin">
        <color theme="0" tint="-0.34998626667073579"/>
      </right>
      <top style="thin">
        <color theme="0" tint="-0.499984740745262"/>
      </top>
      <bottom style="thin">
        <color theme="0" tint="-0.24994659260841701"/>
      </bottom>
      <diagonal/>
    </border>
    <border>
      <left/>
      <right style="thin">
        <color theme="0" tint="-0.499984740745262"/>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499984740745262"/>
      </bottom>
      <diagonal/>
    </border>
    <border>
      <left/>
      <right style="thin">
        <color theme="0" tint="-0.34998626667073579"/>
      </right>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rgb="FF7030A0"/>
      </left>
      <right/>
      <top/>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right/>
      <top style="thin">
        <color rgb="FF7030A0"/>
      </top>
      <bottom style="thin">
        <color rgb="FF7030A0"/>
      </bottom>
      <diagonal/>
    </border>
    <border>
      <left/>
      <right style="thin">
        <color rgb="FF7030A0"/>
      </right>
      <top/>
      <bottom/>
      <diagonal/>
    </border>
    <border>
      <left style="thin">
        <color theme="0" tint="-0.24994659260841701"/>
      </left>
      <right style="thin">
        <color theme="0"/>
      </right>
      <top style="thin">
        <color theme="0"/>
      </top>
      <bottom style="thin">
        <color theme="0"/>
      </bottom>
      <diagonal/>
    </border>
    <border>
      <left style="thin">
        <color theme="0" tint="-0.24994659260841701"/>
      </left>
      <right style="thin">
        <color theme="0" tint="-0.24994659260841701"/>
      </right>
      <top style="thin">
        <color theme="0"/>
      </top>
      <bottom style="thin">
        <color theme="0"/>
      </bottom>
      <diagonal/>
    </border>
    <border>
      <left style="thin">
        <color theme="0" tint="-0.24994659260841701"/>
      </left>
      <right style="thin">
        <color theme="0" tint="-0.24994659260841701"/>
      </right>
      <top style="thin">
        <color theme="0"/>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bottom>
      <diagonal/>
    </border>
    <border>
      <left/>
      <right/>
      <top/>
      <bottom style="thin">
        <color theme="0"/>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right/>
      <top style="thin">
        <color indexed="32"/>
      </top>
      <bottom/>
      <diagonal/>
    </border>
    <border>
      <left style="thin">
        <color rgb="FF000080"/>
      </left>
      <right/>
      <top/>
      <bottom/>
      <diagonal/>
    </border>
    <border>
      <left/>
      <right style="thin">
        <color rgb="FF000080"/>
      </right>
      <top/>
      <bottom/>
      <diagonal/>
    </border>
    <border>
      <left style="thin">
        <color indexed="32"/>
      </left>
      <right/>
      <top/>
      <bottom/>
      <diagonal/>
    </border>
    <border>
      <left style="thin">
        <color rgb="FF000080"/>
      </left>
      <right/>
      <top/>
      <bottom style="thin">
        <color rgb="FF000080"/>
      </bottom>
      <diagonal/>
    </border>
    <border>
      <left/>
      <right style="thin">
        <color rgb="FF000080"/>
      </right>
      <top/>
      <bottom style="thin">
        <color rgb="FF000080"/>
      </bottom>
      <diagonal/>
    </border>
    <border>
      <left/>
      <right style="thin">
        <color rgb="FF000080"/>
      </right>
      <top style="thin">
        <color rgb="FF000080"/>
      </top>
      <bottom/>
      <diagonal/>
    </border>
    <border>
      <left/>
      <right style="thin">
        <color rgb="FF000080"/>
      </right>
      <top style="thin">
        <color rgb="FF000080"/>
      </top>
      <bottom style="thin">
        <color rgb="FF000080"/>
      </bottom>
      <diagonal/>
    </border>
    <border>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24994659260841701"/>
      </bottom>
      <diagonal/>
    </border>
    <border>
      <left style="thin">
        <color theme="0" tint="-0.499984740745262"/>
      </left>
      <right style="thin">
        <color theme="0" tint="-0.499984740745262"/>
      </right>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24994659260841701"/>
      </bottom>
      <diagonal/>
    </border>
    <border>
      <left style="thin">
        <color theme="0" tint="-0.499984740745262"/>
      </left>
      <right/>
      <top style="thin">
        <color theme="0" tint="-0.499984740745262"/>
      </top>
      <bottom style="thin">
        <color theme="0" tint="-0.34998626667073579"/>
      </bottom>
      <diagonal/>
    </border>
    <border>
      <left style="thin">
        <color theme="0"/>
      </left>
      <right style="thin">
        <color theme="0"/>
      </right>
      <top/>
      <bottom/>
      <diagonal/>
    </border>
    <border>
      <left style="thin">
        <color theme="0"/>
      </left>
      <right/>
      <top style="thin">
        <color theme="0" tint="-0.499984740745262"/>
      </top>
      <bottom style="thin">
        <color theme="0"/>
      </bottom>
      <diagonal/>
    </border>
    <border>
      <left style="thin">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499984740745262"/>
      </bottom>
      <diagonal/>
    </border>
    <border>
      <left style="thin">
        <color theme="0" tint="-0.2499465926084170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24994659260841701"/>
      </top>
      <bottom/>
      <diagonal/>
    </border>
    <border>
      <left/>
      <right style="thin">
        <color theme="0" tint="-0.499984740745262"/>
      </right>
      <top style="thin">
        <color theme="0" tint="-0.24994659260841701"/>
      </top>
      <bottom/>
      <diagonal/>
    </border>
    <border>
      <left style="thin">
        <color theme="0" tint="-0.499984740745262"/>
      </left>
      <right/>
      <top style="thin">
        <color theme="0" tint="-0.24994659260841701"/>
      </top>
      <bottom/>
      <diagonal/>
    </border>
    <border>
      <left style="thin">
        <color theme="0" tint="-0.499984740745262"/>
      </left>
      <right/>
      <top style="thin">
        <color theme="0" tint="-0.34998626667073579"/>
      </top>
      <bottom style="thin">
        <color theme="0" tint="-0.24994659260841701"/>
      </bottom>
      <diagonal/>
    </border>
    <border>
      <left style="thin">
        <color theme="0" tint="-0.499984740745262"/>
      </left>
      <right style="thin">
        <color theme="0" tint="-0.24994659260841701"/>
      </right>
      <top style="thin">
        <color theme="0" tint="-0.34998626667073579"/>
      </top>
      <bottom style="thin">
        <color theme="0" tint="-0.24994659260841701"/>
      </bottom>
      <diagonal/>
    </border>
    <border>
      <left/>
      <right style="thin">
        <color theme="0" tint="-0.499984740745262"/>
      </right>
      <top style="thin">
        <color theme="0" tint="-0.34998626667073579"/>
      </top>
      <bottom style="thin">
        <color theme="0" tint="-0.24994659260841701"/>
      </bottom>
      <diagonal/>
    </border>
    <border>
      <left style="thin">
        <color theme="0" tint="-0.499984740745262"/>
      </left>
      <right style="thin">
        <color theme="0" tint="-0.24994659260841701"/>
      </right>
      <top/>
      <bottom/>
      <diagonal/>
    </border>
    <border>
      <left/>
      <right style="thin">
        <color theme="0" tint="-0.499984740745262"/>
      </right>
      <top style="thin">
        <color theme="0" tint="-0.499984740745262"/>
      </top>
      <bottom style="thin">
        <color theme="0" tint="-0.34998626667073579"/>
      </bottom>
      <diagonal/>
    </border>
    <border>
      <left style="thin">
        <color theme="0" tint="-0.24994659260841701"/>
      </left>
      <right style="thin">
        <color theme="0" tint="-0.499984740745262"/>
      </right>
      <top/>
      <bottom/>
      <diagonal/>
    </border>
    <border>
      <left style="thin">
        <color theme="0"/>
      </left>
      <right style="thin">
        <color theme="0" tint="-0.499984740745262"/>
      </right>
      <top/>
      <bottom/>
      <diagonal/>
    </border>
    <border>
      <left style="thin">
        <color theme="0"/>
      </left>
      <right style="thin">
        <color theme="0" tint="-0.499984740745262"/>
      </right>
      <top style="thin">
        <color theme="0"/>
      </top>
      <bottom/>
      <diagonal/>
    </border>
    <border>
      <left style="thin">
        <color theme="0" tint="-0.499984740745262"/>
      </left>
      <right style="thin">
        <color theme="0"/>
      </right>
      <top/>
      <bottom style="thin">
        <color theme="0" tint="-0.499984740745262"/>
      </bottom>
      <diagonal/>
    </border>
    <border>
      <left style="thin">
        <color theme="0" tint="-0.499984740745262"/>
      </left>
      <right/>
      <top style="thin">
        <color theme="0" tint="-0.499984740745262"/>
      </top>
      <bottom style="thin">
        <color theme="0"/>
      </bottom>
      <diagonal/>
    </border>
    <border>
      <left/>
      <right style="thin">
        <color theme="0"/>
      </right>
      <top style="thin">
        <color theme="0" tint="-0.499984740745262"/>
      </top>
      <bottom style="thin">
        <color theme="0"/>
      </bottom>
      <diagonal/>
    </border>
    <border>
      <left style="thin">
        <color theme="0" tint="-0.499984740745262"/>
      </left>
      <right/>
      <top style="thin">
        <color theme="0"/>
      </top>
      <bottom style="thin">
        <color theme="0"/>
      </bottom>
      <diagonal/>
    </border>
    <border>
      <left/>
      <right style="thin">
        <color theme="0"/>
      </right>
      <top style="thin">
        <color theme="0"/>
      </top>
      <bottom style="thin">
        <color theme="0"/>
      </bottom>
      <diagonal/>
    </border>
    <border>
      <left/>
      <right style="thin">
        <color theme="0" tint="-0.499984740745262"/>
      </right>
      <top style="thin">
        <color theme="0" tint="-0.499984740745262"/>
      </top>
      <bottom style="thin">
        <color theme="0"/>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thin">
        <color theme="0" tint="-0.499984740745262"/>
      </left>
      <right style="thin">
        <color theme="0" tint="-0.24994659260841701"/>
      </right>
      <top/>
      <bottom style="thin">
        <color theme="0" tint="-0.24994659260841701"/>
      </bottom>
      <diagonal/>
    </border>
    <border>
      <left/>
      <right style="thin">
        <color theme="0" tint="-0.499984740745262"/>
      </right>
      <top style="thin">
        <color theme="0"/>
      </top>
      <bottom style="thin">
        <color theme="0" tint="-0.499984740745262"/>
      </bottom>
      <diagonal/>
    </border>
    <border>
      <left style="thin">
        <color theme="0"/>
      </left>
      <right/>
      <top style="thin">
        <color theme="0"/>
      </top>
      <bottom/>
      <diagonal/>
    </border>
    <border>
      <left style="double">
        <color theme="0" tint="-0.499984740745262"/>
      </left>
      <right style="thin">
        <color theme="0" tint="-0.499984740745262"/>
      </right>
      <top style="thin">
        <color theme="0" tint="-0.499984740745262"/>
      </top>
      <bottom style="thin">
        <color theme="0" tint="-0.24994659260841701"/>
      </bottom>
      <diagonal/>
    </border>
    <border>
      <left style="double">
        <color theme="0" tint="-0.499984740745262"/>
      </left>
      <right style="thin">
        <color theme="0" tint="-0.499984740745262"/>
      </right>
      <top style="thin">
        <color theme="0" tint="-0.24994659260841701"/>
      </top>
      <bottom style="thin">
        <color theme="0" tint="-0.499984740745262"/>
      </bottom>
      <diagonal/>
    </border>
    <border>
      <left style="double">
        <color theme="0"/>
      </left>
      <right/>
      <top style="thin">
        <color theme="0" tint="-0.499984740745262"/>
      </top>
      <bottom style="thin">
        <color theme="0"/>
      </bottom>
      <diagonal/>
    </border>
    <border>
      <left style="double">
        <color theme="0"/>
      </left>
      <right style="thin">
        <color theme="0"/>
      </right>
      <top style="thin">
        <color theme="0"/>
      </top>
      <bottom/>
      <diagonal/>
    </border>
    <border>
      <left style="double">
        <color theme="0"/>
      </left>
      <right style="thin">
        <color theme="0"/>
      </right>
      <top/>
      <bottom/>
      <diagonal/>
    </border>
    <border>
      <left style="double">
        <color theme="0"/>
      </left>
      <right style="thin">
        <color theme="0"/>
      </right>
      <top/>
      <bottom style="thin">
        <color theme="0" tint="-0.499984740745262"/>
      </bottom>
      <diagonal/>
    </border>
    <border>
      <left style="thin">
        <color theme="0" tint="-0.499984740745262"/>
      </left>
      <right style="thin">
        <color theme="0"/>
      </right>
      <top style="thin">
        <color theme="0" tint="-0.499984740745262"/>
      </top>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24994659260841701"/>
      </left>
      <right style="thin">
        <color theme="0" tint="-0.499984740745262"/>
      </right>
      <top/>
      <bottom style="thin">
        <color theme="0" tint="-0.499984740745262"/>
      </bottom>
      <diagonal/>
    </border>
    <border>
      <left/>
      <right style="hair">
        <color auto="1"/>
      </right>
      <top/>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left>
      <right/>
      <top style="thin">
        <color theme="0"/>
      </top>
      <bottom style="thin">
        <color theme="0" tint="-0.499984740745262"/>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tint="-0.499984740745262"/>
      </right>
      <top style="thin">
        <color theme="0"/>
      </top>
      <bottom style="thin">
        <color theme="0" tint="-0.499984740745262"/>
      </bottom>
      <diagonal/>
    </border>
    <border>
      <left/>
      <right style="thin">
        <color theme="0" tint="-0.499984740745262"/>
      </right>
      <top style="thin">
        <color theme="0" tint="-0.34998626667073579"/>
      </top>
      <bottom style="thin">
        <color theme="0" tint="-0.34998626667073579"/>
      </bottom>
      <diagonal/>
    </border>
    <border>
      <left style="thin">
        <color theme="0" tint="-0.24994659260841701"/>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style="thin">
        <color theme="0" tint="-0.24994659260841701"/>
      </right>
      <top style="thin">
        <color theme="0" tint="-0.499984740745262"/>
      </top>
      <bottom style="thin">
        <color theme="0" tint="-0.24994659260841701"/>
      </bottom>
      <diagonal/>
    </border>
    <border>
      <left/>
      <right style="thin">
        <color theme="0" tint="-0.34998626667073579"/>
      </right>
      <top style="thin">
        <color theme="0" tint="-0.499984740745262"/>
      </top>
      <bottom style="thin">
        <color theme="0" tint="-0.499984740745262"/>
      </bottom>
      <diagonal/>
    </border>
    <border>
      <left/>
      <right style="thin">
        <color indexed="9"/>
      </right>
      <top style="thin">
        <color theme="0" tint="-0.499984740745262"/>
      </top>
      <bottom style="thin">
        <color theme="0" tint="-0.499984740745262"/>
      </bottom>
      <diagonal/>
    </border>
    <border>
      <left style="thin">
        <color indexed="9"/>
      </left>
      <right style="thin">
        <color theme="0" tint="-0.499984740745262"/>
      </right>
      <top style="thin">
        <color theme="0" tint="-0.499984740745262"/>
      </top>
      <bottom style="thin">
        <color theme="0" tint="-0.499984740745262"/>
      </bottom>
      <diagonal/>
    </border>
    <border>
      <left style="thin">
        <color theme="0" tint="-0.499984740745262"/>
      </left>
      <right style="thin">
        <color indexed="9"/>
      </right>
      <top style="thin">
        <color theme="0" tint="-0.499984740745262"/>
      </top>
      <bottom style="thin">
        <color theme="0" tint="-0.499984740745262"/>
      </bottom>
      <diagonal/>
    </border>
    <border>
      <left style="thin">
        <color theme="0" tint="-0.34998626667073579"/>
      </left>
      <right style="thin">
        <color theme="0" tint="-0.24994659260841701"/>
      </right>
      <top style="thin">
        <color theme="0" tint="-0.499984740745262"/>
      </top>
      <bottom style="thin">
        <color theme="0" tint="-0.499984740745262"/>
      </bottom>
      <diagonal/>
    </border>
    <border>
      <left style="thin">
        <color theme="0" tint="-0.34998626667073579"/>
      </left>
      <right style="thin">
        <color theme="0" tint="-0.24994659260841701"/>
      </right>
      <top style="thin">
        <color theme="0" tint="-0.499984740745262"/>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24994659260841701"/>
      </right>
      <top/>
      <bottom style="thin">
        <color theme="0" tint="-0.499984740745262"/>
      </bottom>
      <diagonal/>
    </border>
    <border>
      <left style="thin">
        <color theme="0" tint="-0.34998626667073579"/>
      </left>
      <right style="thin">
        <color theme="0" tint="-0.499984740745262"/>
      </right>
      <top/>
      <bottom style="thin">
        <color theme="0" tint="-0.499984740745262"/>
      </bottom>
      <diagonal/>
    </border>
    <border>
      <left style="thin">
        <color theme="0" tint="-0.34998626667073579"/>
      </left>
      <right style="thin">
        <color theme="0" tint="-0.499984740745262"/>
      </right>
      <top/>
      <bottom/>
      <diagonal/>
    </border>
    <border>
      <left style="thin">
        <color theme="0" tint="-0.499984740745262"/>
      </left>
      <right/>
      <top style="thin">
        <color theme="0"/>
      </top>
      <bottom/>
      <diagonal/>
    </border>
    <border>
      <left style="thin">
        <color theme="0" tint="-0.499984740745262"/>
      </left>
      <right style="thin">
        <color theme="0" tint="-0.499984740745262"/>
      </right>
      <top style="thin">
        <color theme="0"/>
      </top>
      <bottom style="thin">
        <color theme="0" tint="-0.499984740745262"/>
      </bottom>
      <diagonal/>
    </border>
    <border>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right style="thin">
        <color theme="0"/>
      </right>
      <top style="thin">
        <color theme="0" tint="-0.24994659260841701"/>
      </top>
      <bottom style="thin">
        <color theme="0" tint="-0.499984740745262"/>
      </bottom>
      <diagonal/>
    </border>
    <border>
      <left style="thin">
        <color theme="0"/>
      </left>
      <right/>
      <top style="thin">
        <color theme="0" tint="-0.24994659260841701"/>
      </top>
      <bottom style="thin">
        <color theme="0" tint="-0.499984740745262"/>
      </bottom>
      <diagonal/>
    </border>
    <border>
      <left style="thin">
        <color theme="0"/>
      </left>
      <right style="thin">
        <color theme="0"/>
      </right>
      <top style="thin">
        <color theme="0" tint="-0.24994659260841701"/>
      </top>
      <bottom style="thin">
        <color theme="0" tint="-0.499984740745262"/>
      </bottom>
      <diagonal/>
    </border>
    <border>
      <left style="thin">
        <color theme="0"/>
      </left>
      <right style="thin">
        <color theme="0" tint="-0.499984740745262"/>
      </right>
      <top style="thin">
        <color theme="0" tint="-0.24994659260841701"/>
      </top>
      <bottom style="thin">
        <color theme="0" tint="-0.499984740745262"/>
      </bottom>
      <diagonal/>
    </border>
    <border>
      <left style="thin">
        <color theme="0" tint="-0.499984740745262"/>
      </left>
      <right style="thin">
        <color theme="0"/>
      </right>
      <top style="thin">
        <color theme="0" tint="-0.24994659260841701"/>
      </top>
      <bottom style="thin">
        <color theme="0" tint="-0.499984740745262"/>
      </bottom>
      <diagonal/>
    </border>
    <border>
      <left style="thin">
        <color indexed="9"/>
      </left>
      <right/>
      <top style="thin">
        <color theme="0" tint="-0.499984740745262"/>
      </top>
      <bottom/>
      <diagonal/>
    </border>
    <border>
      <left/>
      <right style="thin">
        <color indexed="9"/>
      </right>
      <top style="thin">
        <color theme="0" tint="-0.499984740745262"/>
      </top>
      <bottom/>
      <diagonal/>
    </border>
    <border>
      <left style="thin">
        <color indexed="9"/>
      </left>
      <right/>
      <top/>
      <bottom style="thin">
        <color theme="0" tint="-0.499984740745262"/>
      </bottom>
      <diagonal/>
    </border>
    <border>
      <left/>
      <right style="thin">
        <color indexed="9"/>
      </right>
      <top/>
      <bottom style="thin">
        <color theme="0" tint="-0.499984740745262"/>
      </bottom>
      <diagonal/>
    </border>
    <border>
      <left style="thin">
        <color indexed="32"/>
      </left>
      <right/>
      <top style="thin">
        <color indexed="32"/>
      </top>
      <bottom/>
      <diagonal/>
    </border>
    <border>
      <left style="thin">
        <color theme="3" tint="0.39994506668294322"/>
      </left>
      <right style="thin">
        <color indexed="32"/>
      </right>
      <top style="thin">
        <color indexed="32"/>
      </top>
      <bottom/>
      <diagonal/>
    </border>
    <border>
      <left style="thin">
        <color indexed="32"/>
      </left>
      <right/>
      <top/>
      <bottom style="thin">
        <color indexed="32"/>
      </bottom>
      <diagonal/>
    </border>
    <border>
      <left style="thin">
        <color theme="3" tint="0.39994506668294322"/>
      </left>
      <right style="thin">
        <color indexed="32"/>
      </right>
      <top/>
      <bottom style="thin">
        <color indexed="32"/>
      </bottom>
      <diagonal/>
    </border>
    <border>
      <left style="thin">
        <color indexed="32"/>
      </left>
      <right/>
      <top style="thin">
        <color theme="3" tint="0.39994506668294322"/>
      </top>
      <bottom style="thin">
        <color theme="3" tint="0.39994506668294322"/>
      </bottom>
      <diagonal/>
    </border>
    <border>
      <left style="thin">
        <color theme="3" tint="0.39994506668294322"/>
      </left>
      <right style="thin">
        <color indexed="32"/>
      </right>
      <top style="thin">
        <color theme="3" tint="0.39994506668294322"/>
      </top>
      <bottom style="thin">
        <color theme="3" tint="0.39994506668294322"/>
      </bottom>
      <diagonal/>
    </border>
    <border>
      <left/>
      <right style="thin">
        <color theme="0" tint="-0.499984740745262"/>
      </right>
      <top style="thin">
        <color theme="0" tint="-0.499984740745262"/>
      </top>
      <bottom style="thin">
        <color theme="0" tint="-0.14996795556505021"/>
      </bottom>
      <diagonal/>
    </border>
    <border>
      <left/>
      <right style="thin">
        <color theme="0" tint="-0.499984740745262"/>
      </right>
      <top style="thin">
        <color theme="0" tint="-0.14996795556505021"/>
      </top>
      <bottom style="thin">
        <color theme="0" tint="-0.14996795556505021"/>
      </bottom>
      <diagonal/>
    </border>
    <border>
      <left/>
      <right style="thin">
        <color theme="0" tint="-0.499984740745262"/>
      </right>
      <top style="thin">
        <color theme="0" tint="-0.14996795556505021"/>
      </top>
      <bottom/>
      <diagonal/>
    </border>
    <border>
      <left/>
      <right style="thin">
        <color theme="0" tint="-0.499984740745262"/>
      </right>
      <top/>
      <bottom style="thin">
        <color theme="0" tint="-0.14996795556505021"/>
      </bottom>
      <diagonal/>
    </border>
    <border>
      <left style="thin">
        <color theme="0" tint="-0.499984740745262"/>
      </left>
      <right/>
      <top style="thin">
        <color theme="0" tint="-0.24994659260841701"/>
      </top>
      <bottom style="thin">
        <color theme="0" tint="-0.14996795556505021"/>
      </bottom>
      <diagonal/>
    </border>
    <border>
      <left/>
      <right style="thin">
        <color theme="0" tint="-0.499984740745262"/>
      </right>
      <top style="thin">
        <color theme="0" tint="-0.24994659260841701"/>
      </top>
      <bottom style="thin">
        <color theme="0" tint="-0.14996795556505021"/>
      </bottom>
      <diagonal/>
    </border>
    <border>
      <left style="thin">
        <color theme="0" tint="-0.499984740745262"/>
      </left>
      <right/>
      <top style="thin">
        <color theme="0" tint="-0.14996795556505021"/>
      </top>
      <bottom style="thin">
        <color theme="0" tint="-0.499984740745262"/>
      </bottom>
      <diagonal/>
    </border>
    <border>
      <left/>
      <right style="thin">
        <color theme="0" tint="-0.499984740745262"/>
      </right>
      <top style="thin">
        <color theme="0" tint="-0.14996795556505021"/>
      </top>
      <bottom style="thin">
        <color theme="0" tint="-0.499984740745262"/>
      </bottom>
      <diagonal/>
    </border>
    <border>
      <left style="thin">
        <color theme="0" tint="-0.499984740745262"/>
      </left>
      <right style="thin">
        <color auto="1"/>
      </right>
      <top style="thin">
        <color theme="0" tint="-0.14996795556505021"/>
      </top>
      <bottom style="thin">
        <color theme="0" tint="-0.499984740745262"/>
      </bottom>
      <diagonal/>
    </border>
    <border>
      <left/>
      <right style="thin">
        <color theme="0" tint="-0.499984740745262"/>
      </right>
      <top style="thin">
        <color theme="0"/>
      </top>
      <bottom/>
      <diagonal/>
    </border>
    <border>
      <left style="thin">
        <color theme="0" tint="-0.34998626667073579"/>
      </left>
      <right style="thin">
        <color theme="0" tint="-0.499984740745262"/>
      </right>
      <top style="thin">
        <color theme="0" tint="-0.14996795556505021"/>
      </top>
      <bottom/>
      <diagonal/>
    </border>
    <border>
      <left style="thin">
        <color theme="0" tint="-0.34998626667073579"/>
      </left>
      <right style="thin">
        <color theme="0" tint="-0.499984740745262"/>
      </right>
      <top/>
      <bottom style="thin">
        <color theme="0" tint="-0.24994659260841701"/>
      </bottom>
      <diagonal/>
    </border>
    <border>
      <left style="thin">
        <color theme="0" tint="-0.34998626667073579"/>
      </left>
      <right style="thin">
        <color theme="0" tint="-0.499984740745262"/>
      </right>
      <top style="thin">
        <color theme="0" tint="-0.14996795556505021"/>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right/>
      <top style="thin">
        <color theme="0" tint="-0.34998626667073579"/>
      </top>
      <bottom style="thin">
        <color theme="0" tint="-0.14996795556505021"/>
      </bottom>
      <diagonal/>
    </border>
    <border>
      <left/>
      <right style="thin">
        <color theme="0" tint="-0.499984740745262"/>
      </right>
      <top style="thin">
        <color theme="0" tint="-0.34998626667073579"/>
      </top>
      <bottom style="thin">
        <color theme="0" tint="-0.14996795556505021"/>
      </bottom>
      <diagonal/>
    </border>
    <border>
      <left style="thin">
        <color theme="0" tint="-0.24994659260841701"/>
      </left>
      <right style="thin">
        <color theme="0" tint="-0.499984740745262"/>
      </right>
      <top style="thin">
        <color theme="0" tint="-0.499984740745262"/>
      </top>
      <bottom style="thin">
        <color theme="0" tint="-0.14996795556505021"/>
      </bottom>
      <diagonal/>
    </border>
    <border>
      <left style="thin">
        <color theme="0" tint="-0.24994659260841701"/>
      </left>
      <right style="thin">
        <color theme="0" tint="-0.499984740745262"/>
      </right>
      <top style="thin">
        <color theme="0" tint="-0.499984740745262"/>
      </top>
      <bottom style="thin">
        <color theme="0"/>
      </bottom>
      <diagonal/>
    </border>
    <border>
      <left style="thin">
        <color theme="0" tint="-0.24994659260841701"/>
      </left>
      <right style="thin">
        <color theme="0" tint="-0.499984740745262"/>
      </right>
      <top style="thin">
        <color theme="0"/>
      </top>
      <bottom style="thin">
        <color theme="0" tint="-0.499984740745262"/>
      </bottom>
      <diagonal/>
    </border>
    <border>
      <left style="thin">
        <color theme="0" tint="-0.24994659260841701"/>
      </left>
      <right style="thin">
        <color theme="0" tint="-0.499984740745262"/>
      </right>
      <top style="thin">
        <color theme="0" tint="-0.14996795556505021"/>
      </top>
      <bottom style="thin">
        <color theme="0" tint="-0.14996795556505021"/>
      </bottom>
      <diagonal/>
    </border>
    <border>
      <left style="thin">
        <color theme="0" tint="-0.24994659260841701"/>
      </left>
      <right style="thin">
        <color theme="0" tint="-0.499984740745262"/>
      </right>
      <top style="thin">
        <color theme="0" tint="-0.14996795556505021"/>
      </top>
      <bottom/>
      <diagonal/>
    </border>
    <border>
      <left style="thin">
        <color theme="0" tint="-0.24994659260841701"/>
      </left>
      <right style="thin">
        <color theme="0" tint="-0.499984740745262"/>
      </right>
      <top/>
      <bottom style="thin">
        <color theme="0" tint="-0.24994659260841701"/>
      </bottom>
      <diagonal/>
    </border>
    <border>
      <left style="thin">
        <color theme="0" tint="-0.24994659260841701"/>
      </left>
      <right style="thin">
        <color theme="0" tint="-0.499984740745262"/>
      </right>
      <top/>
      <bottom style="thin">
        <color theme="0" tint="-0.14996795556505021"/>
      </bottom>
      <diagonal/>
    </border>
    <border>
      <left style="thin">
        <color theme="0" tint="-0.24994659260841701"/>
      </left>
      <right style="thin">
        <color theme="0" tint="-0.499984740745262"/>
      </right>
      <top style="thin">
        <color theme="0" tint="-0.34998626667073579"/>
      </top>
      <bottom style="thin">
        <color theme="0" tint="-0.14996795556505021"/>
      </bottom>
      <diagonal/>
    </border>
    <border>
      <left style="thin">
        <color theme="0" tint="-0.24994659260841701"/>
      </left>
      <right style="thin">
        <color theme="0" tint="-0.499984740745262"/>
      </right>
      <top style="thin">
        <color theme="0" tint="-0.14996795556505021"/>
      </top>
      <bottom style="thin">
        <color theme="0" tint="-0.499984740745262"/>
      </bottom>
      <diagonal/>
    </border>
    <border>
      <left style="thin">
        <color theme="0" tint="-0.499984740745262"/>
      </left>
      <right/>
      <top style="thin">
        <color theme="0" tint="-0.24994659260841701"/>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24994659260841701"/>
      </bottom>
      <diagonal/>
    </border>
    <border>
      <left style="thin">
        <color theme="0" tint="-0.34998626667073579"/>
      </left>
      <right/>
      <top/>
      <bottom style="thin">
        <color theme="0" tint="-0.24994659260841701"/>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theme="0" tint="-0.34998626667073579"/>
      </left>
      <right style="thin">
        <color theme="0" tint="-0.34998626667073579"/>
      </right>
      <top/>
      <bottom style="thin">
        <color theme="0" tint="-0.34998626667073579"/>
      </bottom>
      <diagonal/>
    </border>
    <border>
      <left style="thin">
        <color theme="3" tint="0.39994506668294322"/>
      </left>
      <right style="thin">
        <color theme="3" tint="0.39994506668294322"/>
      </right>
      <top style="thin">
        <color theme="0" tint="-0.14996795556505021"/>
      </top>
      <bottom style="thin">
        <color theme="3" tint="0.39991454817346722"/>
      </bottom>
      <diagonal/>
    </border>
    <border>
      <left style="thin">
        <color theme="4" tint="0.39994506668294322"/>
      </left>
      <right style="thin">
        <color theme="3" tint="0.79998168889431442"/>
      </right>
      <top style="thin">
        <color theme="3" tint="0.39994506668294322"/>
      </top>
      <bottom/>
      <diagonal/>
    </border>
    <border>
      <left style="thin">
        <color theme="4" tint="0.39994506668294322"/>
      </left>
      <right style="thin">
        <color theme="3" tint="0.79998168889431442"/>
      </right>
      <top style="thin">
        <color theme="0" tint="-0.14996795556505021"/>
      </top>
      <bottom style="thin">
        <color theme="3" tint="0.39991454817346722"/>
      </bottom>
      <diagonal/>
    </border>
    <border>
      <left style="thin">
        <color theme="0" tint="-0.499984740745262"/>
      </left>
      <right style="thin">
        <color auto="1"/>
      </right>
      <top style="thin">
        <color theme="0" tint="-0.499984740745262"/>
      </top>
      <bottom style="thin">
        <color theme="0"/>
      </bottom>
      <diagonal/>
    </border>
    <border>
      <left style="thin">
        <color auto="1"/>
      </left>
      <right style="thin">
        <color theme="0" tint="-0.499984740745262"/>
      </right>
      <top style="thin">
        <color theme="0" tint="-0.499984740745262"/>
      </top>
      <bottom style="thin">
        <color theme="0"/>
      </bottom>
      <diagonal/>
    </border>
    <border>
      <left style="thin">
        <color theme="0"/>
      </left>
      <right/>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bottom>
      <diagonal/>
    </border>
    <border>
      <left/>
      <right style="thin">
        <color theme="0"/>
      </right>
      <top style="thin">
        <color theme="0" tint="-0.34998626667073579"/>
      </top>
      <bottom style="thin">
        <color theme="0" tint="-0.499984740745262"/>
      </bottom>
      <diagonal/>
    </border>
    <border>
      <left style="thin">
        <color theme="0"/>
      </left>
      <right/>
      <top style="thin">
        <color theme="0" tint="-0.34998626667073579"/>
      </top>
      <bottom style="thin">
        <color theme="0" tint="-0.499984740745262"/>
      </bottom>
      <diagonal/>
    </border>
    <border>
      <left style="thin">
        <color theme="0" tint="-0.499984740745262"/>
      </left>
      <right style="thin">
        <color theme="0"/>
      </right>
      <top style="thin">
        <color theme="0" tint="-0.499984740745262"/>
      </top>
      <bottom style="thin">
        <color theme="0"/>
      </bottom>
      <diagonal/>
    </border>
    <border>
      <left style="thin">
        <color theme="0"/>
      </left>
      <right style="thin">
        <color theme="0" tint="-0.499984740745262"/>
      </right>
      <top style="thin">
        <color theme="0" tint="-0.499984740745262"/>
      </top>
      <bottom style="thin">
        <color theme="0"/>
      </bottom>
      <diagonal/>
    </border>
    <border>
      <left style="thin">
        <color theme="0" tint="-0.24994659260841701"/>
      </left>
      <right style="thin">
        <color theme="0" tint="-0.499984740745262"/>
      </right>
      <top style="thin">
        <color theme="0" tint="-0.499984740745262"/>
      </top>
      <bottom style="thin">
        <color theme="0" tint="-0.34998626667073579"/>
      </bottom>
      <diagonal/>
    </border>
    <border>
      <left style="thin">
        <color theme="0" tint="-0.24994659260841701"/>
      </left>
      <right style="thin">
        <color theme="0" tint="-0.499984740745262"/>
      </right>
      <top style="thin">
        <color theme="0" tint="-0.34998626667073579"/>
      </top>
      <bottom/>
      <diagonal/>
    </border>
    <border>
      <left style="thin">
        <color theme="0" tint="-0.24994659260841701"/>
      </left>
      <right style="thin">
        <color theme="0" tint="-0.499984740745262"/>
      </right>
      <top style="thin">
        <color theme="0" tint="-0.24994659260841701"/>
      </top>
      <bottom/>
      <diagonal/>
    </border>
    <border>
      <left style="thin">
        <color theme="0" tint="-0.499984740745262"/>
      </left>
      <right style="thin">
        <color theme="0" tint="-0.24994659260841701"/>
      </right>
      <top style="thin">
        <color theme="0" tint="-0.499984740745262"/>
      </top>
      <bottom style="thin">
        <color theme="0" tint="-0.499984740745262"/>
      </bottom>
      <diagonal/>
    </border>
    <border>
      <left style="thin">
        <color theme="0" tint="-0.499984740745262"/>
      </left>
      <right style="thin">
        <color theme="0" tint="-0.24994659260841701"/>
      </right>
      <top style="thin">
        <color theme="0" tint="-0.499984740745262"/>
      </top>
      <bottom style="thin">
        <color theme="0" tint="-0.34998626667073579"/>
      </bottom>
      <diagonal/>
    </border>
    <border>
      <left style="thin">
        <color theme="0" tint="-0.499984740745262"/>
      </left>
      <right style="thin">
        <color theme="0" tint="-0.24994659260841701"/>
      </right>
      <top style="thin">
        <color theme="0" tint="-0.34998626667073579"/>
      </top>
      <bottom style="thin">
        <color theme="0" tint="-0.34998626667073579"/>
      </bottom>
      <diagonal/>
    </border>
    <border>
      <left style="thin">
        <color theme="0" tint="-0.499984740745262"/>
      </left>
      <right style="thin">
        <color theme="0" tint="-0.24994659260841701"/>
      </right>
      <top style="thin">
        <color theme="0" tint="-0.34998626667073579"/>
      </top>
      <bottom/>
      <diagonal/>
    </border>
    <border>
      <left style="thin">
        <color theme="0" tint="-0.499984740745262"/>
      </left>
      <right style="thin">
        <color theme="0" tint="-0.24994659260841701"/>
      </right>
      <top style="thin">
        <color theme="0" tint="-0.499984740745262"/>
      </top>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style="thin">
        <color theme="0"/>
      </top>
      <bottom style="thin">
        <color theme="0" tint="-0.499984740745262"/>
      </bottom>
      <diagonal/>
    </border>
    <border>
      <left style="thin">
        <color theme="0"/>
      </left>
      <right/>
      <top style="thin">
        <color theme="0" tint="-0.499984740745262"/>
      </top>
      <bottom style="thin">
        <color indexed="9"/>
      </bottom>
      <diagonal/>
    </border>
    <border>
      <left style="thin">
        <color indexed="9"/>
      </left>
      <right style="thin">
        <color indexed="9"/>
      </right>
      <top style="thin">
        <color theme="0" tint="-0.499984740745262"/>
      </top>
      <bottom/>
      <diagonal/>
    </border>
    <border>
      <left style="thin">
        <color indexed="9"/>
      </left>
      <right style="thin">
        <color theme="0" tint="-0.499984740745262"/>
      </right>
      <top style="thin">
        <color theme="0" tint="-0.499984740745262"/>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right>
      <top/>
      <bottom style="thin">
        <color theme="0" tint="-0.499984740745262"/>
      </bottom>
      <diagonal/>
    </border>
    <border>
      <left style="thin">
        <color indexed="9"/>
      </left>
      <right style="thin">
        <color indexed="9"/>
      </right>
      <top/>
      <bottom style="thin">
        <color theme="0" tint="-0.499984740745262"/>
      </bottom>
      <diagonal/>
    </border>
    <border>
      <left style="thin">
        <color indexed="9"/>
      </left>
      <right style="thin">
        <color theme="0" tint="-0.499984740745262"/>
      </right>
      <top/>
      <bottom style="thin">
        <color theme="0" tint="-0.499984740745262"/>
      </bottom>
      <diagonal/>
    </border>
    <border>
      <left/>
      <right style="double">
        <color theme="0"/>
      </right>
      <top style="thin">
        <color theme="0" tint="-0.499984740745262"/>
      </top>
      <bottom style="thin">
        <color theme="0"/>
      </bottom>
      <diagonal/>
    </border>
    <border>
      <left style="double">
        <color theme="0" tint="-0.499984740745262"/>
      </left>
      <right style="thin">
        <color theme="0" tint="-0.499984740745262"/>
      </right>
      <top/>
      <bottom/>
      <diagonal/>
    </border>
    <border>
      <left style="thin">
        <color theme="0"/>
      </left>
      <right style="double">
        <color theme="0"/>
      </right>
      <top/>
      <bottom style="thin">
        <color theme="0" tint="-0.499984740745262"/>
      </bottom>
      <diagonal/>
    </border>
    <border>
      <left style="thin">
        <color auto="1"/>
      </left>
      <right style="thin">
        <color theme="0" tint="-0.499984740745262"/>
      </right>
      <top style="thin">
        <color theme="0" tint="-0.499984740745262"/>
      </top>
      <bottom/>
      <diagonal/>
    </border>
    <border>
      <left style="thin">
        <color theme="0" tint="-0.34998626667073579"/>
      </left>
      <right style="thin">
        <color theme="0" tint="-0.499984740745262"/>
      </right>
      <top style="thin">
        <color theme="0" tint="-0.14996795556505021"/>
      </top>
      <bottom style="thin">
        <color theme="0" tint="-0.14996795556505021"/>
      </bottom>
      <diagonal/>
    </border>
    <border>
      <left style="thin">
        <color theme="0" tint="-0.34998626667073579"/>
      </left>
      <right style="thin">
        <color theme="0" tint="-0.499984740745262"/>
      </right>
      <top style="thin">
        <color theme="0" tint="-0.499984740745262"/>
      </top>
      <bottom style="thin">
        <color theme="0" tint="-0.14996795556505021"/>
      </bottom>
      <diagonal/>
    </border>
    <border>
      <left style="thin">
        <color theme="0" tint="-0.499984740745262"/>
      </left>
      <right/>
      <top style="thin">
        <color theme="0"/>
      </top>
      <bottom style="thin">
        <color theme="0" tint="-0.34998626667073579"/>
      </bottom>
      <diagonal/>
    </border>
    <border>
      <left/>
      <right style="thin">
        <color theme="0" tint="-0.499984740745262"/>
      </right>
      <top style="thin">
        <color theme="0"/>
      </top>
      <bottom style="thin">
        <color theme="0" tint="-0.34998626667073579"/>
      </bottom>
      <diagonal/>
    </border>
    <border>
      <left style="thin">
        <color theme="0" tint="-0.34998626667073579"/>
      </left>
      <right style="thin">
        <color theme="0" tint="-0.499984740745262"/>
      </right>
      <top/>
      <bottom style="thin">
        <color theme="0" tint="-0.14996795556505021"/>
      </bottom>
      <diagonal/>
    </border>
    <border>
      <left style="thin">
        <color theme="0" tint="-0.499984740745262"/>
      </left>
      <right style="thin">
        <color theme="0" tint="-0.499984740745262"/>
      </right>
      <top style="thin">
        <color theme="0" tint="-0.34998626667073579"/>
      </top>
      <bottom style="thin">
        <color theme="0" tint="-0.14996795556505021"/>
      </bottom>
      <diagonal/>
    </border>
    <border>
      <left style="thin">
        <color theme="0" tint="-0.34998626667073579"/>
      </left>
      <right style="thin">
        <color theme="0" tint="-0.499984740745262"/>
      </right>
      <top style="thin">
        <color theme="0" tint="-0.34998626667073579"/>
      </top>
      <bottom style="thin">
        <color theme="0" tint="-0.14996795556505021"/>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op>
      <bottom style="thin">
        <color theme="0" tint="-0.34998626667073579"/>
      </bottom>
      <diagonal/>
    </border>
    <border>
      <left style="thin">
        <color theme="0" tint="-0.499984740745262"/>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14996795556505021"/>
      </top>
      <bottom style="thin">
        <color theme="0" tint="-0.14996795556505021"/>
      </bottom>
      <diagonal/>
    </border>
    <border>
      <left style="thin">
        <color theme="0" tint="-0.499984740745262"/>
      </left>
      <right style="thin">
        <color theme="0" tint="-0.24994659260841701"/>
      </right>
      <top/>
      <bottom style="thin">
        <color theme="0" tint="-0.34998626667073579"/>
      </bottom>
      <diagonal/>
    </border>
    <border>
      <left style="thin">
        <color theme="0" tint="-0.24994659260841701"/>
      </left>
      <right style="thin">
        <color theme="0" tint="-0.499984740745262"/>
      </right>
      <top/>
      <bottom style="thin">
        <color theme="0" tint="-0.34998626667073579"/>
      </bottom>
      <diagonal/>
    </border>
    <border>
      <left style="thin">
        <color theme="0" tint="-0.499984740745262"/>
      </left>
      <right style="thin">
        <color theme="0" tint="-0.24994659260841701"/>
      </right>
      <top/>
      <bottom style="thin">
        <color theme="0" tint="-0.1499679555650502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499984740745262"/>
      </left>
      <right/>
      <top style="double">
        <color theme="0" tint="-0.24994659260841701"/>
      </top>
      <bottom style="thin">
        <color theme="0" tint="-0.499984740745262"/>
      </bottom>
      <diagonal/>
    </border>
    <border>
      <left/>
      <right/>
      <top style="double">
        <color theme="0" tint="-0.24994659260841701"/>
      </top>
      <bottom style="thin">
        <color theme="0" tint="-0.499984740745262"/>
      </bottom>
      <diagonal/>
    </border>
    <border>
      <left/>
      <right style="thin">
        <color theme="0" tint="-0.499984740745262"/>
      </right>
      <top style="double">
        <color theme="0" tint="-0.24994659260841701"/>
      </top>
      <bottom style="thin">
        <color theme="0" tint="-0.499984740745262"/>
      </bottom>
      <diagonal/>
    </border>
    <border>
      <left style="thin">
        <color theme="0" tint="-0.499984740745262"/>
      </left>
      <right style="thin">
        <color theme="0" tint="-0.24994659260841701"/>
      </right>
      <top style="double">
        <color theme="0" tint="-0.24994659260841701"/>
      </top>
      <bottom style="thin">
        <color theme="0" tint="-0.499984740745262"/>
      </bottom>
      <diagonal/>
    </border>
    <border>
      <left style="thin">
        <color theme="0" tint="-0.24994659260841701"/>
      </left>
      <right style="thin">
        <color theme="0" tint="-0.499984740745262"/>
      </right>
      <top style="double">
        <color theme="0" tint="-0.24994659260841701"/>
      </top>
      <bottom style="thin">
        <color theme="0" tint="-0.499984740745262"/>
      </bottom>
      <diagonal/>
    </border>
    <border>
      <left style="thin">
        <color theme="0" tint="-0.499984740745262"/>
      </left>
      <right/>
      <top style="double">
        <color theme="0" tint="-0.24994659260841701"/>
      </top>
      <bottom/>
      <diagonal/>
    </border>
    <border>
      <left/>
      <right/>
      <top style="double">
        <color theme="0" tint="-0.24994659260841701"/>
      </top>
      <bottom/>
      <diagonal/>
    </border>
    <border>
      <left/>
      <right style="thin">
        <color theme="0" tint="-0.499984740745262"/>
      </right>
      <top style="double">
        <color theme="0" tint="-0.24994659260841701"/>
      </top>
      <bottom/>
      <diagonal/>
    </border>
    <border>
      <left style="thin">
        <color theme="0" tint="-0.24994659260841701"/>
      </left>
      <right style="thin">
        <color theme="0" tint="-0.499984740745262"/>
      </right>
      <top style="double">
        <color theme="0" tint="-0.24994659260841701"/>
      </top>
      <bottom/>
      <diagonal/>
    </border>
    <border>
      <left style="thin">
        <color theme="0" tint="-0.24994659260841701"/>
      </left>
      <right style="thin">
        <color theme="0" tint="-0.499984740745262"/>
      </right>
      <top style="thin">
        <color theme="0" tint="-0.24994659260841701"/>
      </top>
      <bottom style="thin">
        <color theme="0" tint="-0.14996795556505021"/>
      </bottom>
      <diagonal/>
    </border>
    <border>
      <left style="thin">
        <color theme="0" tint="-0.499984740745262"/>
      </left>
      <right style="thin">
        <color theme="0" tint="-0.24994659260841701"/>
      </right>
      <top style="thin">
        <color theme="0" tint="-0.14996795556505021"/>
      </top>
      <bottom/>
      <diagonal/>
    </border>
    <border>
      <left style="thin">
        <color theme="0" tint="-0.24994659260841701"/>
      </left>
      <right/>
      <top style="thin">
        <color theme="0" tint="-0.24994659260841701"/>
      </top>
      <bottom/>
      <diagonal/>
    </border>
    <border>
      <left style="thin">
        <color theme="0" tint="-0.499984740745262"/>
      </left>
      <right style="thin">
        <color theme="0" tint="-0.24994659260841701"/>
      </right>
      <top style="thin">
        <color theme="0" tint="-0.34998626667073579"/>
      </top>
      <bottom style="thin">
        <color theme="0" tint="-0.14996795556505021"/>
      </bottom>
      <diagonal/>
    </border>
    <border>
      <left style="thin">
        <color theme="0" tint="-0.499984740745262"/>
      </left>
      <right style="thin">
        <color theme="0" tint="-0.24994659260841701"/>
      </right>
      <top style="thin">
        <color theme="0" tint="-0.24994659260841701"/>
      </top>
      <bottom style="thin">
        <color theme="0" tint="-0.499984740745262"/>
      </bottom>
      <diagonal/>
    </border>
    <border>
      <left style="thin">
        <color theme="0" tint="-0.499984740745262"/>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14996795556505021"/>
      </top>
      <bottom/>
      <diagonal/>
    </border>
    <border>
      <left style="thin">
        <color theme="0" tint="-0.34998626667073579"/>
      </left>
      <right/>
      <top style="thin">
        <color theme="0" tint="-0.34998626667073579"/>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style="thin">
        <color theme="0" tint="-0.34998626667073579"/>
      </left>
      <right/>
      <top style="thin">
        <color theme="0" tint="-0.24994659260841701"/>
      </top>
      <bottom style="double">
        <color theme="0" tint="-0.24994659260841701"/>
      </bottom>
      <diagonal/>
    </border>
    <border>
      <left style="thin">
        <color theme="0" tint="-0.34998626667073579"/>
      </left>
      <right/>
      <top style="thin">
        <color theme="0" tint="-0.24994659260841701"/>
      </top>
      <bottom style="thin">
        <color theme="0" tint="-0.14996795556505021"/>
      </bottom>
      <diagonal/>
    </border>
    <border>
      <left style="thin">
        <color theme="0" tint="-0.34998626667073579"/>
      </left>
      <right/>
      <top/>
      <bottom style="thin">
        <color theme="0" tint="-0.14996795556505021"/>
      </bottom>
      <diagonal/>
    </border>
    <border>
      <left style="thin">
        <color theme="0" tint="-0.34998626667073579"/>
      </left>
      <right/>
      <top style="thin">
        <color theme="0" tint="-0.499984740745262"/>
      </top>
      <bottom style="thin">
        <color theme="0" tint="-0.14996795556505021"/>
      </bottom>
      <diagonal/>
    </border>
    <border>
      <left style="thin">
        <color theme="0" tint="-0.34998626667073579"/>
      </left>
      <right style="thin">
        <color theme="0" tint="-0.499984740745262"/>
      </right>
      <top style="thin">
        <color theme="0" tint="-0.24994659260841701"/>
      </top>
      <bottom style="thin">
        <color theme="0" tint="-0.14996795556505021"/>
      </bottom>
      <diagonal/>
    </border>
    <border>
      <left style="thin">
        <color theme="0" tint="-0.34998626667073579"/>
      </left>
      <right style="thin">
        <color theme="0" tint="-0.499984740745262"/>
      </right>
      <top style="thin">
        <color theme="0" tint="-0.499984740745262"/>
      </top>
      <bottom style="thin">
        <color theme="0"/>
      </bottom>
      <diagonal/>
    </border>
    <border>
      <left style="thin">
        <color theme="0" tint="-0.499984740745262"/>
      </left>
      <right style="thin">
        <color indexed="9"/>
      </right>
      <top style="thin">
        <color theme="0" tint="-0.34998626667073579"/>
      </top>
      <bottom style="thin">
        <color theme="0" tint="-0.499984740745262"/>
      </bottom>
      <diagonal/>
    </border>
    <border>
      <left style="thin">
        <color indexed="9"/>
      </left>
      <right style="thin">
        <color theme="0" tint="-0.499984740745262"/>
      </right>
      <top style="thin">
        <color theme="0" tint="-0.34998626667073579"/>
      </top>
      <bottom style="thin">
        <color theme="0" tint="-0.499984740745262"/>
      </bottom>
      <diagonal/>
    </border>
    <border>
      <left style="thin">
        <color theme="0" tint="-0.499984740745262"/>
      </left>
      <right style="thin">
        <color auto="1"/>
      </right>
      <top style="thin">
        <color theme="0" tint="-0.499984740745262"/>
      </top>
      <bottom/>
      <diagonal/>
    </border>
    <border>
      <left style="thin">
        <color theme="0" tint="-0.499984740745262"/>
      </left>
      <right style="thin">
        <color theme="0"/>
      </right>
      <top style="thin">
        <color theme="0"/>
      </top>
      <bottom/>
      <diagonal/>
    </border>
    <border>
      <left style="thin">
        <color theme="0" tint="-0.499984740745262"/>
      </left>
      <right style="thin">
        <color theme="0"/>
      </right>
      <top/>
      <bottom/>
      <diagonal/>
    </border>
    <border>
      <left style="thin">
        <color theme="0" tint="-0.499984740745262"/>
      </left>
      <right style="thin">
        <color theme="4" tint="0.39994506668294322"/>
      </right>
      <top style="thin">
        <color theme="0" tint="-0.499984740745262"/>
      </top>
      <bottom style="thin">
        <color theme="0" tint="-0.34998626667073579"/>
      </bottom>
      <diagonal/>
    </border>
    <border>
      <left style="thin">
        <color theme="4" tint="0.39994506668294322"/>
      </left>
      <right style="thin">
        <color theme="0" tint="-0.499984740745262"/>
      </right>
      <top style="thin">
        <color theme="0" tint="-0.499984740745262"/>
      </top>
      <bottom style="thin">
        <color theme="0" tint="-0.34998626667073579"/>
      </bottom>
      <diagonal/>
    </border>
    <border>
      <left style="thin">
        <color theme="0" tint="-0.499984740745262"/>
      </left>
      <right style="thin">
        <color theme="4" tint="0.39994506668294322"/>
      </right>
      <top/>
      <bottom style="thin">
        <color theme="0" tint="-0.499984740745262"/>
      </bottom>
      <diagonal/>
    </border>
    <border>
      <left style="thin">
        <color theme="4" tint="0.39994506668294322"/>
      </left>
      <right style="thin">
        <color theme="0" tint="-0.499984740745262"/>
      </right>
      <top/>
      <bottom style="thin">
        <color theme="0" tint="-0.499984740745262"/>
      </bottom>
      <diagonal/>
    </border>
    <border>
      <left/>
      <right style="double">
        <color theme="0"/>
      </right>
      <top style="thin">
        <color theme="0" tint="-0.24994659260841701"/>
      </top>
      <bottom style="thin">
        <color theme="0" tint="-0.499984740745262"/>
      </bottom>
      <diagonal/>
    </border>
    <border>
      <left style="thin">
        <color theme="0" tint="-0.24994659260841701"/>
      </left>
      <right style="thin">
        <color theme="0"/>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theme="4" tint="0.39994506668294322"/>
      </left>
      <right/>
      <top/>
      <bottom/>
      <diagonal/>
    </border>
    <border>
      <left style="thin">
        <color theme="0" tint="-0.24994659260841701"/>
      </left>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tint="-0.34998626667073579"/>
      </bottom>
      <diagonal/>
    </border>
    <border>
      <left style="thin">
        <color theme="0"/>
      </left>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24994659260841701"/>
      </bottom>
      <diagonal/>
    </border>
    <border>
      <left/>
      <right style="thin">
        <color theme="0" tint="-0.34998626667073579"/>
      </right>
      <top style="thin">
        <color theme="0" tint="-0.499984740745262"/>
      </top>
      <bottom/>
      <diagonal/>
    </border>
    <border>
      <left/>
      <right style="thin">
        <color theme="0" tint="-0.34998626667073579"/>
      </right>
      <top/>
      <bottom style="thin">
        <color theme="0" tint="-0.34998626667073579"/>
      </bottom>
      <diagonal/>
    </border>
    <border>
      <left/>
      <right style="thin">
        <color theme="0" tint="-0.24994659260841701"/>
      </right>
      <top/>
      <bottom/>
      <diagonal/>
    </border>
    <border>
      <left style="thin">
        <color theme="0" tint="-0.24994659260841701"/>
      </left>
      <right style="thin">
        <color theme="0" tint="-0.499984740745262"/>
      </right>
      <top style="thin">
        <color theme="0" tint="-0.24994659260841701"/>
      </top>
      <bottom style="thin">
        <color theme="0" tint="-0.34998626667073579"/>
      </bottom>
      <diagonal/>
    </border>
    <border>
      <left style="double">
        <color theme="0" tint="-0.499984740745262"/>
      </left>
      <right style="thin">
        <color theme="0" tint="-0.499984740745262"/>
      </right>
      <top style="thin">
        <color theme="0" tint="-0.24994659260841701"/>
      </top>
      <bottom/>
      <diagonal/>
    </border>
    <border>
      <left style="double">
        <color theme="0" tint="-0.499984740745262"/>
      </left>
      <right style="thin">
        <color theme="0" tint="-0.499984740745262"/>
      </right>
      <top style="thin">
        <color theme="0" tint="-0.34998626667073579"/>
      </top>
      <bottom/>
      <diagonal/>
    </border>
    <border>
      <left style="double">
        <color theme="0" tint="-0.499984740745262"/>
      </left>
      <right style="thin">
        <color theme="0" tint="-0.499984740745262"/>
      </right>
      <top style="thin">
        <color theme="0" tint="-0.24994659260841701"/>
      </top>
      <bottom style="thin">
        <color theme="0" tint="-0.34998626667073579"/>
      </bottom>
      <diagonal/>
    </border>
    <border>
      <left style="thin">
        <color theme="0" tint="-0.24994659260841701"/>
      </left>
      <right style="thin">
        <color theme="0" tint="-0.499984740745262"/>
      </right>
      <top style="thin">
        <color theme="0" tint="-0.34998626667073579"/>
      </top>
      <bottom style="thin">
        <color theme="0" tint="-0.24994659260841701"/>
      </bottom>
      <diagonal/>
    </border>
    <border>
      <left style="thin">
        <color theme="0" tint="-0.499984740745262"/>
      </left>
      <right style="thin">
        <color theme="0" tint="-0.499984740745262"/>
      </right>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34998626667073579"/>
      </right>
      <top/>
      <bottom/>
      <diagonal/>
    </border>
    <border>
      <left style="thin">
        <color theme="0" tint="-0.499984740745262"/>
      </left>
      <right style="thin">
        <color theme="0" tint="-0.34998626667073579"/>
      </right>
      <top/>
      <bottom style="thin">
        <color theme="0" tint="-0.34998626667073579"/>
      </bottom>
      <diagonal/>
    </border>
    <border>
      <left/>
      <right style="thin">
        <color theme="0" tint="-0.499984740745262"/>
      </right>
      <top style="thin">
        <color theme="0" tint="-0.499984740745262"/>
      </top>
      <bottom style="thin">
        <color indexed="9"/>
      </bottom>
      <diagonal/>
    </border>
    <border>
      <left/>
      <right style="thin">
        <color theme="0" tint="-0.499984740745262"/>
      </right>
      <top style="thin">
        <color indexed="9"/>
      </top>
      <bottom style="thin">
        <color theme="0" tint="-0.499984740745262"/>
      </bottom>
      <diagonal/>
    </border>
    <border>
      <left style="thin">
        <color theme="0"/>
      </left>
      <right style="thin">
        <color theme="0" tint="-0.34998626667073579"/>
      </right>
      <top style="thin">
        <color indexed="9"/>
      </top>
      <bottom style="thin">
        <color theme="0" tint="-0.499984740745262"/>
      </bottom>
      <diagonal/>
    </border>
    <border>
      <left style="thin">
        <color theme="0" tint="-0.499984740745262"/>
      </left>
      <right/>
      <top/>
      <bottom style="thin">
        <color indexed="9"/>
      </bottom>
      <diagonal/>
    </border>
    <border>
      <left/>
      <right/>
      <top/>
      <bottom style="thin">
        <color indexed="9"/>
      </bottom>
      <diagonal/>
    </border>
    <border>
      <left/>
      <right style="thin">
        <color theme="0" tint="-0.499984740745262"/>
      </right>
      <top/>
      <bottom style="thin">
        <color indexed="9"/>
      </bottom>
      <diagonal/>
    </border>
    <border>
      <left style="thin">
        <color theme="0" tint="-0.499984740745262"/>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theme="0" tint="-0.499984740745262"/>
      </right>
      <top style="thin">
        <color indexed="9"/>
      </top>
      <bottom/>
      <diagonal/>
    </border>
    <border>
      <left style="thin">
        <color theme="0" tint="-0.499984740745262"/>
      </left>
      <right style="thin">
        <color indexed="9"/>
      </right>
      <top/>
      <bottom style="thin">
        <color theme="0" tint="-0.499984740745262"/>
      </bottom>
      <diagonal/>
    </border>
    <border>
      <left style="thin">
        <color theme="0" tint="-0.499984740745262"/>
      </left>
      <right/>
      <top/>
      <bottom style="thin">
        <color theme="0"/>
      </bottom>
      <diagonal/>
    </border>
    <border>
      <left style="thin">
        <color theme="0" tint="-0.24994659260841701"/>
      </left>
      <right style="thin">
        <color theme="0" tint="-0.499984740745262"/>
      </right>
      <top style="thin">
        <color theme="0"/>
      </top>
      <bottom/>
      <diagonal/>
    </border>
    <border>
      <left style="thin">
        <color theme="0" tint="-0.24994659260841701"/>
      </left>
      <right style="thin">
        <color theme="0" tint="-0.499984740745262"/>
      </right>
      <top style="thin">
        <color theme="0" tint="-0.24994659260841701"/>
      </top>
      <bottom style="thin">
        <color theme="0"/>
      </bottom>
      <diagonal/>
    </border>
    <border>
      <left/>
      <right style="thin">
        <color theme="0" tint="-0.499984740745262"/>
      </right>
      <top style="thin">
        <color theme="0"/>
      </top>
      <bottom style="thin">
        <color theme="0"/>
      </bottom>
      <diagonal/>
    </border>
    <border>
      <left style="thin">
        <color theme="0" tint="-0.24994659260841701"/>
      </left>
      <right style="thin">
        <color theme="0" tint="-0.499984740745262"/>
      </right>
      <top style="thin">
        <color theme="0"/>
      </top>
      <bottom style="thin">
        <color theme="0"/>
      </bottom>
      <diagonal/>
    </border>
    <border>
      <left style="thin">
        <color theme="0" tint="-0.34998626667073579"/>
      </left>
      <right style="thin">
        <color theme="0"/>
      </right>
      <top style="thin">
        <color theme="0"/>
      </top>
      <bottom style="thin">
        <color theme="0" tint="-0.499984740745262"/>
      </bottom>
      <diagonal/>
    </border>
    <border>
      <left style="thin">
        <color theme="0" tint="-0.34998626667073579"/>
      </left>
      <right style="thin">
        <color theme="0"/>
      </right>
      <top style="thin">
        <color theme="0" tint="-0.499984740745262"/>
      </top>
      <bottom style="thin">
        <color theme="0" tint="-0.499984740745262"/>
      </bottom>
      <diagonal/>
    </border>
    <border>
      <left style="thin">
        <color theme="4" tint="0.39994506668294322"/>
      </left>
      <right style="thin">
        <color theme="0" tint="-0.499984740745262"/>
      </right>
      <top/>
      <bottom/>
      <diagonal/>
    </border>
    <border>
      <left style="thin">
        <color theme="4" tint="0.39994506668294322"/>
      </left>
      <right style="thin">
        <color theme="4" tint="0.39994506668294322"/>
      </right>
      <top style="thin">
        <color theme="0" tint="-0.24994659260841701"/>
      </top>
      <bottom style="thin">
        <color theme="0" tint="-0.24994659260841701"/>
      </bottom>
      <diagonal/>
    </border>
    <border>
      <left/>
      <right style="thin">
        <color theme="4" tint="0.39994506668294322"/>
      </right>
      <top style="thin">
        <color theme="0" tint="-0.24994659260841701"/>
      </top>
      <bottom style="thin">
        <color theme="0" tint="-0.24994659260841701"/>
      </bottom>
      <diagonal/>
    </border>
    <border>
      <left style="thin">
        <color theme="4" tint="0.39994506668294322"/>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bottom/>
      <diagonal/>
    </border>
    <border>
      <left style="thin">
        <color theme="0"/>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right>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style="thin">
        <color theme="0" tint="-0.499984740745262"/>
      </right>
      <top/>
      <bottom style="thin">
        <color theme="0" tint="-0.34998626667073579"/>
      </bottom>
      <diagonal/>
    </border>
    <border>
      <left style="thin">
        <color theme="0" tint="-0.499984740745262"/>
      </left>
      <right style="thin">
        <color theme="4" tint="0.39994506668294322"/>
      </right>
      <top/>
      <bottom/>
      <diagonal/>
    </border>
    <border>
      <left style="thin">
        <color theme="4" tint="0.39994506668294322"/>
      </left>
      <right style="thin">
        <color theme="4" tint="0.39994506668294322"/>
      </right>
      <top/>
      <bottom style="thin">
        <color theme="0" tint="-0.499984740745262"/>
      </bottom>
      <diagonal/>
    </border>
    <border>
      <left style="thin">
        <color theme="4" tint="0.39994506668294322"/>
      </left>
      <right/>
      <top/>
      <bottom style="thin">
        <color theme="0" tint="-0.499984740745262"/>
      </bottom>
      <diagonal/>
    </border>
    <border>
      <left style="thin">
        <color theme="0" tint="-0.499984740745262"/>
      </left>
      <right style="thin">
        <color theme="4" tint="0.39994506668294322"/>
      </right>
      <top style="thin">
        <color theme="0" tint="-0.24994659260841701"/>
      </top>
      <bottom style="thin">
        <color theme="0" tint="-0.24994659260841701"/>
      </bottom>
      <diagonal/>
    </border>
    <border>
      <left style="thin">
        <color theme="4" tint="0.39994506668294322"/>
      </left>
      <right/>
      <top style="thin">
        <color theme="0" tint="-0.24994659260841701"/>
      </top>
      <bottom style="thin">
        <color theme="0" tint="-0.24994659260841701"/>
      </bottom>
      <diagonal/>
    </border>
    <border>
      <left style="thin">
        <color theme="0"/>
      </left>
      <right/>
      <top/>
      <bottom style="thin">
        <color theme="0" tint="-0.34998626667073579"/>
      </bottom>
      <diagonal/>
    </border>
    <border>
      <left/>
      <right style="thin">
        <color theme="0"/>
      </right>
      <top/>
      <bottom style="thin">
        <color theme="0" tint="-0.34998626667073579"/>
      </bottom>
      <diagonal/>
    </border>
    <border>
      <left style="thin">
        <color theme="0" tint="-0.34998626667073579"/>
      </left>
      <right style="thin">
        <color theme="4" tint="0.39994506668294322"/>
      </right>
      <top style="thin">
        <color theme="0" tint="-0.34998626667073579"/>
      </top>
      <bottom/>
      <diagonal/>
    </border>
    <border>
      <left style="thin">
        <color theme="4" tint="0.39994506668294322"/>
      </left>
      <right style="thin">
        <color theme="4" tint="0.39994506668294322"/>
      </right>
      <top style="thin">
        <color theme="0" tint="-0.34998626667073579"/>
      </top>
      <bottom/>
      <diagonal/>
    </border>
    <border>
      <left style="thin">
        <color theme="4" tint="0.39994506668294322"/>
      </left>
      <right style="thin">
        <color theme="0" tint="-0.34998626667073579"/>
      </right>
      <top style="thin">
        <color theme="0" tint="-0.34998626667073579"/>
      </top>
      <bottom/>
      <diagonal/>
    </border>
    <border>
      <left style="thin">
        <color theme="0" tint="-0.34998626667073579"/>
      </left>
      <right style="thin">
        <color theme="4" tint="0.39994506668294322"/>
      </right>
      <top style="thin">
        <color theme="0" tint="-0.24994659260841701"/>
      </top>
      <bottom style="thin">
        <color theme="0" tint="-0.24994659260841701"/>
      </bottom>
      <diagonal/>
    </border>
    <border>
      <left style="thin">
        <color theme="4" tint="0.39994506668294322"/>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4" tint="0.39994506668294322"/>
      </right>
      <top/>
      <bottom style="thin">
        <color theme="0" tint="-0.499984740745262"/>
      </bottom>
      <diagonal/>
    </border>
    <border>
      <left style="thin">
        <color theme="4" tint="0.39994506668294322"/>
      </left>
      <right style="thin">
        <color theme="0" tint="-0.34998626667073579"/>
      </right>
      <top/>
      <bottom style="thin">
        <color theme="0" tint="-0.499984740745262"/>
      </bottom>
      <diagonal/>
    </border>
    <border>
      <left style="thin">
        <color theme="0" tint="-0.24994659260841701"/>
      </left>
      <right style="thin">
        <color theme="0" tint="-0.34998626667073579"/>
      </right>
      <top style="thin">
        <color theme="0" tint="-0.34998626667073579"/>
      </top>
      <bottom/>
      <diagonal/>
    </border>
    <border>
      <left style="thin">
        <color theme="0" tint="-0.24994659260841701"/>
      </left>
      <right style="thin">
        <color theme="0" tint="-0.34998626667073579"/>
      </right>
      <top/>
      <bottom style="thin">
        <color theme="0" tint="-0.499984740745262"/>
      </bottom>
      <diagonal/>
    </border>
    <border>
      <left style="thin">
        <color theme="0"/>
      </left>
      <right style="thin">
        <color theme="0"/>
      </right>
      <top style="thin">
        <color theme="0" tint="-0.499984740745262"/>
      </top>
      <bottom style="thin">
        <color theme="0" tint="-0.34998626667073579"/>
      </bottom>
      <diagonal/>
    </border>
    <border>
      <left style="thin">
        <color theme="0"/>
      </left>
      <right style="thin">
        <color theme="0" tint="-0.499984740745262"/>
      </right>
      <top style="thin">
        <color theme="0" tint="-0.499984740745262"/>
      </top>
      <bottom style="thin">
        <color theme="0" tint="-0.34998626667073579"/>
      </bottom>
      <diagonal/>
    </border>
    <border>
      <left style="thin">
        <color theme="0"/>
      </left>
      <right style="thin">
        <color theme="0" tint="-0.499984740745262"/>
      </right>
      <top style="thin">
        <color theme="0" tint="-0.24994659260841701"/>
      </top>
      <bottom style="thin">
        <color theme="0" tint="-0.34998626667073579"/>
      </bottom>
      <diagonal/>
    </border>
    <border>
      <left style="thin">
        <color theme="0" tint="-0.499984740745262"/>
      </left>
      <right/>
      <top style="thin">
        <color theme="0" tint="-0.499984740745262"/>
      </top>
      <bottom style="thin">
        <color theme="4" tint="0.39994506668294322"/>
      </bottom>
      <diagonal/>
    </border>
    <border>
      <left/>
      <right/>
      <top style="thin">
        <color theme="0" tint="-0.499984740745262"/>
      </top>
      <bottom style="thin">
        <color theme="4" tint="0.39994506668294322"/>
      </bottom>
      <diagonal/>
    </border>
    <border>
      <left style="thin">
        <color theme="0" tint="-0.24994659260841701"/>
      </left>
      <right/>
      <top style="thin">
        <color theme="0" tint="-0.499984740745262"/>
      </top>
      <bottom style="thin">
        <color theme="4" tint="0.39994506668294322"/>
      </bottom>
      <diagonal/>
    </border>
    <border>
      <left style="thin">
        <color theme="0"/>
      </left>
      <right style="thin">
        <color theme="0" tint="-0.499984740745262"/>
      </right>
      <top style="thin">
        <color theme="0" tint="-0.499984740745262"/>
      </top>
      <bottom style="thin">
        <color theme="4" tint="0.39994506668294322"/>
      </bottom>
      <diagonal/>
    </border>
    <border>
      <left style="thin">
        <color theme="0" tint="-0.499984740745262"/>
      </left>
      <right style="thin">
        <color theme="0" tint="-0.499984740745262"/>
      </right>
      <top style="thin">
        <color theme="0" tint="-0.499984740745262"/>
      </top>
      <bottom style="thin">
        <color theme="4" tint="0.39994506668294322"/>
      </bottom>
      <diagonal/>
    </border>
    <border>
      <left style="thin">
        <color theme="0" tint="-0.499984740745262"/>
      </left>
      <right style="thin">
        <color theme="0"/>
      </right>
      <top style="thin">
        <color theme="0" tint="-0.499984740745262"/>
      </top>
      <bottom style="thin">
        <color theme="4" tint="0.39994506668294322"/>
      </bottom>
      <diagonal/>
    </border>
    <border>
      <left style="thin">
        <color theme="0" tint="-0.499984740745262"/>
      </left>
      <right/>
      <top style="thin">
        <color theme="4" tint="0.39994506668294322"/>
      </top>
      <bottom style="thin">
        <color theme="0" tint="-0.34998626667073579"/>
      </bottom>
      <diagonal/>
    </border>
    <border>
      <left style="thin">
        <color theme="0" tint="-0.24994659260841701"/>
      </left>
      <right/>
      <top style="thin">
        <color theme="4" tint="0.39994506668294322"/>
      </top>
      <bottom style="thin">
        <color theme="0" tint="-0.34998626667073579"/>
      </bottom>
      <diagonal/>
    </border>
    <border>
      <left style="thin">
        <color theme="0"/>
      </left>
      <right style="thin">
        <color theme="0" tint="-0.499984740745262"/>
      </right>
      <top style="thin">
        <color theme="4" tint="0.39994506668294322"/>
      </top>
      <bottom style="thin">
        <color theme="0" tint="-0.34998626667073579"/>
      </bottom>
      <diagonal/>
    </border>
    <border>
      <left style="thin">
        <color theme="0" tint="-0.499984740745262"/>
      </left>
      <right style="thin">
        <color theme="0" tint="-0.499984740745262"/>
      </right>
      <top style="thin">
        <color theme="4" tint="0.39994506668294322"/>
      </top>
      <bottom style="thin">
        <color theme="0" tint="-0.34998626667073579"/>
      </bottom>
      <diagonal/>
    </border>
    <border>
      <left style="thin">
        <color theme="0" tint="-0.499984740745262"/>
      </left>
      <right style="thin">
        <color theme="0"/>
      </right>
      <top style="thin">
        <color theme="4" tint="0.39994506668294322"/>
      </top>
      <bottom style="thin">
        <color theme="0" tint="-0.34998626667073579"/>
      </bottom>
      <diagonal/>
    </border>
    <border>
      <left/>
      <right/>
      <top style="thin">
        <color theme="4" tint="0.39994506668294322"/>
      </top>
      <bottom style="thin">
        <color theme="0" tint="-0.34998626667073579"/>
      </bottom>
      <diagonal/>
    </border>
    <border>
      <left style="thin">
        <color theme="4" tint="0.39994506668294322"/>
      </left>
      <right style="thin">
        <color theme="0"/>
      </right>
      <top style="thin">
        <color theme="4" tint="0.39994506668294322"/>
      </top>
      <bottom style="thin">
        <color theme="0" tint="-0.34998626667073579"/>
      </bottom>
      <diagonal/>
    </border>
    <border>
      <left style="thin">
        <color theme="0" tint="-0.499984740745262"/>
      </left>
      <right style="thin">
        <color theme="4" tint="0.39994506668294322"/>
      </right>
      <top style="thin">
        <color theme="0" tint="-0.499984740745262"/>
      </top>
      <bottom style="thin">
        <color theme="4" tint="0.39994506668294322"/>
      </bottom>
      <diagonal/>
    </border>
    <border>
      <left style="thin">
        <color theme="4" tint="0.39994506668294322"/>
      </left>
      <right style="thin">
        <color theme="0"/>
      </right>
      <top style="thin">
        <color theme="0" tint="-0.499984740745262"/>
      </top>
      <bottom style="thin">
        <color theme="4" tint="0.39994506668294322"/>
      </bottom>
      <diagonal/>
    </border>
    <border>
      <left style="thin">
        <color theme="0" tint="-0.499984740745262"/>
      </left>
      <right style="thin">
        <color theme="4" tint="0.39994506668294322"/>
      </right>
      <top style="thin">
        <color theme="4" tint="0.39994506668294322"/>
      </top>
      <bottom style="thin">
        <color theme="0" tint="-0.34998626667073579"/>
      </bottom>
      <diagonal/>
    </border>
    <border>
      <left style="thin">
        <color theme="0" tint="-0.24994659260841701"/>
      </left>
      <right/>
      <top/>
      <bottom style="thin">
        <color theme="0" tint="-0.499984740745262"/>
      </bottom>
      <diagonal/>
    </border>
    <border>
      <left style="thin">
        <color indexed="9"/>
      </left>
      <right style="thin">
        <color indexed="9"/>
      </right>
      <top/>
      <bottom/>
      <diagonal/>
    </border>
    <border>
      <left/>
      <right/>
      <top style="thin">
        <color theme="3" tint="0.39994506668294322"/>
      </top>
      <bottom/>
      <diagonal/>
    </border>
    <border>
      <left/>
      <right style="thin">
        <color theme="3" tint="0.39985351115451523"/>
      </right>
      <top style="thin">
        <color theme="3" tint="0.39994506668294322"/>
      </top>
      <bottom/>
      <diagonal/>
    </border>
    <border>
      <left/>
      <right/>
      <top/>
      <bottom style="thin">
        <color theme="3" tint="0.39994506668294322"/>
      </bottom>
      <diagonal/>
    </border>
    <border>
      <left/>
      <right style="thin">
        <color theme="3" tint="0.39985351115451523"/>
      </right>
      <top/>
      <bottom style="thin">
        <color theme="3" tint="0.39994506668294322"/>
      </bottom>
      <diagonal/>
    </border>
    <border>
      <left/>
      <right style="thin">
        <color theme="3" tint="0.39994506668294322"/>
      </right>
      <top style="thin">
        <color theme="3" tint="0.59996337778862885"/>
      </top>
      <bottom style="thin">
        <color theme="3" tint="0.39994506668294322"/>
      </bottom>
      <diagonal/>
    </border>
    <border>
      <left style="thin">
        <color theme="3" tint="0.39994506668294322"/>
      </left>
      <right style="thin">
        <color theme="3" tint="0.39994506668294322"/>
      </right>
      <top style="thin">
        <color theme="3" tint="0.59996337778862885"/>
      </top>
      <bottom style="thin">
        <color theme="3" tint="0.39994506668294322"/>
      </bottom>
      <diagonal/>
    </border>
    <border>
      <left/>
      <right style="thin">
        <color theme="0" tint="-0.499984740745262"/>
      </right>
      <top/>
      <bottom style="thin">
        <color theme="0"/>
      </bottom>
      <diagonal/>
    </border>
    <border>
      <left style="thin">
        <color theme="0" tint="-0.499984740745262"/>
      </left>
      <right style="thin">
        <color theme="0"/>
      </right>
      <top/>
      <bottom style="thin">
        <color theme="0"/>
      </bottom>
      <diagonal/>
    </border>
    <border>
      <left style="thin">
        <color theme="0"/>
      </left>
      <right style="thin">
        <color theme="0" tint="-0.499984740745262"/>
      </right>
      <top/>
      <bottom style="thin">
        <color theme="0"/>
      </bottom>
      <diagonal/>
    </border>
    <border>
      <left style="thin">
        <color theme="0" tint="-0.34998626667073579"/>
      </left>
      <right style="thin">
        <color theme="0" tint="-0.499984740745262"/>
      </right>
      <top style="thin">
        <color theme="0"/>
      </top>
      <bottom style="thin">
        <color theme="0" tint="-0.499984740745262"/>
      </bottom>
      <diagonal/>
    </border>
    <border>
      <left style="thin">
        <color theme="0" tint="-0.24994659260841701"/>
      </left>
      <right/>
      <top style="thin">
        <color theme="0" tint="-0.499984740745262"/>
      </top>
      <bottom/>
      <diagonal/>
    </border>
    <border>
      <left style="thin">
        <color theme="0" tint="-0.34998626667073579"/>
      </left>
      <right style="thin">
        <color theme="0"/>
      </right>
      <top style="thin">
        <color theme="0" tint="-0.24994659260841701"/>
      </top>
      <bottom style="thin">
        <color theme="0" tint="-0.499984740745262"/>
      </bottom>
      <diagonal/>
    </border>
    <border>
      <left style="thin">
        <color theme="0" tint="-0.34998626667073579"/>
      </left>
      <right style="thin">
        <color theme="0"/>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double">
        <color theme="0" tint="-0.499984740745262"/>
      </left>
      <right/>
      <top/>
      <bottom/>
      <diagonal/>
    </border>
    <border>
      <left style="double">
        <color theme="0" tint="-0.499984740745262"/>
      </left>
      <right/>
      <top/>
      <bottom style="thin">
        <color theme="0" tint="-0.24994659260841701"/>
      </bottom>
      <diagonal/>
    </border>
    <border>
      <left style="double">
        <color theme="0" tint="-0.499984740745262"/>
      </left>
      <right/>
      <top style="thin">
        <color theme="0" tint="-0.24994659260841701"/>
      </top>
      <bottom style="thin">
        <color theme="0" tint="-0.24994659260841701"/>
      </bottom>
      <diagonal/>
    </border>
    <border>
      <left style="double">
        <color theme="0" tint="-0.499984740745262"/>
      </left>
      <right/>
      <top/>
      <bottom style="thin">
        <color theme="0" tint="-0.499984740745262"/>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499984740745262"/>
      </bottom>
      <diagonal/>
    </border>
    <border>
      <left style="thin">
        <color theme="0" tint="-0.24994659260841701"/>
      </left>
      <right/>
      <top style="thin">
        <color theme="0" tint="-0.499984740745262"/>
      </top>
      <bottom style="thin">
        <color theme="0" tint="-0.24994659260841701"/>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24994659260841701"/>
      </top>
      <bottom/>
      <diagonal/>
    </border>
    <border>
      <left style="thin">
        <color theme="0" tint="-0.499984740745262"/>
      </left>
      <right style="thin">
        <color theme="0"/>
      </right>
      <top style="thin">
        <color theme="0" tint="-0.24994659260841701"/>
      </top>
      <bottom style="thin">
        <color theme="0" tint="-0.34998626667073579"/>
      </bottom>
      <diagonal/>
    </border>
    <border>
      <left/>
      <right style="thin">
        <color theme="0"/>
      </right>
      <top style="thin">
        <color theme="0" tint="-0.24994659260841701"/>
      </top>
      <bottom style="thin">
        <color theme="0" tint="-0.34998626667073579"/>
      </bottom>
      <diagonal/>
    </border>
    <border>
      <left style="thin">
        <color theme="0"/>
      </left>
      <right style="thin">
        <color theme="0"/>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right style="thin">
        <color theme="0" tint="-0.24994659260841701"/>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499984740745262"/>
      </left>
      <right/>
      <top style="thin">
        <color theme="0" tint="-0.499984740745262"/>
      </top>
      <bottom style="thin">
        <color rgb="FF000080"/>
      </bottom>
      <diagonal/>
    </border>
    <border>
      <left style="thin">
        <color theme="0" tint="-0.499984740745262"/>
      </left>
      <right/>
      <top style="thin">
        <color rgb="FF000080"/>
      </top>
      <bottom style="thin">
        <color theme="0" tint="-0.34998626667073579"/>
      </bottom>
      <diagonal/>
    </border>
    <border>
      <left/>
      <right style="thin">
        <color theme="0" tint="-0.499984740745262"/>
      </right>
      <top style="thin">
        <color theme="0" tint="-0.499984740745262"/>
      </top>
      <bottom style="thin">
        <color rgb="FF000080"/>
      </bottom>
      <diagonal/>
    </border>
    <border>
      <left/>
      <right style="thin">
        <color theme="0" tint="-0.499984740745262"/>
      </right>
      <top style="thin">
        <color rgb="FF000080"/>
      </top>
      <bottom style="thin">
        <color theme="0" tint="-0.34998626667073579"/>
      </bottom>
      <diagonal/>
    </border>
    <border>
      <left style="thin">
        <color theme="0" tint="-0.34998626667073579"/>
      </left>
      <right style="thin">
        <color theme="0" tint="-0.34998626667073579"/>
      </right>
      <top style="thin">
        <color theme="0" tint="-0.499984740745262"/>
      </top>
      <bottom style="thin">
        <color rgb="FF000080"/>
      </bottom>
      <diagonal/>
    </border>
    <border>
      <left style="thin">
        <color theme="0" tint="-0.34998626667073579"/>
      </left>
      <right style="thin">
        <color theme="0" tint="-0.34998626667073579"/>
      </right>
      <top style="thin">
        <color rgb="FF000080"/>
      </top>
      <bottom style="thin">
        <color theme="0" tint="-0.34998626667073579"/>
      </bottom>
      <diagonal/>
    </border>
    <border>
      <left style="thin">
        <color theme="0"/>
      </left>
      <right style="thin">
        <color theme="0" tint="-0.34998626667073579"/>
      </right>
      <top style="thin">
        <color theme="0" tint="-0.24994659260841701"/>
      </top>
      <bottom style="thin">
        <color theme="0" tint="-0.34998626667073579"/>
      </bottom>
      <diagonal/>
    </border>
    <border>
      <left style="thin">
        <color theme="0" tint="-0.24994659260841701"/>
      </left>
      <right style="thin">
        <color theme="0" tint="-0.24994659260841701"/>
      </right>
      <top/>
      <bottom style="thin">
        <color theme="0" tint="-0.499984740745262"/>
      </bottom>
      <diagonal/>
    </border>
    <border>
      <left style="thin">
        <color theme="0"/>
      </left>
      <right/>
      <top/>
      <bottom style="thin">
        <color theme="0"/>
      </bottom>
      <diagonal/>
    </border>
    <border>
      <left/>
      <right style="thin">
        <color theme="0"/>
      </right>
      <top/>
      <bottom style="thin">
        <color theme="0"/>
      </bottom>
      <diagonal/>
    </border>
    <border>
      <left/>
      <right style="thin">
        <color theme="4" tint="0.39994506668294322"/>
      </right>
      <top style="thin">
        <color theme="0" tint="-0.34998626667073579"/>
      </top>
      <bottom style="thin">
        <color theme="0" tint="-0.24994659260841701"/>
      </bottom>
      <diagonal/>
    </border>
    <border>
      <left style="thin">
        <color theme="0"/>
      </left>
      <right/>
      <top style="thin">
        <color theme="0" tint="-0.24994659260841701"/>
      </top>
      <bottom style="thin">
        <color theme="0" tint="-0.34998626667073579"/>
      </bottom>
      <diagonal/>
    </border>
    <border>
      <left style="thin">
        <color theme="0" tint="-0.24994659260841701"/>
      </left>
      <right style="thin">
        <color theme="0"/>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499984740745262"/>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34998626667073579"/>
      </top>
      <bottom style="thin">
        <color theme="0" tint="-0.24994659260841701"/>
      </bottom>
      <diagonal/>
    </border>
    <border>
      <left/>
      <right style="thin">
        <color theme="0"/>
      </right>
      <top style="thin">
        <color theme="0" tint="-0.499984740745262"/>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s>
  <cellStyleXfs count="68">
    <xf numFmtId="0" fontId="0" fillId="0" borderId="1">
      <alignment horizontal="right"/>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76" fillId="0" borderId="0" applyNumberFormat="0" applyFill="0" applyBorder="0" applyAlignment="0" applyProtection="0"/>
    <xf numFmtId="0" fontId="77" fillId="20" borderId="2" applyNumberFormat="0" applyAlignment="0" applyProtection="0"/>
    <xf numFmtId="0" fontId="78" fillId="0" borderId="3" applyNumberFormat="0" applyFill="0" applyAlignment="0" applyProtection="0"/>
    <xf numFmtId="0" fontId="14" fillId="21" borderId="4" applyNumberFormat="0" applyFont="0" applyAlignment="0" applyProtection="0"/>
    <xf numFmtId="0" fontId="4" fillId="21" borderId="4" applyNumberFormat="0" applyFont="0" applyAlignment="0" applyProtection="0"/>
    <xf numFmtId="0" fontId="79" fillId="7" borderId="2" applyNumberFormat="0" applyAlignment="0" applyProtection="0"/>
    <xf numFmtId="0" fontId="80" fillId="3" borderId="0" applyNumberFormat="0" applyBorder="0" applyAlignment="0" applyProtection="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0" fontId="50" fillId="22" borderId="0" applyNumberFormat="0" applyBorder="0" applyAlignment="0" applyProtection="0"/>
    <xf numFmtId="0" fontId="10" fillId="0" borderId="0"/>
    <xf numFmtId="9" fontId="2" fillId="0" borderId="0" applyFont="0" applyFill="0" applyBorder="0" applyAlignment="0" applyProtection="0"/>
    <xf numFmtId="0" fontId="81" fillId="4" borderId="0" applyNumberFormat="0" applyBorder="0" applyAlignment="0" applyProtection="0"/>
    <xf numFmtId="0" fontId="82" fillId="20"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87" fillId="0" borderId="9" applyNumberFormat="0" applyFill="0" applyAlignment="0" applyProtection="0"/>
    <xf numFmtId="0" fontId="30" fillId="23" borderId="10" applyNumberFormat="0" applyAlignment="0" applyProtection="0"/>
    <xf numFmtId="0" fontId="4" fillId="0" borderId="132">
      <alignment horizontal="right"/>
    </xf>
    <xf numFmtId="0" fontId="77" fillId="20" borderId="140" applyNumberFormat="0" applyAlignment="0" applyProtection="0"/>
    <xf numFmtId="0" fontId="4" fillId="21" borderId="141" applyNumberFormat="0" applyFont="0" applyAlignment="0" applyProtection="0"/>
    <xf numFmtId="0" fontId="4" fillId="21" borderId="141" applyNumberFormat="0" applyFont="0" applyAlignment="0" applyProtection="0"/>
    <xf numFmtId="0" fontId="79" fillId="7" borderId="140" applyNumberFormat="0" applyAlignment="0" applyProtection="0"/>
    <xf numFmtId="0" fontId="82" fillId="20" borderId="142" applyNumberFormat="0" applyAlignment="0" applyProtection="0"/>
    <xf numFmtId="0" fontId="87" fillId="0" borderId="143" applyNumberFormat="0" applyFill="0" applyAlignment="0" applyProtection="0"/>
    <xf numFmtId="0" fontId="30" fillId="23" borderId="144" applyNumberFormat="0" applyAlignment="0" applyProtection="0"/>
    <xf numFmtId="0" fontId="4" fillId="0" borderId="0"/>
    <xf numFmtId="0" fontId="1" fillId="74" borderId="0" applyNumberFormat="0" applyBorder="0" applyAlignment="0" applyProtection="0"/>
    <xf numFmtId="0" fontId="330" fillId="75" borderId="0" applyNumberFormat="0" applyBorder="0" applyAlignment="0" applyProtection="0"/>
    <xf numFmtId="0" fontId="423" fillId="76" borderId="0" applyNumberFormat="0" applyBorder="0" applyAlignment="0" applyProtection="0"/>
    <xf numFmtId="0" fontId="423" fillId="77" borderId="0" applyNumberFormat="0" applyBorder="0" applyAlignment="0" applyProtection="0"/>
    <xf numFmtId="0" fontId="423" fillId="78" borderId="0" applyNumberFormat="0" applyBorder="0" applyAlignment="0" applyProtection="0"/>
    <xf numFmtId="0" fontId="182" fillId="79" borderId="0" applyNumberFormat="0" applyBorder="0" applyAlignment="0" applyProtection="0"/>
    <xf numFmtId="0" fontId="182" fillId="80" borderId="0" applyNumberFormat="0" applyBorder="0" applyAlignment="0" applyProtection="0"/>
    <xf numFmtId="0" fontId="424" fillId="81" borderId="0" applyNumberFormat="0" applyBorder="0" applyAlignment="0" applyProtection="0"/>
    <xf numFmtId="0" fontId="182" fillId="82" borderId="0" applyNumberFormat="0" applyBorder="0" applyAlignment="0" applyProtection="0"/>
    <xf numFmtId="0" fontId="4" fillId="0" borderId="0"/>
    <xf numFmtId="0" fontId="1" fillId="74" borderId="0" applyNumberFormat="0" applyBorder="0" applyAlignment="0" applyProtection="0"/>
    <xf numFmtId="0" fontId="423" fillId="76" borderId="0" applyNumberFormat="0" applyBorder="0" applyAlignment="0" applyProtection="0"/>
  </cellStyleXfs>
  <cellXfs count="5412">
    <xf numFmtId="0" fontId="0" fillId="0" borderId="1" xfId="0">
      <alignment horizontal="right"/>
    </xf>
    <xf numFmtId="0" fontId="16" fillId="0" borderId="0" xfId="0" applyFont="1" applyBorder="1" applyProtection="1">
      <alignment horizontal="right"/>
      <protection locked="0"/>
    </xf>
    <xf numFmtId="0" fontId="16" fillId="0" borderId="0" xfId="0" applyFont="1" applyFill="1" applyBorder="1" applyProtection="1">
      <alignment horizontal="right"/>
      <protection locked="0"/>
    </xf>
    <xf numFmtId="0" fontId="38" fillId="0" borderId="0" xfId="0" applyFont="1" applyBorder="1" applyAlignment="1" applyProtection="1">
      <alignment horizontal="left" indent="1"/>
      <protection locked="0"/>
    </xf>
    <xf numFmtId="0" fontId="16" fillId="0" borderId="0" xfId="0" applyFont="1" applyBorder="1" applyProtection="1">
      <alignment horizontal="right"/>
      <protection hidden="1"/>
    </xf>
    <xf numFmtId="0" fontId="38" fillId="0" borderId="0" xfId="0" applyFont="1" applyBorder="1" applyAlignment="1" applyProtection="1">
      <alignment horizontal="center"/>
      <protection locked="0"/>
    </xf>
    <xf numFmtId="9" fontId="89" fillId="0" borderId="0" xfId="0" applyNumberFormat="1" applyFont="1" applyFill="1" applyBorder="1" applyAlignment="1" applyProtection="1">
      <alignment horizontal="center" vertical="center"/>
      <protection locked="0"/>
    </xf>
    <xf numFmtId="0" fontId="55" fillId="0" borderId="0" xfId="0" applyFont="1" applyBorder="1" applyProtection="1">
      <alignment horizontal="right"/>
      <protection locked="0"/>
    </xf>
    <xf numFmtId="0" fontId="60" fillId="0" borderId="0" xfId="0" applyFont="1" applyFill="1" applyBorder="1" applyProtection="1">
      <alignment horizontal="right"/>
      <protection locked="0"/>
    </xf>
    <xf numFmtId="167" fontId="58" fillId="0" borderId="0" xfId="0" applyNumberFormat="1" applyFont="1" applyFill="1" applyBorder="1" applyAlignment="1" applyProtection="1">
      <protection locked="0"/>
    </xf>
    <xf numFmtId="166" fontId="60" fillId="0" borderId="0" xfId="0" applyNumberFormat="1" applyFont="1" applyFill="1" applyBorder="1" applyProtection="1">
      <alignment horizontal="right"/>
      <protection locked="0"/>
    </xf>
    <xf numFmtId="0" fontId="38" fillId="0" borderId="0" xfId="0" applyFont="1" applyBorder="1" applyProtection="1">
      <alignment horizontal="right"/>
      <protection locked="0"/>
    </xf>
    <xf numFmtId="0" fontId="16" fillId="0" borderId="0" xfId="0" applyFont="1" applyBorder="1" applyAlignment="1" applyProtection="1">
      <alignment horizontal="left"/>
      <protection locked="0"/>
    </xf>
    <xf numFmtId="0" fontId="38" fillId="0" borderId="0" xfId="0" applyFont="1" applyBorder="1" applyAlignment="1" applyProtection="1">
      <alignment horizontal="left"/>
      <protection locked="0"/>
    </xf>
    <xf numFmtId="166" fontId="16" fillId="0" borderId="0" xfId="0" applyNumberFormat="1" applyFont="1" applyBorder="1" applyAlignment="1" applyProtection="1">
      <alignment horizontal="right" indent="1"/>
      <protection locked="0"/>
    </xf>
    <xf numFmtId="168" fontId="49" fillId="0" borderId="0" xfId="0" applyNumberFormat="1" applyFont="1" applyBorder="1" applyAlignment="1" applyProtection="1">
      <alignment horizontal="center"/>
      <protection locked="0"/>
    </xf>
    <xf numFmtId="168" fontId="49" fillId="0" borderId="0" xfId="0" applyNumberFormat="1" applyFont="1" applyFill="1" applyBorder="1" applyAlignment="1" applyProtection="1">
      <alignment horizontal="center"/>
      <protection locked="0"/>
    </xf>
    <xf numFmtId="0" fontId="55" fillId="0" borderId="0" xfId="0" applyFont="1" applyFill="1" applyBorder="1" applyProtection="1">
      <alignment horizontal="right"/>
      <protection locked="0"/>
    </xf>
    <xf numFmtId="0" fontId="16" fillId="0" borderId="0" xfId="0" applyFont="1" applyBorder="1" applyAlignment="1" applyProtection="1">
      <alignment horizontal="right" indent="1"/>
      <protection locked="0"/>
    </xf>
    <xf numFmtId="0" fontId="31" fillId="0" borderId="0" xfId="0" applyFont="1" applyBorder="1" applyProtection="1">
      <alignment horizontal="right"/>
      <protection locked="0"/>
    </xf>
    <xf numFmtId="0" fontId="70" fillId="0" borderId="0" xfId="0" applyFont="1" applyBorder="1" applyAlignment="1" applyProtection="1">
      <alignment horizontal="left" vertical="center"/>
      <protection locked="0"/>
    </xf>
    <xf numFmtId="0" fontId="59" fillId="0" borderId="0" xfId="0" applyFont="1" applyFill="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69" fillId="0" borderId="0" xfId="0" applyFont="1" applyFill="1" applyBorder="1" applyAlignment="1" applyProtection="1">
      <alignment horizontal="left" vertical="center" indent="1"/>
      <protection locked="0"/>
    </xf>
    <xf numFmtId="0" fontId="31" fillId="0" borderId="0" xfId="0" applyFont="1" applyBorder="1" applyAlignment="1" applyProtection="1">
      <alignment horizontal="left" indent="1"/>
      <protection locked="0"/>
    </xf>
    <xf numFmtId="0" fontId="52" fillId="0" borderId="0" xfId="0" applyFont="1" applyBorder="1" applyProtection="1">
      <alignment horizontal="right"/>
      <protection locked="0"/>
    </xf>
    <xf numFmtId="0" fontId="52" fillId="0" borderId="0" xfId="0" applyFont="1" applyFill="1" applyBorder="1" applyAlignment="1" applyProtection="1">
      <alignment horizontal="left"/>
      <protection locked="0"/>
    </xf>
    <xf numFmtId="0" fontId="40" fillId="0" borderId="0" xfId="0" applyFont="1" applyFill="1" applyBorder="1" applyAlignment="1" applyProtection="1">
      <alignment horizontal="left" vertical="center" indent="1"/>
      <protection locked="0"/>
    </xf>
    <xf numFmtId="0" fontId="24" fillId="0" borderId="0" xfId="0" applyFont="1" applyBorder="1" applyAlignment="1" applyProtection="1">
      <alignment horizontal="right" vertical="center"/>
      <protection locked="0"/>
    </xf>
    <xf numFmtId="0" fontId="31" fillId="0" borderId="0" xfId="0" quotePrefix="1" applyFont="1" applyBorder="1" applyProtection="1">
      <alignment horizontal="right"/>
      <protection locked="0"/>
    </xf>
    <xf numFmtId="0" fontId="16" fillId="0" borderId="0" xfId="0" applyFont="1" applyBorder="1" applyAlignment="1" applyProtection="1">
      <alignment horizontal="center"/>
      <protection locked="0"/>
    </xf>
    <xf numFmtId="0" fontId="24"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right" vertical="center"/>
      <protection locked="0"/>
    </xf>
    <xf numFmtId="3" fontId="17" fillId="0" borderId="0" xfId="0" applyNumberFormat="1" applyFont="1" applyBorder="1" applyAlignment="1" applyProtection="1">
      <alignment horizontal="right" vertical="center"/>
      <protection locked="0"/>
    </xf>
    <xf numFmtId="9" fontId="24" fillId="0" borderId="0" xfId="0" applyNumberFormat="1" applyFont="1" applyFill="1" applyBorder="1" applyAlignment="1" applyProtection="1">
      <alignment horizontal="center" vertical="center"/>
      <protection locked="0"/>
    </xf>
    <xf numFmtId="9" fontId="17" fillId="0" borderId="0"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right" vertical="center"/>
      <protection locked="0"/>
    </xf>
    <xf numFmtId="0" fontId="16" fillId="0" borderId="0" xfId="0" applyFont="1" applyBorder="1" applyAlignment="1" applyProtection="1">
      <alignment horizontal="left" wrapText="1" indent="1"/>
      <protection locked="0"/>
    </xf>
    <xf numFmtId="0" fontId="16" fillId="0" borderId="0" xfId="0" applyFont="1" applyBorder="1" applyAlignment="1" applyProtection="1">
      <alignment horizontal="right" wrapText="1"/>
      <protection locked="0"/>
    </xf>
    <xf numFmtId="0" fontId="38" fillId="0" borderId="0" xfId="35" applyFont="1" applyProtection="1">
      <protection locked="0"/>
    </xf>
    <xf numFmtId="0" fontId="101" fillId="0" borderId="0" xfId="0" applyFont="1" applyFill="1" applyBorder="1" applyAlignment="1" applyProtection="1">
      <alignment horizontal="left" vertical="center" indent="1"/>
      <protection locked="0"/>
    </xf>
    <xf numFmtId="0" fontId="102" fillId="0" borderId="0" xfId="0" applyFont="1" applyBorder="1" applyProtection="1">
      <alignment horizontal="right"/>
      <protection locked="0"/>
    </xf>
    <xf numFmtId="0" fontId="102" fillId="0" borderId="0" xfId="0" applyFont="1" applyBorder="1" applyAlignment="1" applyProtection="1">
      <alignment horizontal="left" vertical="center"/>
      <protection locked="0"/>
    </xf>
    <xf numFmtId="0" fontId="102" fillId="0" borderId="0" xfId="0" applyFont="1" applyFill="1" applyBorder="1" applyAlignment="1" applyProtection="1">
      <alignment horizontal="left"/>
      <protection locked="0"/>
    </xf>
    <xf numFmtId="0" fontId="102" fillId="0" borderId="0" xfId="0" applyFont="1" applyBorder="1" applyAlignment="1" applyProtection="1">
      <alignment horizontal="left"/>
      <protection locked="0"/>
    </xf>
    <xf numFmtId="168" fontId="31" fillId="0" borderId="0" xfId="0" applyNumberFormat="1" applyFont="1" applyBorder="1" applyAlignment="1" applyProtection="1">
      <alignment horizontal="center"/>
      <protection hidden="1"/>
    </xf>
    <xf numFmtId="10" fontId="16" fillId="0" borderId="0" xfId="0" applyNumberFormat="1" applyFont="1" applyFill="1" applyBorder="1" applyAlignment="1" applyProtection="1">
      <alignment horizontal="left"/>
      <protection locked="0"/>
    </xf>
    <xf numFmtId="166" fontId="38" fillId="0" borderId="0" xfId="0" applyNumberFormat="1" applyFont="1" applyFill="1" applyBorder="1" applyProtection="1">
      <alignment horizontal="right"/>
      <protection locked="0"/>
    </xf>
    <xf numFmtId="166" fontId="16" fillId="0" borderId="0" xfId="0" applyNumberFormat="1" applyFont="1" applyFill="1" applyBorder="1" applyProtection="1">
      <alignment horizontal="right"/>
      <protection locked="0"/>
    </xf>
    <xf numFmtId="166" fontId="25" fillId="0" borderId="0" xfId="0" applyNumberFormat="1" applyFont="1" applyFill="1" applyBorder="1" applyAlignment="1" applyProtection="1">
      <alignment vertical="center"/>
      <protection locked="0"/>
    </xf>
    <xf numFmtId="166" fontId="37" fillId="0" borderId="0" xfId="0" applyNumberFormat="1" applyFont="1" applyFill="1" applyBorder="1" applyProtection="1">
      <alignment horizontal="right"/>
      <protection locked="0"/>
    </xf>
    <xf numFmtId="166" fontId="18" fillId="0" borderId="0" xfId="0" applyNumberFormat="1" applyFont="1" applyFill="1" applyBorder="1" applyProtection="1">
      <alignment horizontal="right"/>
      <protection locked="0"/>
    </xf>
    <xf numFmtId="0" fontId="53" fillId="0" borderId="0" xfId="0" applyFont="1" applyFill="1" applyBorder="1" applyAlignment="1" applyProtection="1">
      <alignment horizontal="center"/>
      <protection locked="0"/>
    </xf>
    <xf numFmtId="2" fontId="16"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vertical="center"/>
      <protection locked="0"/>
    </xf>
    <xf numFmtId="166" fontId="45" fillId="0" borderId="0" xfId="32" applyNumberFormat="1" applyFont="1" applyFill="1" applyBorder="1" applyAlignment="1" applyProtection="1">
      <protection locked="0"/>
    </xf>
    <xf numFmtId="166" fontId="16" fillId="0"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right" vertical="center"/>
      <protection locked="0"/>
    </xf>
    <xf numFmtId="166" fontId="20" fillId="0" borderId="0" xfId="0" applyNumberFormat="1" applyFont="1" applyFill="1" applyBorder="1" applyAlignment="1" applyProtection="1">
      <alignment vertical="center"/>
      <protection locked="0"/>
    </xf>
    <xf numFmtId="166" fontId="16" fillId="0" borderId="0" xfId="0" applyNumberFormat="1" applyFont="1" applyFill="1" applyBorder="1" applyAlignment="1" applyProtection="1">
      <alignment horizontal="right"/>
      <protection locked="0"/>
    </xf>
    <xf numFmtId="2" fontId="63" fillId="0" borderId="0" xfId="0" applyNumberFormat="1" applyFont="1" applyFill="1" applyBorder="1" applyAlignment="1" applyProtection="1">
      <alignment horizontal="center"/>
      <protection locked="0"/>
    </xf>
    <xf numFmtId="166" fontId="18" fillId="0" borderId="0" xfId="0" applyNumberFormat="1" applyFont="1" applyBorder="1" applyProtection="1">
      <alignment horizontal="right"/>
      <protection locked="0"/>
    </xf>
    <xf numFmtId="9" fontId="53" fillId="0" borderId="0" xfId="0" applyNumberFormat="1" applyFont="1" applyBorder="1" applyAlignment="1" applyProtection="1">
      <alignment horizontal="center"/>
      <protection locked="0"/>
    </xf>
    <xf numFmtId="166" fontId="53" fillId="0" borderId="14" xfId="0" applyNumberFormat="1" applyFont="1" applyBorder="1" applyAlignment="1" applyProtection="1">
      <alignment horizontal="right" vertical="center"/>
      <protection hidden="1"/>
    </xf>
    <xf numFmtId="166" fontId="16" fillId="0" borderId="0" xfId="0" applyNumberFormat="1" applyFont="1" applyBorder="1" applyAlignment="1" applyProtection="1">
      <alignment horizontal="right" vertical="center"/>
      <protection locked="0"/>
    </xf>
    <xf numFmtId="166" fontId="16" fillId="0" borderId="0" xfId="0" applyNumberFormat="1" applyFont="1" applyFill="1" applyBorder="1" applyAlignment="1" applyProtection="1">
      <alignment horizontal="right" vertical="center"/>
      <protection locked="0"/>
    </xf>
    <xf numFmtId="171" fontId="24" fillId="0" borderId="0" xfId="0" applyNumberFormat="1" applyFont="1" applyFill="1" applyBorder="1" applyAlignment="1" applyProtection="1">
      <alignment horizontal="right" vertical="center"/>
      <protection locked="0"/>
    </xf>
    <xf numFmtId="177" fontId="20"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171" fontId="17" fillId="0" borderId="0" xfId="0" applyNumberFormat="1" applyFont="1" applyFill="1" applyBorder="1" applyAlignment="1" applyProtection="1">
      <alignment horizontal="right" vertical="center"/>
      <protection locked="0"/>
    </xf>
    <xf numFmtId="0" fontId="25" fillId="0" borderId="0" xfId="0" applyFont="1" applyFill="1" applyBorder="1" applyAlignment="1" applyProtection="1">
      <alignment horizontal="right" vertical="center"/>
      <protection locked="0"/>
    </xf>
    <xf numFmtId="168" fontId="113" fillId="0" borderId="0" xfId="0" applyNumberFormat="1" applyFont="1" applyFill="1" applyBorder="1" applyAlignment="1" applyProtection="1">
      <alignment horizontal="center" vertical="center"/>
      <protection locked="0"/>
    </xf>
    <xf numFmtId="0" fontId="102" fillId="0" borderId="0" xfId="0" applyFont="1" applyBorder="1" applyAlignment="1" applyProtection="1">
      <alignment horizontal="left" vertical="center" indent="1"/>
      <protection locked="0"/>
    </xf>
    <xf numFmtId="166" fontId="38" fillId="0" borderId="0" xfId="0" applyNumberFormat="1" applyFont="1" applyBorder="1" applyProtection="1">
      <alignment horizontal="right"/>
      <protection locked="0"/>
    </xf>
    <xf numFmtId="0" fontId="55" fillId="0" borderId="0" xfId="0" applyFont="1" applyFill="1" applyBorder="1" applyAlignment="1" applyProtection="1">
      <alignment horizontal="right" vertical="center"/>
      <protection locked="0"/>
    </xf>
    <xf numFmtId="0" fontId="23" fillId="0" borderId="0" xfId="0" applyFont="1" applyFill="1" applyBorder="1" applyProtection="1">
      <alignment horizontal="right"/>
      <protection locked="0"/>
    </xf>
    <xf numFmtId="0" fontId="100" fillId="0" borderId="0" xfId="0" applyFont="1" applyFill="1" applyBorder="1" applyAlignment="1" applyProtection="1">
      <alignment horizontal="center" vertical="center" wrapText="1"/>
      <protection hidden="1"/>
    </xf>
    <xf numFmtId="0" fontId="131" fillId="0" borderId="0" xfId="0" applyFont="1" applyBorder="1" applyProtection="1">
      <alignment horizontal="right"/>
      <protection locked="0"/>
    </xf>
    <xf numFmtId="0" fontId="131" fillId="0" borderId="0" xfId="0" applyFont="1" applyBorder="1" applyAlignment="1" applyProtection="1">
      <alignment horizontal="left" indent="1"/>
      <protection locked="0"/>
    </xf>
    <xf numFmtId="0" fontId="131" fillId="0" borderId="0" xfId="0" applyFont="1" applyBorder="1" applyAlignment="1" applyProtection="1">
      <alignment horizontal="right" vertical="center"/>
      <protection locked="0"/>
    </xf>
    <xf numFmtId="0" fontId="135" fillId="0" borderId="0" xfId="0" applyFont="1" applyBorder="1" applyProtection="1">
      <alignment horizontal="right"/>
      <protection locked="0"/>
    </xf>
    <xf numFmtId="0" fontId="135" fillId="0" borderId="0" xfId="0" applyFont="1" applyBorder="1" applyAlignment="1" applyProtection="1">
      <alignment horizontal="left" indent="1"/>
      <protection locked="0"/>
    </xf>
    <xf numFmtId="0" fontId="135" fillId="0" borderId="0" xfId="0" applyFont="1" applyBorder="1" applyAlignment="1" applyProtection="1">
      <alignment horizontal="left" wrapText="1" indent="1"/>
      <protection locked="0"/>
    </xf>
    <xf numFmtId="0" fontId="135" fillId="0" borderId="0" xfId="0" applyFont="1" applyBorder="1" applyAlignment="1" applyProtection="1">
      <alignment horizontal="right" wrapText="1"/>
      <protection locked="0"/>
    </xf>
    <xf numFmtId="0" fontId="131" fillId="0" borderId="0" xfId="0" applyFont="1" applyBorder="1" applyAlignment="1" applyProtection="1">
      <alignment horizontal="right" vertical="center" wrapText="1"/>
      <protection locked="0"/>
    </xf>
    <xf numFmtId="0" fontId="131" fillId="0" borderId="0" xfId="0" applyFont="1" applyBorder="1" applyAlignment="1" applyProtection="1">
      <alignment horizontal="right" wrapText="1"/>
      <protection locked="0"/>
    </xf>
    <xf numFmtId="0" fontId="131" fillId="0" borderId="0" xfId="0" applyFont="1" applyBorder="1" applyAlignment="1" applyProtection="1">
      <alignment horizontal="right" vertical="center" wrapText="1" indent="1"/>
      <protection locked="0"/>
    </xf>
    <xf numFmtId="171" fontId="131" fillId="0" borderId="0" xfId="0" applyNumberFormat="1" applyFont="1" applyFill="1" applyBorder="1" applyAlignment="1" applyProtection="1">
      <alignment horizontal="right" vertical="center"/>
      <protection locked="0"/>
    </xf>
    <xf numFmtId="177" fontId="131" fillId="0" borderId="0" xfId="0" applyNumberFormat="1" applyFont="1" applyFill="1" applyBorder="1" applyAlignment="1" applyProtection="1">
      <alignment horizontal="right" vertical="center"/>
      <protection locked="0"/>
    </xf>
    <xf numFmtId="0" fontId="66" fillId="0" borderId="0" xfId="0" applyFont="1" applyBorder="1" applyProtection="1">
      <alignment horizontal="right"/>
      <protection locked="0"/>
    </xf>
    <xf numFmtId="0" fontId="66" fillId="0" borderId="0" xfId="0" quotePrefix="1" applyFont="1" applyBorder="1" applyProtection="1">
      <alignment horizontal="right"/>
      <protection locked="0"/>
    </xf>
    <xf numFmtId="9" fontId="131" fillId="0" borderId="0" xfId="0" applyNumberFormat="1" applyFont="1" applyFill="1" applyBorder="1" applyAlignment="1" applyProtection="1">
      <alignment horizontal="center" vertical="center"/>
      <protection locked="0"/>
    </xf>
    <xf numFmtId="0" fontId="35" fillId="0" borderId="0" xfId="0" applyFont="1" applyBorder="1" applyProtection="1">
      <alignment horizontal="right"/>
      <protection locked="0"/>
    </xf>
    <xf numFmtId="0" fontId="35" fillId="0" borderId="0" xfId="0" applyFont="1" applyFill="1" applyBorder="1" applyProtection="1">
      <alignment horizontal="right"/>
      <protection locked="0"/>
    </xf>
    <xf numFmtId="0" fontId="138" fillId="0" borderId="0" xfId="0" applyFont="1" applyFill="1" applyBorder="1" applyProtection="1">
      <alignment horizontal="right"/>
      <protection locked="0"/>
    </xf>
    <xf numFmtId="0" fontId="143" fillId="0" borderId="0" xfId="0" applyFont="1" applyBorder="1" applyProtection="1">
      <alignment horizontal="right"/>
      <protection locked="0"/>
    </xf>
    <xf numFmtId="0" fontId="144" fillId="0" borderId="0" xfId="0" applyFont="1" applyBorder="1" applyProtection="1">
      <alignment horizontal="right"/>
      <protection locked="0"/>
    </xf>
    <xf numFmtId="0" fontId="102" fillId="0" borderId="0" xfId="0" applyFont="1" applyBorder="1" applyAlignment="1" applyProtection="1">
      <alignment horizontal="right" indent="1"/>
      <protection locked="0"/>
    </xf>
    <xf numFmtId="0" fontId="102" fillId="0" borderId="0" xfId="0" applyFont="1" applyBorder="1" applyAlignment="1" applyProtection="1">
      <alignment horizontal="left" indent="1"/>
      <protection locked="0"/>
    </xf>
    <xf numFmtId="0" fontId="102" fillId="0" borderId="0" xfId="0" applyFont="1" applyBorder="1" applyAlignment="1" applyProtection="1">
      <alignment horizontal="right" vertical="center" indent="1"/>
      <protection locked="0"/>
    </xf>
    <xf numFmtId="0" fontId="102" fillId="0" borderId="0" xfId="0" applyFont="1" applyFill="1" applyBorder="1" applyAlignment="1" applyProtection="1">
      <protection locked="0"/>
    </xf>
    <xf numFmtId="0" fontId="102"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indent="1"/>
      <protection locked="0"/>
    </xf>
    <xf numFmtId="178" fontId="102" fillId="0" borderId="0" xfId="0" applyNumberFormat="1" applyFont="1" applyBorder="1" applyAlignment="1" applyProtection="1">
      <alignment horizontal="right" vertical="center"/>
      <protection locked="0"/>
    </xf>
    <xf numFmtId="0" fontId="102" fillId="0" borderId="0" xfId="0" applyFont="1" applyFill="1" applyBorder="1" applyAlignment="1" applyProtection="1">
      <alignment horizontal="left" vertical="center"/>
      <protection locked="0"/>
    </xf>
    <xf numFmtId="0" fontId="102" fillId="0" borderId="0" xfId="0" applyFont="1" applyBorder="1" applyAlignment="1" applyProtection="1">
      <alignment vertical="center"/>
      <protection locked="0"/>
    </xf>
    <xf numFmtId="0" fontId="146" fillId="0" borderId="0" xfId="0" applyFont="1" applyBorder="1" applyAlignment="1" applyProtection="1">
      <alignment vertical="center"/>
      <protection locked="0"/>
    </xf>
    <xf numFmtId="0" fontId="102" fillId="0" borderId="0" xfId="0" applyFont="1" applyBorder="1" applyAlignment="1" applyProtection="1">
      <alignment horizontal="center" vertical="center"/>
      <protection locked="0" hidden="1"/>
    </xf>
    <xf numFmtId="0" fontId="146" fillId="0" borderId="0" xfId="0" applyFont="1" applyBorder="1" applyAlignment="1" applyProtection="1">
      <alignment horizontal="right" vertical="center" indent="1"/>
      <protection locked="0"/>
    </xf>
    <xf numFmtId="3" fontId="102" fillId="0" borderId="0" xfId="0" applyNumberFormat="1" applyFont="1" applyBorder="1" applyAlignment="1" applyProtection="1">
      <alignment horizontal="right" vertical="center"/>
      <protection locked="0"/>
    </xf>
    <xf numFmtId="0" fontId="102" fillId="0" borderId="0" xfId="0" applyFont="1" applyFill="1" applyBorder="1" applyAlignment="1" applyProtection="1">
      <alignment horizontal="right" vertical="center"/>
      <protection locked="0"/>
    </xf>
    <xf numFmtId="3" fontId="102" fillId="0" borderId="0" xfId="0" applyNumberFormat="1" applyFont="1" applyBorder="1" applyAlignment="1" applyProtection="1">
      <alignment horizontal="left" vertical="center"/>
      <protection locked="0"/>
    </xf>
    <xf numFmtId="171" fontId="102" fillId="0" borderId="0" xfId="0" applyNumberFormat="1" applyFont="1" applyFill="1" applyBorder="1" applyAlignment="1" applyProtection="1">
      <alignment horizontal="right" vertical="center"/>
      <protection locked="0"/>
    </xf>
    <xf numFmtId="9" fontId="102" fillId="0" borderId="0" xfId="0" applyNumberFormat="1" applyFont="1" applyFill="1" applyBorder="1" applyAlignment="1" applyProtection="1">
      <alignment horizontal="center" vertical="center"/>
      <protection locked="0"/>
    </xf>
    <xf numFmtId="0" fontId="15" fillId="0" borderId="15" xfId="0" applyFont="1" applyBorder="1" applyAlignment="1" applyProtection="1">
      <alignment horizontal="center" vertical="center"/>
      <protection locked="0" hidden="1"/>
    </xf>
    <xf numFmtId="168" fontId="102" fillId="0" borderId="0" xfId="0" applyNumberFormat="1" applyFont="1" applyBorder="1" applyAlignment="1" applyProtection="1">
      <alignment horizontal="center" vertical="center"/>
      <protection locked="0"/>
    </xf>
    <xf numFmtId="170" fontId="102" fillId="0" borderId="15" xfId="0" applyNumberFormat="1" applyFont="1" applyBorder="1" applyAlignment="1" applyProtection="1">
      <alignment horizontal="center" vertical="center"/>
      <protection locked="0"/>
    </xf>
    <xf numFmtId="0" fontId="55" fillId="0" borderId="0" xfId="0" applyFont="1" applyBorder="1" applyAlignment="1" applyProtection="1">
      <alignment horizontal="right" wrapText="1"/>
      <protection locked="0"/>
    </xf>
    <xf numFmtId="171" fontId="102" fillId="0" borderId="0" xfId="0" applyNumberFormat="1" applyFont="1" applyBorder="1" applyAlignment="1" applyProtection="1">
      <alignment horizontal="center"/>
      <protection locked="0"/>
    </xf>
    <xf numFmtId="0" fontId="102" fillId="0" borderId="0" xfId="0" applyFont="1" applyBorder="1" applyAlignment="1" applyProtection="1">
      <alignment horizontal="right"/>
      <protection locked="0"/>
    </xf>
    <xf numFmtId="0" fontId="22" fillId="0" borderId="0" xfId="0" applyFont="1" applyFill="1" applyBorder="1" applyAlignment="1" applyProtection="1">
      <alignment horizontal="right" vertical="center" indent="1"/>
      <protection locked="0"/>
    </xf>
    <xf numFmtId="14" fontId="102" fillId="0" borderId="0" xfId="0" applyNumberFormat="1" applyFont="1" applyBorder="1" applyAlignment="1" applyProtection="1">
      <alignment horizontal="left" vertical="center" indent="1"/>
      <protection locked="0"/>
    </xf>
    <xf numFmtId="0" fontId="102" fillId="0" borderId="0" xfId="0" applyFont="1" applyBorder="1" applyAlignment="1" applyProtection="1">
      <alignment horizontal="center"/>
      <protection locked="0"/>
    </xf>
    <xf numFmtId="14" fontId="102" fillId="0" borderId="0" xfId="0" applyNumberFormat="1" applyFont="1" applyBorder="1" applyAlignment="1" applyProtection="1">
      <alignment horizontal="center" vertical="center"/>
      <protection locked="0"/>
    </xf>
    <xf numFmtId="3" fontId="102" fillId="0" borderId="0" xfId="0" applyNumberFormat="1" applyFont="1" applyBorder="1" applyAlignment="1" applyProtection="1">
      <alignment horizontal="center"/>
      <protection locked="0"/>
    </xf>
    <xf numFmtId="0" fontId="102" fillId="0" borderId="0" xfId="0" applyFont="1" applyBorder="1" applyAlignment="1" applyProtection="1">
      <alignment horizontal="center" vertical="center"/>
      <protection locked="0"/>
    </xf>
    <xf numFmtId="166" fontId="16" fillId="0" borderId="0" xfId="0" applyNumberFormat="1" applyFont="1" applyFill="1" applyBorder="1" applyAlignment="1" applyProtection="1">
      <protection locked="0"/>
    </xf>
    <xf numFmtId="166" fontId="38" fillId="0" borderId="0" xfId="0" applyNumberFormat="1" applyFont="1" applyFill="1" applyBorder="1" applyAlignment="1" applyProtection="1">
      <protection locked="0"/>
    </xf>
    <xf numFmtId="166" fontId="160" fillId="0" borderId="0" xfId="0" applyNumberFormat="1" applyFont="1" applyFill="1" applyBorder="1" applyAlignment="1" applyProtection="1">
      <protection locked="0"/>
    </xf>
    <xf numFmtId="166" fontId="106" fillId="0" borderId="0" xfId="0" applyNumberFormat="1" applyFont="1" applyFill="1" applyBorder="1" applyAlignment="1" applyProtection="1">
      <alignment vertical="center"/>
      <protection locked="0"/>
    </xf>
    <xf numFmtId="166" fontId="16" fillId="0" borderId="0" xfId="0" applyNumberFormat="1" applyFont="1" applyFill="1" applyBorder="1" applyAlignment="1" applyProtection="1">
      <alignment vertical="center"/>
      <protection locked="0"/>
    </xf>
    <xf numFmtId="0" fontId="156" fillId="0" borderId="0" xfId="0" applyFont="1" applyFill="1" applyBorder="1" applyAlignment="1" applyProtection="1">
      <alignment horizontal="center"/>
      <protection locked="0"/>
    </xf>
    <xf numFmtId="0" fontId="157" fillId="0" borderId="0" xfId="0" applyFont="1" applyBorder="1" applyProtection="1">
      <alignment horizontal="right"/>
      <protection locked="0"/>
    </xf>
    <xf numFmtId="0" fontId="70" fillId="0" borderId="0" xfId="0" applyFont="1" applyBorder="1" applyAlignment="1" applyProtection="1">
      <alignment horizontal="left" vertical="center" indent="1"/>
      <protection locked="0"/>
    </xf>
    <xf numFmtId="0" fontId="16" fillId="0" borderId="0" xfId="0" applyFont="1" applyBorder="1" applyAlignment="1" applyProtection="1">
      <alignment horizontal="left" vertical="center" indent="1"/>
      <protection locked="0"/>
    </xf>
    <xf numFmtId="0" fontId="70" fillId="0" borderId="0" xfId="0" applyFont="1" applyBorder="1" applyAlignment="1" applyProtection="1">
      <alignment horizontal="left" indent="2"/>
      <protection locked="0"/>
    </xf>
    <xf numFmtId="0" fontId="124" fillId="0" borderId="0" xfId="0" applyFont="1" applyBorder="1" applyProtection="1">
      <alignment horizontal="right"/>
      <protection locked="0"/>
    </xf>
    <xf numFmtId="0" fontId="16" fillId="0" borderId="0" xfId="0" applyFont="1" applyBorder="1" applyAlignment="1" applyProtection="1">
      <alignment horizontal="center" vertical="center"/>
      <protection locked="0"/>
    </xf>
    <xf numFmtId="0" fontId="70" fillId="0" borderId="0" xfId="0" applyFont="1" applyBorder="1" applyAlignment="1" applyProtection="1">
      <alignment horizontal="left"/>
      <protection locked="0"/>
    </xf>
    <xf numFmtId="0" fontId="16" fillId="0" borderId="0" xfId="0" applyFont="1" applyFill="1" applyBorder="1" applyAlignment="1" applyProtection="1">
      <alignment horizontal="right" vertical="center"/>
      <protection locked="0"/>
    </xf>
    <xf numFmtId="0" fontId="16" fillId="0" borderId="0" xfId="0" applyFont="1" applyBorder="1" applyAlignment="1" applyProtection="1">
      <alignment horizontal="center" vertical="center"/>
      <protection locked="0" hidden="1"/>
    </xf>
    <xf numFmtId="170" fontId="102" fillId="0" borderId="0" xfId="0" applyNumberFormat="1" applyFont="1" applyBorder="1" applyAlignment="1" applyProtection="1">
      <alignment horizontal="center" vertical="center"/>
      <protection locked="0"/>
    </xf>
    <xf numFmtId="0" fontId="181" fillId="0" borderId="0" xfId="0" applyFont="1" applyBorder="1" applyAlignment="1" applyProtection="1">
      <alignment horizontal="left"/>
      <protection hidden="1"/>
    </xf>
    <xf numFmtId="0" fontId="182" fillId="0" borderId="0" xfId="0" applyFont="1" applyBorder="1" applyProtection="1">
      <alignment horizontal="right"/>
      <protection hidden="1"/>
    </xf>
    <xf numFmtId="0" fontId="181" fillId="0" borderId="0" xfId="0" applyFont="1" applyBorder="1" applyAlignment="1" applyProtection="1">
      <alignment horizontal="center"/>
      <protection hidden="1"/>
    </xf>
    <xf numFmtId="0" fontId="181" fillId="0" borderId="0" xfId="0" applyFont="1" applyFill="1" applyBorder="1" applyAlignment="1" applyProtection="1">
      <alignment horizontal="left"/>
      <protection hidden="1"/>
    </xf>
    <xf numFmtId="0" fontId="181" fillId="0" borderId="0" xfId="0" applyFont="1" applyFill="1" applyBorder="1" applyAlignment="1" applyProtection="1">
      <alignment horizontal="center"/>
      <protection hidden="1"/>
    </xf>
    <xf numFmtId="0" fontId="182" fillId="0" borderId="0" xfId="0" applyFont="1" applyBorder="1" applyAlignment="1" applyProtection="1">
      <alignment horizontal="center"/>
      <protection hidden="1"/>
    </xf>
    <xf numFmtId="0" fontId="181" fillId="0" borderId="0" xfId="0" applyFont="1" applyBorder="1" applyAlignment="1" applyProtection="1">
      <alignment horizontal="left" vertical="center"/>
      <protection hidden="1"/>
    </xf>
    <xf numFmtId="0" fontId="15" fillId="0" borderId="0" xfId="0" applyFont="1" applyFill="1" applyBorder="1" applyAlignment="1" applyProtection="1">
      <alignment horizontal="center" vertical="center"/>
      <protection locked="0"/>
    </xf>
    <xf numFmtId="0" fontId="0" fillId="0" borderId="0" xfId="0" applyBorder="1" applyAlignment="1" applyProtection="1">
      <alignment horizontal="left" vertical="center" indent="1"/>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indent="1"/>
      <protection locked="0"/>
    </xf>
    <xf numFmtId="0" fontId="16" fillId="0" borderId="0" xfId="0" applyFont="1" applyBorder="1" applyAlignment="1" applyProtection="1">
      <alignment horizontal="left" indent="1"/>
      <protection locked="0"/>
    </xf>
    <xf numFmtId="0" fontId="28" fillId="0" borderId="0" xfId="0" applyFont="1" applyFill="1" applyBorder="1" applyAlignment="1" applyProtection="1">
      <alignment horizontal="right" indent="2"/>
      <protection locked="0"/>
    </xf>
    <xf numFmtId="166" fontId="26" fillId="0" borderId="0" xfId="0" applyNumberFormat="1" applyFont="1" applyFill="1" applyBorder="1" applyAlignment="1" applyProtection="1">
      <alignment vertical="center"/>
      <protection locked="0"/>
    </xf>
    <xf numFmtId="166" fontId="29" fillId="0" borderId="0" xfId="0" applyNumberFormat="1" applyFont="1" applyFill="1" applyBorder="1" applyAlignment="1" applyProtection="1">
      <protection locked="0"/>
    </xf>
    <xf numFmtId="0" fontId="31" fillId="0" borderId="0" xfId="0" applyFont="1" applyFill="1" applyBorder="1" applyProtection="1">
      <alignment horizontal="right"/>
      <protection locked="0"/>
    </xf>
    <xf numFmtId="0" fontId="33" fillId="0" borderId="0" xfId="0" applyFont="1" applyFill="1" applyBorder="1" applyProtection="1">
      <alignment horizontal="right"/>
      <protection locked="0"/>
    </xf>
    <xf numFmtId="0" fontId="36" fillId="0" borderId="0" xfId="0" applyFont="1" applyFill="1" applyBorder="1" applyAlignment="1" applyProtection="1">
      <alignment horizontal="center" vertical="center"/>
      <protection locked="0"/>
    </xf>
    <xf numFmtId="0" fontId="38" fillId="31" borderId="0" xfId="0" applyFont="1" applyFill="1" applyBorder="1" applyProtection="1">
      <alignment horizontal="right"/>
      <protection locked="0"/>
    </xf>
    <xf numFmtId="0" fontId="183" fillId="0" borderId="0" xfId="0" applyFont="1" applyFill="1" applyBorder="1" applyAlignment="1" applyProtection="1">
      <alignment horizontal="center" vertical="center"/>
      <protection locked="0"/>
    </xf>
    <xf numFmtId="0" fontId="183" fillId="0" borderId="0" xfId="0" applyFont="1" applyBorder="1" applyProtection="1">
      <alignment horizontal="right"/>
      <protection locked="0"/>
    </xf>
    <xf numFmtId="0" fontId="41" fillId="0" borderId="0" xfId="0" applyFont="1" applyFill="1" applyBorder="1" applyAlignment="1" applyProtection="1">
      <alignment horizontal="center" vertical="center"/>
      <protection locked="0"/>
    </xf>
    <xf numFmtId="0" fontId="20" fillId="0" borderId="0" xfId="0" quotePrefix="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center"/>
      <protection locked="0"/>
    </xf>
    <xf numFmtId="0" fontId="0" fillId="0" borderId="0" xfId="0" applyBorder="1" applyProtection="1">
      <alignment horizontal="right"/>
      <protection locked="0"/>
    </xf>
    <xf numFmtId="0" fontId="16" fillId="31" borderId="0" xfId="0" applyFont="1" applyFill="1" applyBorder="1" applyProtection="1">
      <alignment horizontal="right"/>
      <protection locked="0"/>
    </xf>
    <xf numFmtId="3" fontId="16" fillId="31" borderId="0" xfId="0" applyNumberFormat="1" applyFont="1" applyFill="1" applyBorder="1" applyAlignment="1" applyProtection="1">
      <alignment horizontal="right" indent="1"/>
      <protection locked="0"/>
    </xf>
    <xf numFmtId="165" fontId="49" fillId="31" borderId="0" xfId="0" applyNumberFormat="1" applyFont="1" applyFill="1" applyBorder="1" applyAlignment="1" applyProtection="1">
      <alignment horizontal="center"/>
      <protection locked="0"/>
    </xf>
    <xf numFmtId="166" fontId="16" fillId="31" borderId="0" xfId="0" applyNumberFormat="1"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9" fontId="58" fillId="0" borderId="0" xfId="0" applyNumberFormat="1" applyFont="1" applyFill="1" applyBorder="1" applyAlignment="1" applyProtection="1">
      <alignment horizontal="center" vertical="center"/>
      <protection locked="0"/>
    </xf>
    <xf numFmtId="3" fontId="32" fillId="0" borderId="0" xfId="0" applyNumberFormat="1" applyFont="1" applyFill="1" applyBorder="1" applyAlignment="1" applyProtection="1">
      <alignment horizontal="right" vertical="center" indent="1"/>
      <protection locked="0"/>
    </xf>
    <xf numFmtId="165" fontId="32" fillId="0" borderId="0" xfId="0" applyNumberFormat="1" applyFont="1" applyFill="1" applyBorder="1" applyAlignment="1" applyProtection="1">
      <alignment horizontal="center" vertical="center"/>
      <protection locked="0"/>
    </xf>
    <xf numFmtId="168" fontId="142" fillId="0" borderId="0" xfId="0" applyNumberFormat="1" applyFont="1" applyFill="1" applyBorder="1" applyAlignment="1" applyProtection="1">
      <alignment horizontal="center" vertical="center"/>
      <protection locked="0"/>
    </xf>
    <xf numFmtId="0" fontId="124" fillId="0" borderId="0" xfId="0" applyFont="1" applyFill="1" applyBorder="1" applyProtection="1">
      <alignment horizontal="right"/>
      <protection locked="0"/>
    </xf>
    <xf numFmtId="0" fontId="28"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166" fontId="28" fillId="0" borderId="0" xfId="0" applyNumberFormat="1" applyFont="1" applyFill="1" applyBorder="1" applyAlignment="1" applyProtection="1">
      <alignment horizontal="right" vertical="center" indent="1"/>
      <protection locked="0"/>
    </xf>
    <xf numFmtId="166" fontId="32" fillId="0" borderId="0" xfId="0" applyNumberFormat="1" applyFont="1" applyFill="1" applyBorder="1" applyAlignment="1" applyProtection="1">
      <alignment horizontal="right" vertical="center" indent="1"/>
      <protection locked="0"/>
    </xf>
    <xf numFmtId="0" fontId="38" fillId="0" borderId="0" xfId="0" applyFont="1" applyFill="1" applyBorder="1" applyProtection="1">
      <alignment horizontal="right"/>
      <protection locked="0"/>
    </xf>
    <xf numFmtId="3" fontId="30" fillId="0" borderId="0" xfId="0" applyNumberFormat="1" applyFont="1" applyFill="1" applyBorder="1" applyAlignment="1" applyProtection="1">
      <alignment horizontal="left" vertical="center" indent="1"/>
      <protection locked="0"/>
    </xf>
    <xf numFmtId="166" fontId="30" fillId="0" borderId="0" xfId="0" applyNumberFormat="1" applyFont="1" applyFill="1" applyBorder="1" applyAlignment="1" applyProtection="1">
      <alignment vertical="center"/>
      <protection locked="0"/>
    </xf>
    <xf numFmtId="168" fontId="30"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right" vertical="center" indent="1"/>
      <protection locked="0"/>
    </xf>
    <xf numFmtId="0" fontId="45" fillId="0" borderId="0" xfId="32" applyFont="1" applyFill="1" applyBorder="1" applyAlignment="1" applyProtection="1">
      <alignment horizontal="center"/>
      <protection locked="0"/>
    </xf>
    <xf numFmtId="0" fontId="45" fillId="0" borderId="0" xfId="32" applyFont="1" applyFill="1" applyBorder="1" applyAlignment="1" applyProtection="1">
      <alignment horizontal="left" vertical="top" indent="1"/>
      <protection locked="0"/>
    </xf>
    <xf numFmtId="3" fontId="53" fillId="0" borderId="0" xfId="0" applyNumberFormat="1" applyFont="1" applyFill="1" applyBorder="1" applyAlignment="1" applyProtection="1">
      <alignment horizontal="right" vertical="center" indent="1"/>
      <protection locked="0"/>
    </xf>
    <xf numFmtId="166" fontId="120" fillId="0" borderId="0" xfId="0" applyNumberFormat="1" applyFont="1" applyFill="1" applyBorder="1" applyAlignment="1" applyProtection="1">
      <alignment horizontal="right" vertical="center" indent="1"/>
      <protection locked="0"/>
    </xf>
    <xf numFmtId="0" fontId="73" fillId="0" borderId="0" xfId="0" applyFont="1" applyFill="1" applyBorder="1" applyAlignment="1" applyProtection="1">
      <alignment horizontal="right" vertical="center"/>
      <protection locked="0"/>
    </xf>
    <xf numFmtId="0" fontId="119" fillId="0" borderId="0" xfId="0" applyFont="1" applyFill="1" applyBorder="1" applyProtection="1">
      <alignment horizontal="right"/>
      <protection locked="0"/>
    </xf>
    <xf numFmtId="3" fontId="90" fillId="0" borderId="0" xfId="0" applyNumberFormat="1" applyFont="1" applyFill="1" applyBorder="1" applyAlignment="1" applyProtection="1">
      <alignment horizontal="right" vertical="center" indent="1"/>
      <protection locked="0"/>
    </xf>
    <xf numFmtId="0" fontId="91" fillId="0" borderId="0" xfId="0" applyFont="1" applyFill="1" applyBorder="1" applyAlignment="1" applyProtection="1">
      <alignment horizontal="center" vertical="center"/>
      <protection locked="0"/>
    </xf>
    <xf numFmtId="9" fontId="60" fillId="0" borderId="0" xfId="0" applyNumberFormat="1" applyFont="1" applyFill="1" applyBorder="1" applyAlignment="1" applyProtection="1">
      <alignment horizontal="center" vertical="center"/>
      <protection locked="0"/>
    </xf>
    <xf numFmtId="9" fontId="53" fillId="0" borderId="0" xfId="0" applyNumberFormat="1" applyFont="1" applyFill="1" applyBorder="1" applyAlignment="1" applyProtection="1">
      <alignment horizontal="center" vertical="center"/>
      <protection locked="0"/>
    </xf>
    <xf numFmtId="3" fontId="95" fillId="0" borderId="0" xfId="0" applyNumberFormat="1" applyFont="1" applyFill="1" applyBorder="1" applyAlignment="1" applyProtection="1">
      <alignment horizontal="right" vertical="center" indent="1"/>
      <protection locked="0"/>
    </xf>
    <xf numFmtId="166" fontId="93" fillId="0" borderId="0" xfId="0" applyNumberFormat="1" applyFont="1" applyFill="1" applyBorder="1" applyAlignment="1" applyProtection="1">
      <alignment horizontal="right" vertical="center" indent="1"/>
      <protection locked="0"/>
    </xf>
    <xf numFmtId="0" fontId="16" fillId="0" borderId="0" xfId="0" applyFont="1" applyBorder="1" applyAlignment="1" applyProtection="1">
      <alignment horizontal="left" vertical="center"/>
      <protection locked="0"/>
    </xf>
    <xf numFmtId="0" fontId="95" fillId="0" borderId="0" xfId="32" applyFont="1" applyFill="1" applyBorder="1" applyAlignment="1" applyProtection="1">
      <alignment horizontal="left" vertical="center"/>
      <protection locked="0"/>
    </xf>
    <xf numFmtId="0" fontId="4" fillId="0" borderId="0" xfId="0" applyFont="1" applyFill="1" applyBorder="1" applyAlignment="1" applyProtection="1">
      <alignment horizontal="right" vertical="center"/>
      <protection locked="0"/>
    </xf>
    <xf numFmtId="166" fontId="16" fillId="0" borderId="0" xfId="0" applyNumberFormat="1" applyFont="1" applyBorder="1" applyProtection="1">
      <alignment horizontal="right"/>
      <protection locked="0"/>
    </xf>
    <xf numFmtId="0" fontId="0" fillId="0" borderId="0" xfId="0" applyFill="1" applyBorder="1" applyProtection="1">
      <alignment horizontal="right"/>
      <protection locked="0"/>
    </xf>
    <xf numFmtId="166" fontId="38" fillId="0" borderId="0" xfId="0" applyNumberFormat="1" applyFont="1" applyFill="1" applyBorder="1" applyAlignment="1" applyProtection="1">
      <alignment horizontal="right"/>
      <protection locked="0"/>
    </xf>
    <xf numFmtId="0" fontId="38" fillId="0" borderId="0" xfId="0" applyFont="1" applyFill="1" applyBorder="1" applyAlignment="1" applyProtection="1">
      <alignment horizontal="right"/>
      <protection locked="0"/>
    </xf>
    <xf numFmtId="166" fontId="38" fillId="0" borderId="0" xfId="0" applyNumberFormat="1" applyFont="1" applyBorder="1" applyAlignment="1" applyProtection="1">
      <alignment horizontal="right" indent="1"/>
      <protection locked="0"/>
    </xf>
    <xf numFmtId="3" fontId="37" fillId="0" borderId="0" xfId="0" applyNumberFormat="1" applyFont="1" applyBorder="1" applyAlignment="1" applyProtection="1">
      <alignment horizontal="right" indent="1"/>
      <protection locked="0"/>
    </xf>
    <xf numFmtId="166" fontId="16" fillId="0" borderId="0" xfId="0" applyNumberFormat="1" applyFont="1" applyBorder="1" applyAlignment="1" applyProtection="1">
      <alignment horizontal="center"/>
      <protection locked="0"/>
    </xf>
    <xf numFmtId="0" fontId="55" fillId="0" borderId="0" xfId="0" applyFont="1" applyFill="1" applyBorder="1" applyAlignment="1" applyProtection="1">
      <alignment horizontal="left" vertical="center" indent="1"/>
      <protection locked="0"/>
    </xf>
    <xf numFmtId="0" fontId="55" fillId="0" borderId="0" xfId="0" applyFont="1" applyFill="1" applyBorder="1" applyAlignment="1" applyProtection="1">
      <alignment horizontal="left" indent="1"/>
      <protection locked="0"/>
    </xf>
    <xf numFmtId="3" fontId="38" fillId="0" borderId="0" xfId="0" applyNumberFormat="1" applyFont="1" applyBorder="1" applyAlignment="1" applyProtection="1">
      <alignment horizontal="right" indent="1"/>
      <protection locked="0"/>
    </xf>
    <xf numFmtId="0" fontId="71" fillId="0" borderId="0" xfId="0" applyFont="1" applyBorder="1" applyProtection="1">
      <alignment horizontal="right"/>
      <protection locked="0"/>
    </xf>
    <xf numFmtId="166" fontId="38" fillId="0" borderId="0" xfId="0" applyNumberFormat="1" applyFont="1" applyBorder="1" applyAlignment="1" applyProtection="1">
      <alignment horizontal="right"/>
      <protection locked="0"/>
    </xf>
    <xf numFmtId="0" fontId="38" fillId="0" borderId="0" xfId="0" applyFont="1" applyBorder="1" applyAlignment="1" applyProtection="1">
      <alignment horizontal="right"/>
      <protection locked="0"/>
    </xf>
    <xf numFmtId="3" fontId="38" fillId="0" borderId="0" xfId="0" applyNumberFormat="1" applyFont="1" applyFill="1" applyBorder="1" applyAlignment="1" applyProtection="1">
      <alignment horizontal="right" indent="1"/>
      <protection locked="0"/>
    </xf>
    <xf numFmtId="0" fontId="182" fillId="0" borderId="0" xfId="0" applyFont="1" applyBorder="1" applyAlignment="1" applyProtection="1">
      <alignment horizontal="left" vertical="center"/>
      <protection hidden="1"/>
    </xf>
    <xf numFmtId="0" fontId="123"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168" fontId="36" fillId="0" borderId="0" xfId="0" applyNumberFormat="1" applyFont="1" applyFill="1" applyBorder="1" applyAlignment="1" applyProtection="1">
      <alignment horizontal="center" vertical="center"/>
      <protection locked="0"/>
    </xf>
    <xf numFmtId="168" fontId="16" fillId="0" borderId="0" xfId="0" applyNumberFormat="1" applyFont="1" applyFill="1" applyBorder="1" applyProtection="1">
      <alignment horizontal="right"/>
      <protection locked="0"/>
    </xf>
    <xf numFmtId="166" fontId="16" fillId="31" borderId="0" xfId="0" applyNumberFormat="1" applyFont="1" applyFill="1" applyBorder="1" applyAlignment="1" applyProtection="1">
      <alignment horizontal="centerContinuous"/>
      <protection locked="0"/>
    </xf>
    <xf numFmtId="168" fontId="16" fillId="0" borderId="0" xfId="0" applyNumberFormat="1" applyFont="1" applyFill="1" applyBorder="1" applyAlignment="1" applyProtection="1">
      <alignment horizontal="centerContinuous"/>
      <protection locked="0"/>
    </xf>
    <xf numFmtId="10" fontId="16" fillId="31" borderId="0" xfId="0" applyNumberFormat="1" applyFont="1" applyFill="1" applyBorder="1" applyAlignment="1" applyProtection="1">
      <alignment horizontal="left"/>
      <protection locked="0"/>
    </xf>
    <xf numFmtId="0" fontId="22" fillId="0" borderId="0" xfId="0" applyNumberFormat="1" applyFont="1" applyFill="1" applyBorder="1" applyAlignment="1" applyProtection="1">
      <alignment horizontal="left"/>
      <protection locked="0"/>
    </xf>
    <xf numFmtId="1" fontId="22" fillId="0" borderId="0" xfId="0" applyNumberFormat="1" applyFont="1" applyFill="1" applyBorder="1" applyAlignment="1" applyProtection="1">
      <alignment horizontal="left"/>
      <protection locked="0"/>
    </xf>
    <xf numFmtId="0" fontId="31" fillId="0" borderId="0" xfId="0" applyFont="1" applyFill="1" applyBorder="1" applyAlignment="1" applyProtection="1">
      <alignment horizontal="right" vertical="center"/>
      <protection locked="0"/>
    </xf>
    <xf numFmtId="168" fontId="55" fillId="0" borderId="0" xfId="0" applyNumberFormat="1" applyFont="1" applyFill="1" applyBorder="1" applyAlignment="1" applyProtection="1">
      <alignment horizontal="center"/>
      <protection locked="0"/>
    </xf>
    <xf numFmtId="168" fontId="16" fillId="0" borderId="0" xfId="0" applyNumberFormat="1" applyFont="1" applyFill="1" applyBorder="1" applyAlignment="1" applyProtection="1">
      <alignment horizontal="center"/>
      <protection locked="0"/>
    </xf>
    <xf numFmtId="168" fontId="39" fillId="0" borderId="0" xfId="0" applyNumberFormat="1" applyFont="1" applyFill="1" applyBorder="1" applyAlignment="1" applyProtection="1">
      <alignment horizontal="left" vertical="center"/>
      <protection locked="0"/>
    </xf>
    <xf numFmtId="168" fontId="39" fillId="0" borderId="0" xfId="0" applyNumberFormat="1" applyFont="1" applyFill="1" applyBorder="1" applyAlignment="1" applyProtection="1">
      <alignment vertical="center"/>
      <protection locked="0"/>
    </xf>
    <xf numFmtId="168" fontId="23" fillId="0" borderId="0" xfId="0" applyNumberFormat="1" applyFont="1" applyFill="1" applyBorder="1" applyAlignment="1" applyProtection="1">
      <alignment horizontal="center" vertical="center"/>
      <protection locked="0"/>
    </xf>
    <xf numFmtId="168" fontId="25"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right" indent="1"/>
      <protection locked="0"/>
    </xf>
    <xf numFmtId="0" fontId="55" fillId="0" borderId="0" xfId="0" applyFont="1" applyBorder="1" applyAlignment="1" applyProtection="1">
      <alignment horizontal="right" vertical="center"/>
      <protection locked="0"/>
    </xf>
    <xf numFmtId="0" fontId="55" fillId="32" borderId="0" xfId="0" applyFont="1" applyFill="1" applyBorder="1" applyProtection="1">
      <alignment horizontal="right"/>
      <protection locked="0"/>
    </xf>
    <xf numFmtId="168" fontId="23" fillId="0" borderId="0" xfId="0" applyNumberFormat="1" applyFont="1" applyFill="1" applyBorder="1" applyAlignment="1" applyProtection="1">
      <alignment horizontal="right" vertical="center"/>
      <protection locked="0"/>
    </xf>
    <xf numFmtId="168" fontId="114" fillId="0" borderId="0" xfId="0" applyNumberFormat="1" applyFont="1" applyFill="1" applyBorder="1" applyAlignment="1" applyProtection="1">
      <alignment horizontal="center" vertical="center"/>
      <protection locked="0"/>
    </xf>
    <xf numFmtId="168" fontId="114" fillId="0" borderId="0" xfId="0" applyNumberFormat="1" applyFont="1" applyFill="1" applyBorder="1" applyAlignment="1" applyProtection="1">
      <alignment horizontal="right" vertical="center"/>
      <protection locked="0"/>
    </xf>
    <xf numFmtId="0" fontId="60" fillId="0" borderId="0" xfId="0" applyFont="1" applyBorder="1" applyProtection="1">
      <alignment horizontal="right"/>
      <protection locked="0"/>
    </xf>
    <xf numFmtId="168" fontId="60" fillId="0" borderId="0" xfId="0" applyNumberFormat="1" applyFont="1" applyFill="1" applyBorder="1" applyAlignment="1" applyProtection="1">
      <alignment horizontal="center" vertical="center"/>
      <protection locked="0"/>
    </xf>
    <xf numFmtId="168" fontId="60" fillId="0" borderId="0" xfId="0" applyNumberFormat="1" applyFont="1" applyFill="1" applyBorder="1" applyAlignment="1" applyProtection="1">
      <alignment horizontal="right" vertical="center"/>
      <protection locked="0"/>
    </xf>
    <xf numFmtId="0" fontId="115" fillId="0" borderId="0" xfId="0" applyFont="1" applyBorder="1" applyProtection="1">
      <alignment horizontal="right"/>
      <protection locked="0"/>
    </xf>
    <xf numFmtId="183" fontId="20" fillId="0" borderId="0" xfId="0" applyNumberFormat="1" applyFont="1" applyFill="1" applyBorder="1" applyAlignment="1" applyProtection="1">
      <alignment horizontal="center" vertical="center"/>
      <protection locked="0"/>
    </xf>
    <xf numFmtId="9" fontId="20" fillId="0" borderId="0" xfId="0" applyNumberFormat="1" applyFont="1" applyFill="1" applyBorder="1" applyAlignment="1" applyProtection="1">
      <alignment horizontal="center" vertical="center"/>
      <protection locked="0"/>
    </xf>
    <xf numFmtId="168" fontId="16" fillId="0" borderId="0" xfId="0" applyNumberFormat="1" applyFont="1" applyFill="1" applyBorder="1" applyAlignment="1" applyProtection="1">
      <alignment horizontal="center" vertical="center"/>
      <protection locked="0"/>
    </xf>
    <xf numFmtId="169" fontId="25" fillId="0" borderId="0" xfId="0" applyNumberFormat="1" applyFont="1" applyFill="1" applyBorder="1" applyAlignment="1" applyProtection="1">
      <alignment horizontal="right" indent="1"/>
      <protection locked="0"/>
    </xf>
    <xf numFmtId="169" fontId="96" fillId="0" borderId="0" xfId="0" applyNumberFormat="1" applyFont="1" applyFill="1" applyBorder="1" applyAlignment="1" applyProtection="1">
      <alignment horizontal="center"/>
      <protection locked="0"/>
    </xf>
    <xf numFmtId="169" fontId="25" fillId="0" borderId="0" xfId="0" applyNumberFormat="1" applyFont="1" applyFill="1" applyBorder="1" applyAlignment="1" applyProtection="1">
      <alignment horizontal="center"/>
      <protection locked="0"/>
    </xf>
    <xf numFmtId="0" fontId="92" fillId="0" borderId="0" xfId="0" applyFont="1" applyBorder="1" applyProtection="1">
      <alignment horizontal="right"/>
      <protection locked="0"/>
    </xf>
    <xf numFmtId="0" fontId="25" fillId="0" borderId="0" xfId="0" applyFont="1" applyFill="1" applyBorder="1" applyAlignment="1" applyProtection="1">
      <alignment horizontal="right" indent="1"/>
      <protection locked="0"/>
    </xf>
    <xf numFmtId="0" fontId="0" fillId="0" borderId="0" xfId="0" applyBorder="1" applyAlignment="1" applyProtection="1">
      <alignment vertical="center"/>
      <protection locked="0"/>
    </xf>
    <xf numFmtId="0" fontId="38" fillId="0" borderId="0" xfId="0" applyFont="1" applyFill="1" applyBorder="1" applyAlignment="1" applyProtection="1">
      <alignment horizontal="right" indent="1"/>
      <protection locked="0"/>
    </xf>
    <xf numFmtId="165" fontId="55" fillId="0" borderId="0" xfId="0" applyNumberFormat="1" applyFont="1" applyBorder="1" applyAlignment="1" applyProtection="1">
      <alignment horizontal="center"/>
      <protection locked="0"/>
    </xf>
    <xf numFmtId="166" fontId="16" fillId="0" borderId="0" xfId="0" applyNumberFormat="1" applyFont="1" applyBorder="1" applyAlignment="1" applyProtection="1">
      <alignment vertical="center"/>
      <protection locked="0"/>
    </xf>
    <xf numFmtId="0" fontId="19" fillId="0" borderId="0" xfId="0" applyFont="1" applyFill="1" applyBorder="1" applyAlignment="1" applyProtection="1">
      <alignment horizontal="center"/>
      <protection locked="0"/>
    </xf>
    <xf numFmtId="166" fontId="37" fillId="0" borderId="0" xfId="0" applyNumberFormat="1" applyFont="1" applyBorder="1" applyAlignment="1" applyProtection="1">
      <alignment vertical="center"/>
      <protection locked="0"/>
    </xf>
    <xf numFmtId="168" fontId="16" fillId="0" borderId="0" xfId="0" applyNumberFormat="1" applyFont="1" applyBorder="1" applyAlignment="1" applyProtection="1">
      <alignment horizontal="center"/>
      <protection locked="0"/>
    </xf>
    <xf numFmtId="166" fontId="39" fillId="0" borderId="0" xfId="0" applyNumberFormat="1" applyFont="1" applyFill="1" applyBorder="1" applyAlignment="1" applyProtection="1">
      <alignment vertical="center"/>
      <protection locked="0"/>
    </xf>
    <xf numFmtId="0" fontId="18" fillId="0" borderId="0" xfId="0" applyFont="1" applyBorder="1" applyProtection="1">
      <alignment horizontal="right"/>
      <protection locked="0"/>
    </xf>
    <xf numFmtId="0" fontId="39" fillId="0" borderId="0" xfId="0" applyFont="1" applyFill="1" applyBorder="1" applyAlignment="1" applyProtection="1">
      <alignment horizontal="right" vertical="center" indent="1"/>
      <protection locked="0"/>
    </xf>
    <xf numFmtId="166" fontId="16" fillId="0" borderId="0" xfId="0" applyNumberFormat="1" applyFont="1" applyBorder="1" applyAlignment="1" applyProtection="1">
      <alignment vertical="center"/>
      <protection locked="0" hidden="1"/>
    </xf>
    <xf numFmtId="0" fontId="152" fillId="0" borderId="0" xfId="0" applyFont="1" applyBorder="1" applyProtection="1">
      <alignment horizontal="right"/>
      <protection locked="0"/>
    </xf>
    <xf numFmtId="0" fontId="158" fillId="0" borderId="0" xfId="0" applyFont="1" applyBorder="1" applyProtection="1">
      <alignment horizontal="right"/>
      <protection locked="0"/>
    </xf>
    <xf numFmtId="0" fontId="28" fillId="0" borderId="0" xfId="0" applyFont="1" applyFill="1" applyBorder="1" applyAlignment="1" applyProtection="1">
      <alignment horizontal="left" indent="2"/>
      <protection locked="0"/>
    </xf>
    <xf numFmtId="3" fontId="16" fillId="0" borderId="0" xfId="0" applyNumberFormat="1" applyFont="1" applyBorder="1" applyAlignment="1" applyProtection="1">
      <alignment horizontal="right" vertical="center" indent="1"/>
      <protection locked="0"/>
    </xf>
    <xf numFmtId="0" fontId="4" fillId="0" borderId="0" xfId="0" applyFont="1" applyBorder="1" applyProtection="1">
      <alignment horizontal="right"/>
      <protection locked="0"/>
    </xf>
    <xf numFmtId="3" fontId="148" fillId="0" borderId="0" xfId="0" applyNumberFormat="1" applyFont="1" applyFill="1" applyBorder="1" applyAlignment="1" applyProtection="1">
      <alignment horizontal="right" vertical="center" indent="1"/>
      <protection locked="0"/>
    </xf>
    <xf numFmtId="3" fontId="16" fillId="0" borderId="0" xfId="0" applyNumberFormat="1" applyFont="1" applyBorder="1" applyAlignment="1" applyProtection="1">
      <alignment horizontal="right" indent="1"/>
      <protection locked="0"/>
    </xf>
    <xf numFmtId="3" fontId="16" fillId="0" borderId="0" xfId="0" applyNumberFormat="1" applyFont="1" applyBorder="1" applyAlignment="1" applyProtection="1">
      <alignment horizontal="center"/>
      <protection locked="0"/>
    </xf>
    <xf numFmtId="3" fontId="52" fillId="0" borderId="0" xfId="0" applyNumberFormat="1" applyFont="1" applyFill="1" applyBorder="1" applyAlignment="1" applyProtection="1">
      <alignment horizontal="right" vertical="center"/>
      <protection locked="0"/>
    </xf>
    <xf numFmtId="168" fontId="56" fillId="0" borderId="0" xfId="0" applyNumberFormat="1" applyFont="1" applyFill="1" applyBorder="1" applyAlignment="1" applyProtection="1">
      <alignment horizontal="center" vertical="center"/>
      <protection locked="0"/>
    </xf>
    <xf numFmtId="168" fontId="72" fillId="0" borderId="0" xfId="0" applyNumberFormat="1" applyFont="1" applyFill="1" applyBorder="1" applyAlignment="1" applyProtection="1">
      <alignment horizontal="center" vertical="center"/>
      <protection locked="0"/>
    </xf>
    <xf numFmtId="3"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168" fontId="38" fillId="0" borderId="0" xfId="0" applyNumberFormat="1" applyFont="1" applyBorder="1" applyAlignment="1" applyProtection="1">
      <alignment horizontal="center" vertical="center"/>
      <protection locked="0"/>
    </xf>
    <xf numFmtId="168" fontId="38" fillId="0" borderId="0" xfId="0" applyNumberFormat="1" applyFont="1" applyFill="1" applyBorder="1" applyAlignment="1" applyProtection="1">
      <alignment horizontal="center" vertical="center"/>
      <protection locked="0"/>
    </xf>
    <xf numFmtId="3" fontId="130" fillId="0" borderId="0" xfId="0" applyNumberFormat="1" applyFont="1" applyBorder="1" applyAlignment="1" applyProtection="1">
      <alignment horizontal="right" vertical="center"/>
      <protection locked="0"/>
    </xf>
    <xf numFmtId="168" fontId="130" fillId="0" borderId="0" xfId="0" applyNumberFormat="1" applyFont="1" applyBorder="1" applyAlignment="1" applyProtection="1">
      <alignment horizontal="center" vertical="center"/>
      <protection locked="0"/>
    </xf>
    <xf numFmtId="168" fontId="37" fillId="0" borderId="0" xfId="0" applyNumberFormat="1" applyFont="1" applyFill="1" applyBorder="1" applyAlignment="1" applyProtection="1">
      <alignment horizontal="center" vertical="center"/>
      <protection locked="0"/>
    </xf>
    <xf numFmtId="168"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right" vertical="center"/>
      <protection locked="0"/>
    </xf>
    <xf numFmtId="3" fontId="65" fillId="0" borderId="0" xfId="0" applyNumberFormat="1" applyFont="1" applyBorder="1" applyAlignment="1" applyProtection="1">
      <alignment horizontal="right" indent="1"/>
      <protection locked="0"/>
    </xf>
    <xf numFmtId="3" fontId="16" fillId="0" borderId="0" xfId="0" applyNumberFormat="1" applyFont="1" applyBorder="1" applyAlignment="1" applyProtection="1">
      <alignment horizontal="right" vertical="center"/>
      <protection locked="0"/>
    </xf>
    <xf numFmtId="168" fontId="16" fillId="0" borderId="0" xfId="0" applyNumberFormat="1" applyFont="1" applyBorder="1" applyAlignment="1" applyProtection="1">
      <alignment horizontal="center" vertical="center"/>
      <protection locked="0"/>
    </xf>
    <xf numFmtId="3" fontId="65" fillId="0" borderId="0" xfId="0" applyNumberFormat="1" applyFont="1" applyBorder="1" applyAlignment="1" applyProtection="1">
      <alignment horizontal="right" vertical="center"/>
      <protection locked="0"/>
    </xf>
    <xf numFmtId="168" fontId="65" fillId="0" borderId="0" xfId="0" applyNumberFormat="1" applyFont="1" applyBorder="1" applyAlignment="1" applyProtection="1">
      <alignment horizontal="center" vertical="center"/>
      <protection locked="0"/>
    </xf>
    <xf numFmtId="168" fontId="71" fillId="0" borderId="0" xfId="0" applyNumberFormat="1"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right" indent="1"/>
      <protection locked="0"/>
    </xf>
    <xf numFmtId="3" fontId="18" fillId="0" borderId="0" xfId="0" applyNumberFormat="1" applyFont="1" applyBorder="1" applyAlignment="1" applyProtection="1">
      <alignment horizontal="right" indent="1"/>
      <protection locked="0"/>
    </xf>
    <xf numFmtId="3" fontId="37" fillId="0" borderId="0" xfId="0" applyNumberFormat="1" applyFont="1" applyFill="1" applyBorder="1" applyAlignment="1" applyProtection="1">
      <alignment horizontal="center" vertical="center" wrapText="1"/>
      <protection locked="0"/>
    </xf>
    <xf numFmtId="168" fontId="31" fillId="0" borderId="0" xfId="0" applyNumberFormat="1" applyFont="1" applyBorder="1" applyAlignment="1" applyProtection="1">
      <alignment horizontal="center"/>
      <protection locked="0"/>
    </xf>
    <xf numFmtId="3" fontId="52" fillId="0" borderId="0" xfId="0" applyNumberFormat="1" applyFont="1" applyFill="1" applyBorder="1" applyAlignment="1" applyProtection="1">
      <alignment horizontal="center" vertical="center"/>
      <protection locked="0"/>
    </xf>
    <xf numFmtId="3" fontId="31" fillId="0" borderId="0" xfId="0" applyNumberFormat="1" applyFont="1" applyBorder="1" applyAlignment="1" applyProtection="1">
      <alignment horizontal="right" vertical="center" indent="1"/>
      <protection locked="0"/>
    </xf>
    <xf numFmtId="0" fontId="65" fillId="0" borderId="0" xfId="0" applyFont="1" applyBorder="1" applyAlignment="1" applyProtection="1">
      <alignment horizontal="right" vertical="center"/>
      <protection locked="0"/>
    </xf>
    <xf numFmtId="3" fontId="116" fillId="0" borderId="0" xfId="0" applyNumberFormat="1" applyFont="1" applyBorder="1" applyAlignment="1" applyProtection="1">
      <alignment horizontal="right" vertical="center" indent="1"/>
      <protection locked="0"/>
    </xf>
    <xf numFmtId="3" fontId="25" fillId="0" borderId="0" xfId="0" applyNumberFormat="1" applyFont="1" applyBorder="1" applyAlignment="1" applyProtection="1">
      <alignment horizontal="right" indent="1"/>
      <protection locked="0"/>
    </xf>
    <xf numFmtId="168" fontId="60" fillId="0" borderId="0" xfId="0" applyNumberFormat="1" applyFont="1" applyBorder="1" applyAlignment="1" applyProtection="1">
      <alignment horizontal="center" vertical="center"/>
      <protection hidden="1"/>
    </xf>
    <xf numFmtId="0" fontId="16" fillId="0" borderId="0" xfId="0" applyFont="1" applyFill="1" applyBorder="1" applyAlignment="1" applyProtection="1">
      <alignment horizontal="left" indent="1"/>
      <protection locked="0"/>
    </xf>
    <xf numFmtId="0" fontId="16" fillId="0" borderId="0" xfId="0" applyFont="1" applyFill="1" applyBorder="1" applyAlignment="1" applyProtection="1">
      <alignment horizontal="center"/>
      <protection locked="0"/>
    </xf>
    <xf numFmtId="0" fontId="68" fillId="0" borderId="0" xfId="0" applyFont="1" applyFill="1" applyBorder="1" applyProtection="1">
      <alignment horizontal="right"/>
      <protection locked="0"/>
    </xf>
    <xf numFmtId="168" fontId="20" fillId="0" borderId="0" xfId="0" applyNumberFormat="1" applyFont="1" applyFill="1" applyBorder="1" applyAlignment="1" applyProtection="1">
      <alignment horizontal="center" vertical="center"/>
      <protection locked="0"/>
    </xf>
    <xf numFmtId="0" fontId="68" fillId="0" borderId="0" xfId="0" applyFont="1" applyBorder="1" applyAlignment="1" applyProtection="1">
      <alignment horizontal="center"/>
      <protection locked="0"/>
    </xf>
    <xf numFmtId="0" fontId="18" fillId="31" borderId="0" xfId="0" applyFont="1" applyFill="1" applyBorder="1" applyAlignment="1" applyProtection="1">
      <alignment horizontal="centerContinuous"/>
      <protection locked="0"/>
    </xf>
    <xf numFmtId="168" fontId="16" fillId="31" borderId="0" xfId="0" applyNumberFormat="1" applyFont="1" applyFill="1" applyBorder="1" applyAlignment="1" applyProtection="1">
      <alignment horizontal="centerContinuous" vertical="center"/>
      <protection locked="0"/>
    </xf>
    <xf numFmtId="0" fontId="68" fillId="31" borderId="0" xfId="0" applyFont="1" applyFill="1" applyBorder="1" applyAlignment="1" applyProtection="1">
      <alignment horizontal="center"/>
      <protection locked="0"/>
    </xf>
    <xf numFmtId="0" fontId="16" fillId="31" borderId="0" xfId="0" applyFont="1" applyFill="1" applyBorder="1" applyAlignment="1" applyProtection="1">
      <alignment horizontal="center"/>
      <protection locked="0"/>
    </xf>
    <xf numFmtId="168" fontId="16" fillId="0" borderId="0" xfId="0" applyNumberFormat="1" applyFont="1" applyBorder="1" applyAlignment="1" applyProtection="1">
      <alignment horizontal="right" vertical="center"/>
      <protection locked="0"/>
    </xf>
    <xf numFmtId="0" fontId="16" fillId="0" borderId="0" xfId="0" applyFont="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168" fontId="18" fillId="0" borderId="0" xfId="0" applyNumberFormat="1" applyFont="1" applyBorder="1" applyAlignment="1" applyProtection="1">
      <alignment horizontal="center"/>
      <protection locked="0"/>
    </xf>
    <xf numFmtId="166" fontId="18" fillId="0" borderId="0" xfId="0" applyNumberFormat="1" applyFont="1" applyBorder="1" applyAlignment="1" applyProtection="1">
      <alignment horizontal="right" vertical="center"/>
      <protection locked="0"/>
    </xf>
    <xf numFmtId="168" fontId="18" fillId="0" borderId="0" xfId="0" applyNumberFormat="1" applyFont="1" applyBorder="1" applyAlignment="1" applyProtection="1">
      <alignment horizontal="center" vertical="center"/>
      <protection locked="0"/>
    </xf>
    <xf numFmtId="0" fontId="16" fillId="0" borderId="0" xfId="0" applyFont="1" applyBorder="1" applyAlignment="1" applyProtection="1">
      <protection locked="0"/>
    </xf>
    <xf numFmtId="2" fontId="64" fillId="0" borderId="0" xfId="0" applyNumberFormat="1" applyFont="1" applyFill="1" applyBorder="1" applyAlignment="1" applyProtection="1">
      <alignment horizontal="center"/>
      <protection locked="0" hidden="1"/>
    </xf>
    <xf numFmtId="1" fontId="20" fillId="0" borderId="0" xfId="0" applyNumberFormat="1" applyFont="1" applyFill="1" applyBorder="1" applyAlignment="1" applyProtection="1">
      <alignment horizontal="center" vertical="center"/>
      <protection locked="0"/>
    </xf>
    <xf numFmtId="174" fontId="20" fillId="0" borderId="0" xfId="0" applyNumberFormat="1" applyFont="1" applyFill="1" applyBorder="1" applyAlignment="1" applyProtection="1">
      <alignment horizontal="center" vertical="center"/>
      <protection locked="0"/>
    </xf>
    <xf numFmtId="0" fontId="31" fillId="0" borderId="0" xfId="0" applyFont="1" applyBorder="1" applyAlignment="1" applyProtection="1">
      <alignment vertical="center"/>
      <protection locked="0"/>
    </xf>
    <xf numFmtId="168" fontId="48" fillId="0" borderId="0" xfId="0" applyNumberFormat="1" applyFont="1" applyFill="1" applyBorder="1" applyAlignment="1" applyProtection="1">
      <alignment vertical="center"/>
      <protection locked="0"/>
    </xf>
    <xf numFmtId="168" fontId="18" fillId="0" borderId="0" xfId="0" applyNumberFormat="1" applyFont="1" applyFill="1" applyBorder="1" applyAlignment="1" applyProtection="1">
      <alignment horizontal="center" vertical="center"/>
      <protection locked="0"/>
    </xf>
    <xf numFmtId="173" fontId="16" fillId="0" borderId="0" xfId="0" applyNumberFormat="1" applyFont="1" applyBorder="1" applyAlignment="1" applyProtection="1">
      <alignment horizontal="center"/>
      <protection locked="0"/>
    </xf>
    <xf numFmtId="173" fontId="31" fillId="0" borderId="0" xfId="0" applyNumberFormat="1" applyFont="1" applyBorder="1" applyAlignment="1" applyProtection="1">
      <alignment horizontal="center"/>
      <protection locked="0"/>
    </xf>
    <xf numFmtId="169" fontId="16" fillId="0" borderId="0" xfId="0" applyNumberFormat="1" applyFont="1" applyBorder="1" applyAlignment="1" applyProtection="1">
      <alignment horizontal="center"/>
      <protection locked="0"/>
    </xf>
    <xf numFmtId="169" fontId="31" fillId="0" borderId="0" xfId="0" applyNumberFormat="1" applyFont="1" applyBorder="1" applyAlignment="1" applyProtection="1">
      <alignment horizontal="center"/>
      <protection locked="0"/>
    </xf>
    <xf numFmtId="169" fontId="16" fillId="0" borderId="0" xfId="0" applyNumberFormat="1" applyFont="1" applyFill="1" applyBorder="1" applyAlignment="1" applyProtection="1">
      <alignment horizontal="center"/>
      <protection locked="0"/>
    </xf>
    <xf numFmtId="0" fontId="18" fillId="0" borderId="0" xfId="0" applyFont="1" applyBorder="1" applyAlignment="1" applyProtection="1">
      <alignment horizontal="right" vertical="center"/>
      <protection locked="0"/>
    </xf>
    <xf numFmtId="1" fontId="18" fillId="0" borderId="0" xfId="0" applyNumberFormat="1" applyFont="1" applyFill="1" applyBorder="1" applyAlignment="1" applyProtection="1">
      <alignment horizontal="center" vertical="center"/>
      <protection locked="0"/>
    </xf>
    <xf numFmtId="1" fontId="18" fillId="0" borderId="0" xfId="0" applyNumberFormat="1" applyFont="1" applyBorder="1" applyAlignment="1" applyProtection="1">
      <alignment horizontal="center" vertical="center"/>
      <protection locked="0"/>
    </xf>
    <xf numFmtId="0" fontId="53" fillId="0" borderId="0" xfId="0" applyFont="1" applyBorder="1" applyAlignment="1" applyProtection="1">
      <alignment horizontal="right" vertical="center"/>
      <protection locked="0"/>
    </xf>
    <xf numFmtId="168" fontId="53" fillId="0" borderId="0" xfId="0" applyNumberFormat="1" applyFont="1" applyFill="1" applyBorder="1" applyAlignment="1" applyProtection="1">
      <alignment horizontal="center" vertical="center"/>
      <protection locked="0"/>
    </xf>
    <xf numFmtId="168" fontId="53" fillId="0" borderId="0" xfId="0" applyNumberFormat="1" applyFont="1" applyBorder="1" applyAlignment="1" applyProtection="1">
      <alignment horizontal="center" vertical="center"/>
      <protection locked="0"/>
    </xf>
    <xf numFmtId="0" fontId="60" fillId="0" borderId="0" xfId="0" applyFont="1" applyBorder="1" applyAlignment="1" applyProtection="1">
      <alignment horizontal="center"/>
      <protection locked="0"/>
    </xf>
    <xf numFmtId="0" fontId="92" fillId="0" borderId="0" xfId="0" applyFont="1" applyBorder="1" applyAlignment="1" applyProtection="1">
      <alignment horizontal="left" vertical="center" indent="1"/>
      <protection locked="0"/>
    </xf>
    <xf numFmtId="0" fontId="55" fillId="0" borderId="0" xfId="0" applyFont="1" applyBorder="1" applyAlignment="1" applyProtection="1">
      <alignment vertical="center"/>
      <protection locked="0"/>
    </xf>
    <xf numFmtId="166" fontId="108" fillId="0" borderId="0" xfId="0" applyNumberFormat="1" applyFont="1" applyFill="1" applyBorder="1" applyAlignment="1" applyProtection="1">
      <alignment horizontal="right" vertical="center"/>
      <protection locked="0"/>
    </xf>
    <xf numFmtId="1" fontId="16" fillId="0" borderId="0" xfId="0" applyNumberFormat="1" applyFont="1" applyBorder="1" applyAlignment="1" applyProtection="1">
      <alignment horizontal="center"/>
      <protection locked="0"/>
    </xf>
    <xf numFmtId="0" fontId="47" fillId="0" borderId="0" xfId="0" applyFont="1" applyFill="1" applyBorder="1" applyAlignment="1" applyProtection="1">
      <alignment horizontal="left"/>
      <protection locked="0"/>
    </xf>
    <xf numFmtId="168" fontId="182" fillId="0" borderId="0" xfId="0" applyNumberFormat="1" applyFont="1" applyFill="1" applyBorder="1" applyAlignment="1" applyProtection="1">
      <alignment horizontal="center"/>
      <protection locked="0"/>
    </xf>
    <xf numFmtId="0" fontId="182" fillId="0" borderId="0" xfId="0" applyFont="1" applyFill="1" applyBorder="1" applyProtection="1">
      <alignment horizontal="right"/>
      <protection locked="0"/>
    </xf>
    <xf numFmtId="166" fontId="26" fillId="0" borderId="0" xfId="0" applyNumberFormat="1" applyFont="1" applyFill="1" applyBorder="1" applyAlignment="1" applyProtection="1">
      <alignment horizontal="right" vertical="center"/>
      <protection locked="0"/>
    </xf>
    <xf numFmtId="0" fontId="130" fillId="0" borderId="0" xfId="0" applyFont="1" applyBorder="1" applyProtection="1">
      <alignment horizontal="right"/>
      <protection locked="0"/>
    </xf>
    <xf numFmtId="0" fontId="65" fillId="0" borderId="0" xfId="0" applyFont="1" applyBorder="1" applyProtection="1">
      <alignment horizontal="right"/>
      <protection locked="0"/>
    </xf>
    <xf numFmtId="0" fontId="16"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55" fillId="0" borderId="0" xfId="0" applyFont="1" applyBorder="1" applyProtection="1">
      <alignment horizontal="right"/>
      <protection hidden="1"/>
    </xf>
    <xf numFmtId="0" fontId="16" fillId="0" borderId="0" xfId="0" applyFont="1" applyBorder="1" applyAlignment="1" applyProtection="1">
      <alignment horizontal="right" indent="1"/>
      <protection hidden="1"/>
    </xf>
    <xf numFmtId="0" fontId="19" fillId="0" borderId="0" xfId="0" applyFont="1" applyFill="1" applyBorder="1" applyAlignment="1" applyProtection="1">
      <alignment horizontal="center" vertical="center" textRotation="90"/>
      <protection hidden="1"/>
    </xf>
    <xf numFmtId="0" fontId="18" fillId="0" borderId="0" xfId="0" applyFont="1" applyFill="1" applyBorder="1" applyAlignment="1" applyProtection="1">
      <alignment horizontal="right" vertical="center" indent="1"/>
      <protection hidden="1"/>
    </xf>
    <xf numFmtId="0" fontId="16" fillId="0" borderId="0" xfId="0" applyFont="1" applyBorder="1" applyAlignment="1">
      <alignment vertical="center"/>
    </xf>
    <xf numFmtId="0" fontId="16" fillId="0" borderId="0" xfId="0" applyFont="1" applyBorder="1" applyAlignment="1"/>
    <xf numFmtId="0" fontId="37" fillId="0" borderId="0" xfId="0" applyFont="1" applyBorder="1" applyAlignment="1">
      <alignment vertical="center"/>
    </xf>
    <xf numFmtId="0" fontId="37" fillId="0" borderId="0" xfId="0" applyFont="1" applyBorder="1" applyAlignment="1">
      <alignment horizontal="center" vertical="center"/>
    </xf>
    <xf numFmtId="0" fontId="23"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vertical="center"/>
    </xf>
    <xf numFmtId="0" fontId="16" fillId="0" borderId="0" xfId="0" quotePrefix="1" applyFont="1" applyBorder="1" applyProtection="1">
      <alignment horizontal="right"/>
      <protection locked="0"/>
    </xf>
    <xf numFmtId="0" fontId="188" fillId="0" borderId="0" xfId="0" applyFont="1" applyBorder="1" applyAlignment="1" applyProtection="1">
      <protection locked="0"/>
    </xf>
    <xf numFmtId="0" fontId="188" fillId="0" borderId="0" xfId="0" applyFont="1" applyBorder="1" applyAlignment="1" applyProtection="1">
      <alignment horizontal="center" vertical="center"/>
      <protection locked="0"/>
    </xf>
    <xf numFmtId="0" fontId="70" fillId="0" borderId="0" xfId="0" applyFont="1" applyBorder="1" applyAlignment="1" applyProtection="1">
      <alignment horizontal="left" vertical="center" indent="1"/>
      <protection hidden="1"/>
    </xf>
    <xf numFmtId="0" fontId="70" fillId="0" borderId="0" xfId="0" applyFont="1" applyBorder="1" applyAlignment="1" applyProtection="1">
      <alignment horizontal="left" vertical="center"/>
      <protection hidden="1"/>
    </xf>
    <xf numFmtId="166" fontId="109" fillId="0" borderId="0" xfId="0" applyNumberFormat="1" applyFont="1" applyBorder="1" applyAlignment="1" applyProtection="1">
      <alignment vertical="center"/>
      <protection hidden="1"/>
    </xf>
    <xf numFmtId="3" fontId="199" fillId="0" borderId="0" xfId="0" applyNumberFormat="1" applyFont="1" applyBorder="1" applyAlignment="1" applyProtection="1">
      <alignment horizontal="right" vertical="center"/>
      <protection locked="0"/>
    </xf>
    <xf numFmtId="168" fontId="199" fillId="0" borderId="0" xfId="0" applyNumberFormat="1" applyFont="1" applyBorder="1" applyAlignment="1" applyProtection="1">
      <alignment horizontal="center" vertical="center"/>
      <protection locked="0"/>
    </xf>
    <xf numFmtId="168" fontId="71" fillId="0" borderId="0" xfId="0" applyNumberFormat="1" applyFont="1" applyFill="1" applyBorder="1" applyAlignment="1" applyProtection="1">
      <alignment horizontal="center" vertical="center"/>
      <protection hidden="1"/>
    </xf>
    <xf numFmtId="0" fontId="182" fillId="0" borderId="0" xfId="0" applyFont="1" applyBorder="1" applyAlignment="1" applyProtection="1">
      <alignment horizontal="right" indent="1"/>
      <protection hidden="1"/>
    </xf>
    <xf numFmtId="166" fontId="181" fillId="0" borderId="0" xfId="0" applyNumberFormat="1" applyFont="1" applyFill="1" applyBorder="1" applyProtection="1">
      <alignment horizontal="right"/>
      <protection locked="0"/>
    </xf>
    <xf numFmtId="0" fontId="182" fillId="0" borderId="0" xfId="0" applyFont="1" applyBorder="1" applyProtection="1">
      <alignment horizontal="right"/>
      <protection locked="0"/>
    </xf>
    <xf numFmtId="0" fontId="200" fillId="0" borderId="0" xfId="0" applyFont="1" applyFill="1" applyBorder="1" applyAlignment="1" applyProtection="1">
      <alignment horizontal="right" vertical="center" indent="1"/>
      <protection hidden="1"/>
    </xf>
    <xf numFmtId="0" fontId="201" fillId="0" borderId="0" xfId="0" applyFont="1" applyFill="1" applyBorder="1" applyAlignment="1" applyProtection="1">
      <alignment horizontal="center" vertical="center"/>
      <protection locked="0"/>
    </xf>
    <xf numFmtId="0" fontId="201" fillId="0" borderId="0" xfId="0" applyFont="1" applyFill="1" applyBorder="1" applyAlignment="1" applyProtection="1">
      <alignment vertical="center"/>
      <protection locked="0"/>
    </xf>
    <xf numFmtId="0" fontId="0" fillId="0" borderId="0" xfId="0" applyBorder="1" applyAlignment="1">
      <alignment horizontal="left" vertical="center" indent="1"/>
    </xf>
    <xf numFmtId="176" fontId="60" fillId="0" borderId="0" xfId="0" applyNumberFormat="1" applyFont="1" applyFill="1" applyBorder="1" applyAlignment="1" applyProtection="1">
      <alignment horizontal="center" vertical="center"/>
      <protection locked="0"/>
    </xf>
    <xf numFmtId="170" fontId="60" fillId="0" borderId="0" xfId="0" applyNumberFormat="1" applyFont="1" applyFill="1" applyBorder="1" applyAlignment="1" applyProtection="1">
      <alignment horizontal="center" vertical="center"/>
      <protection locked="0"/>
    </xf>
    <xf numFmtId="168" fontId="153" fillId="0" borderId="0" xfId="0" applyNumberFormat="1" applyFont="1" applyFill="1" applyBorder="1" applyAlignment="1" applyProtection="1">
      <alignment horizontal="center" vertical="center"/>
      <protection locked="0"/>
    </xf>
    <xf numFmtId="0" fontId="127" fillId="0" borderId="0" xfId="0" applyFont="1" applyFill="1" applyBorder="1" applyAlignment="1" applyProtection="1">
      <alignment horizontal="center" vertical="center"/>
      <protection locked="0" hidden="1"/>
    </xf>
    <xf numFmtId="166" fontId="16" fillId="0" borderId="0" xfId="0" applyNumberFormat="1" applyFont="1" applyBorder="1" applyAlignment="1" applyProtection="1">
      <alignment vertical="center"/>
      <protection hidden="1"/>
    </xf>
    <xf numFmtId="1" fontId="126" fillId="0" borderId="0" xfId="0" applyNumberFormat="1" applyFont="1" applyFill="1" applyBorder="1" applyAlignment="1" applyProtection="1">
      <alignment horizontal="center" vertical="center"/>
      <protection locked="0"/>
    </xf>
    <xf numFmtId="0" fontId="155" fillId="0" borderId="0" xfId="0" applyFont="1" applyFill="1" applyBorder="1" applyAlignment="1" applyProtection="1">
      <alignment horizontal="center" vertical="center" wrapText="1"/>
      <protection hidden="1"/>
    </xf>
    <xf numFmtId="176" fontId="18"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hidden="1"/>
    </xf>
    <xf numFmtId="168" fontId="65" fillId="0" borderId="0" xfId="0" applyNumberFormat="1" applyFont="1" applyFill="1" applyBorder="1" applyAlignment="1" applyProtection="1">
      <alignment horizontal="center" vertical="center"/>
      <protection locked="0"/>
    </xf>
    <xf numFmtId="0" fontId="65" fillId="0" borderId="0" xfId="0" applyFont="1" applyBorder="1" applyAlignment="1" applyProtection="1">
      <alignment horizontal="center"/>
      <protection locked="0"/>
    </xf>
    <xf numFmtId="0" fontId="116" fillId="0" borderId="0" xfId="0" applyFont="1" applyBorder="1" applyProtection="1">
      <alignment horizontal="right"/>
      <protection locked="0"/>
    </xf>
    <xf numFmtId="166" fontId="113" fillId="0" borderId="0" xfId="0" applyNumberFormat="1" applyFont="1" applyFill="1" applyBorder="1" applyAlignment="1" applyProtection="1">
      <alignment horizontal="center" vertical="center"/>
      <protection hidden="1"/>
    </xf>
    <xf numFmtId="168" fontId="203" fillId="0" borderId="0" xfId="0" applyNumberFormat="1" applyFont="1" applyFill="1" applyBorder="1" applyAlignment="1" applyProtection="1">
      <alignment horizontal="center" vertical="center"/>
      <protection locked="0"/>
    </xf>
    <xf numFmtId="0" fontId="68" fillId="0" borderId="0" xfId="0" applyFont="1" applyBorder="1" applyProtection="1">
      <alignment horizontal="right"/>
      <protection locked="0"/>
    </xf>
    <xf numFmtId="0" fontId="182" fillId="0" borderId="0" xfId="0" applyFont="1" applyFill="1" applyBorder="1" applyAlignment="1" applyProtection="1">
      <alignment horizontal="center"/>
      <protection hidden="1"/>
    </xf>
    <xf numFmtId="169" fontId="40" fillId="0" borderId="0" xfId="0" applyNumberFormat="1" applyFont="1" applyFill="1" applyBorder="1" applyAlignment="1" applyProtection="1">
      <alignment horizontal="center"/>
      <protection locked="0"/>
    </xf>
    <xf numFmtId="169" fontId="39" fillId="0" borderId="0" xfId="0" applyNumberFormat="1" applyFont="1" applyFill="1" applyBorder="1" applyAlignment="1" applyProtection="1">
      <alignment horizontal="center"/>
      <protection locked="0"/>
    </xf>
    <xf numFmtId="0" fontId="16" fillId="0" borderId="0" xfId="0" applyFont="1" applyFill="1" applyBorder="1" applyAlignment="1">
      <alignment vertical="center"/>
    </xf>
    <xf numFmtId="0" fontId="67" fillId="0" borderId="0" xfId="0" applyFont="1" applyFill="1" applyBorder="1" applyAlignment="1" applyProtection="1">
      <alignment horizontal="right" vertical="center" indent="1"/>
      <protection hidden="1"/>
    </xf>
    <xf numFmtId="166" fontId="201" fillId="0" borderId="0" xfId="0" applyNumberFormat="1" applyFont="1" applyFill="1" applyBorder="1" applyAlignment="1" applyProtection="1">
      <alignment vertical="center"/>
      <protection locked="0"/>
    </xf>
    <xf numFmtId="49" fontId="102" fillId="0" borderId="21" xfId="0" applyNumberFormat="1" applyFont="1" applyBorder="1" applyAlignment="1" applyProtection="1">
      <alignment vertical="center"/>
      <protection locked="0"/>
    </xf>
    <xf numFmtId="49" fontId="102" fillId="0" borderId="0" xfId="0" applyNumberFormat="1" applyFont="1" applyBorder="1" applyAlignment="1" applyProtection="1">
      <alignment vertical="center"/>
      <protection locked="0"/>
    </xf>
    <xf numFmtId="0" fontId="102" fillId="0" borderId="0" xfId="0" applyFont="1" applyBorder="1" applyAlignment="1" applyProtection="1">
      <alignment horizontal="left" vertical="center"/>
      <protection hidden="1"/>
    </xf>
    <xf numFmtId="0" fontId="102" fillId="0" borderId="0" xfId="0" applyFont="1" applyBorder="1" applyAlignment="1" applyProtection="1">
      <alignment horizontal="right" vertical="center" indent="1"/>
      <protection hidden="1"/>
    </xf>
    <xf numFmtId="0" fontId="102" fillId="0" borderId="0" xfId="0" applyFont="1" applyBorder="1" applyAlignment="1" applyProtection="1">
      <alignment horizontal="right" vertical="center"/>
      <protection hidden="1"/>
    </xf>
    <xf numFmtId="0" fontId="102" fillId="0" borderId="0" xfId="0" applyFont="1" applyBorder="1" applyAlignment="1" applyProtection="1">
      <alignment horizontal="left" vertical="center" wrapText="1" indent="1"/>
      <protection hidden="1"/>
    </xf>
    <xf numFmtId="0" fontId="102" fillId="0" borderId="0" xfId="0" applyFont="1" applyBorder="1" applyAlignment="1" applyProtection="1">
      <alignment vertical="center"/>
      <protection hidden="1"/>
    </xf>
    <xf numFmtId="0" fontId="102" fillId="0" borderId="15" xfId="0" applyFont="1" applyBorder="1" applyAlignment="1" applyProtection="1">
      <alignment horizontal="left" vertical="center" indent="1"/>
      <protection hidden="1"/>
    </xf>
    <xf numFmtId="0" fontId="102" fillId="0" borderId="0" xfId="0" applyFont="1" applyBorder="1" applyProtection="1">
      <alignment horizontal="right"/>
      <protection hidden="1"/>
    </xf>
    <xf numFmtId="14" fontId="102" fillId="0" borderId="0" xfId="0" applyNumberFormat="1" applyFont="1" applyBorder="1" applyAlignment="1" applyProtection="1">
      <alignment horizontal="right" vertical="center" indent="1"/>
      <protection hidden="1"/>
    </xf>
    <xf numFmtId="0" fontId="211" fillId="0" borderId="0" xfId="0" applyFont="1" applyBorder="1" applyAlignment="1" applyProtection="1">
      <alignment horizontal="right"/>
      <protection hidden="1"/>
    </xf>
    <xf numFmtId="0" fontId="121" fillId="0" borderId="0" xfId="0" applyFont="1" applyBorder="1" applyProtection="1">
      <alignment horizontal="right"/>
      <protection locked="0"/>
    </xf>
    <xf numFmtId="0" fontId="65" fillId="0" borderId="0" xfId="0" applyFont="1" applyFill="1" applyBorder="1" applyProtection="1">
      <alignment horizontal="right"/>
      <protection locked="0"/>
    </xf>
    <xf numFmtId="9" fontId="209" fillId="0" borderId="0" xfId="0" applyNumberFormat="1" applyFont="1" applyFill="1" applyBorder="1" applyAlignment="1" applyProtection="1">
      <alignment horizontal="center" vertical="center"/>
      <protection locked="0"/>
    </xf>
    <xf numFmtId="9" fontId="205" fillId="0" borderId="0" xfId="0" applyNumberFormat="1" applyFont="1" applyFill="1" applyBorder="1" applyAlignment="1" applyProtection="1">
      <alignment horizontal="center" vertical="center"/>
      <protection locked="0"/>
    </xf>
    <xf numFmtId="10" fontId="205" fillId="0" borderId="0" xfId="0" applyNumberFormat="1" applyFont="1" applyFill="1" applyBorder="1" applyAlignment="1" applyProtection="1">
      <alignment horizontal="center" vertical="center"/>
      <protection locked="0"/>
    </xf>
    <xf numFmtId="0" fontId="135" fillId="0" borderId="0" xfId="0" applyFont="1" applyFill="1" applyBorder="1" applyProtection="1">
      <alignment horizontal="right"/>
      <protection locked="0"/>
    </xf>
    <xf numFmtId="168" fontId="165" fillId="0" borderId="0" xfId="0" applyNumberFormat="1" applyFont="1" applyFill="1" applyBorder="1" applyAlignment="1" applyProtection="1">
      <alignment horizontal="center" vertical="center"/>
      <protection locked="0"/>
    </xf>
    <xf numFmtId="166" fontId="135" fillId="0" borderId="0" xfId="0" applyNumberFormat="1" applyFont="1" applyFill="1" applyBorder="1" applyProtection="1">
      <alignment horizontal="right"/>
      <protection locked="0"/>
    </xf>
    <xf numFmtId="165" fontId="15" fillId="0" borderId="0" xfId="0" applyNumberFormat="1" applyFont="1" applyFill="1" applyBorder="1" applyAlignment="1" applyProtection="1">
      <alignment horizontal="center" vertical="center"/>
      <protection locked="0"/>
    </xf>
    <xf numFmtId="167" fontId="94" fillId="0" borderId="0" xfId="0" applyNumberFormat="1" applyFont="1" applyFill="1" applyBorder="1" applyAlignment="1" applyProtection="1">
      <protection locked="0"/>
    </xf>
    <xf numFmtId="166" fontId="135" fillId="0" borderId="0" xfId="0" applyNumberFormat="1" applyFont="1" applyBorder="1" applyProtection="1">
      <alignment horizontal="right"/>
      <protection locked="0"/>
    </xf>
    <xf numFmtId="9" fontId="167" fillId="0" borderId="0" xfId="0" applyNumberFormat="1" applyFont="1" applyFill="1" applyBorder="1" applyAlignment="1" applyProtection="1">
      <alignment horizontal="center" vertical="center"/>
      <protection locked="0"/>
    </xf>
    <xf numFmtId="0" fontId="168" fillId="0" borderId="0" xfId="0" applyFont="1" applyFill="1" applyBorder="1" applyProtection="1">
      <alignment horizontal="right"/>
      <protection locked="0"/>
    </xf>
    <xf numFmtId="0" fontId="165" fillId="0" borderId="0" xfId="0" applyFont="1" applyFill="1" applyBorder="1" applyAlignment="1" applyProtection="1">
      <alignment horizontal="center" vertical="center"/>
      <protection locked="0"/>
    </xf>
    <xf numFmtId="0" fontId="169" fillId="0" borderId="0" xfId="0" applyFont="1" applyFill="1" applyBorder="1" applyAlignment="1" applyProtection="1">
      <alignment horizontal="right" vertical="center"/>
      <protection locked="0"/>
    </xf>
    <xf numFmtId="0" fontId="171" fillId="0" borderId="0" xfId="0" applyFont="1" applyFill="1" applyBorder="1" applyProtection="1">
      <alignment horizontal="right"/>
      <protection locked="0"/>
    </xf>
    <xf numFmtId="0" fontId="171" fillId="0" borderId="0" xfId="0" applyFont="1" applyBorder="1" applyProtection="1">
      <alignment horizontal="right"/>
      <protection locked="0"/>
    </xf>
    <xf numFmtId="0" fontId="166" fillId="0" borderId="0" xfId="0" applyFont="1" applyFill="1" applyBorder="1" applyAlignment="1" applyProtection="1">
      <alignment horizontal="right" vertical="center"/>
      <protection locked="0"/>
    </xf>
    <xf numFmtId="0" fontId="166" fillId="0" borderId="0" xfId="0" applyFont="1" applyFill="1" applyBorder="1" applyProtection="1">
      <alignment horizontal="right"/>
      <protection locked="0"/>
    </xf>
    <xf numFmtId="166" fontId="171" fillId="0" borderId="0" xfId="0" applyNumberFormat="1" applyFont="1" applyBorder="1" applyProtection="1">
      <alignment horizontal="right"/>
      <protection locked="0"/>
    </xf>
    <xf numFmtId="0" fontId="16" fillId="0" borderId="0" xfId="0" applyFont="1" applyFill="1" applyBorder="1" applyAlignment="1" applyProtection="1">
      <alignment horizontal="center" vertical="center" wrapText="1"/>
      <protection locked="0"/>
    </xf>
    <xf numFmtId="0" fontId="122" fillId="0" borderId="0" xfId="0" applyFont="1" applyFill="1" applyBorder="1" applyAlignment="1" applyProtection="1">
      <alignment vertical="center"/>
      <protection hidden="1"/>
    </xf>
    <xf numFmtId="0" fontId="135" fillId="0" borderId="0" xfId="0" applyFont="1" applyFill="1" applyBorder="1" applyAlignment="1" applyProtection="1">
      <alignment horizontal="right" vertical="center"/>
      <protection locked="0"/>
    </xf>
    <xf numFmtId="0" fontId="214" fillId="0" borderId="0" xfId="0" applyFont="1" applyFill="1" applyBorder="1" applyAlignment="1" applyProtection="1">
      <alignment horizontal="right" vertical="center"/>
      <protection locked="0"/>
    </xf>
    <xf numFmtId="3" fontId="214" fillId="0" borderId="0" xfId="0" applyNumberFormat="1" applyFont="1" applyFill="1" applyBorder="1" applyAlignment="1" applyProtection="1">
      <alignment horizontal="right" vertical="center" indent="1"/>
      <protection locked="0"/>
    </xf>
    <xf numFmtId="0" fontId="216" fillId="0" borderId="39" xfId="0" applyFont="1" applyFill="1" applyBorder="1" applyAlignment="1" applyProtection="1">
      <alignment horizontal="center" vertical="center"/>
      <protection locked="0"/>
    </xf>
    <xf numFmtId="0" fontId="216" fillId="0" borderId="40" xfId="0" applyFont="1" applyFill="1" applyBorder="1" applyAlignment="1" applyProtection="1">
      <alignment horizontal="center" vertical="center"/>
      <protection locked="0"/>
    </xf>
    <xf numFmtId="0" fontId="216" fillId="0" borderId="41" xfId="0" applyFont="1" applyFill="1" applyBorder="1" applyAlignment="1" applyProtection="1">
      <alignment horizontal="center" vertical="center"/>
      <protection locked="0"/>
    </xf>
    <xf numFmtId="0" fontId="216" fillId="0" borderId="42" xfId="0" applyFont="1" applyFill="1" applyBorder="1" applyAlignment="1" applyProtection="1">
      <alignment horizontal="center" vertical="center"/>
      <protection locked="0"/>
    </xf>
    <xf numFmtId="0" fontId="214" fillId="0" borderId="43" xfId="0" applyFont="1" applyBorder="1" applyAlignment="1" applyProtection="1">
      <alignment horizontal="center" vertical="center"/>
      <protection locked="0"/>
    </xf>
    <xf numFmtId="0" fontId="214" fillId="0" borderId="44" xfId="0" applyFont="1" applyBorder="1" applyAlignment="1" applyProtection="1">
      <alignment horizontal="center" vertical="center"/>
      <protection locked="0"/>
    </xf>
    <xf numFmtId="0" fontId="214" fillId="0" borderId="45" xfId="0" applyFont="1" applyBorder="1" applyAlignment="1" applyProtection="1">
      <alignment horizontal="center" vertical="center"/>
      <protection locked="0"/>
    </xf>
    <xf numFmtId="0" fontId="214" fillId="0" borderId="38" xfId="0" applyFont="1" applyBorder="1" applyAlignment="1" applyProtection="1">
      <alignment horizontal="center" vertical="center"/>
      <protection locked="0"/>
    </xf>
    <xf numFmtId="0" fontId="25"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166" fontId="21" fillId="0" borderId="0" xfId="0" applyNumberFormat="1" applyFont="1" applyFill="1" applyBorder="1" applyAlignment="1" applyProtection="1">
      <protection locked="0"/>
    </xf>
    <xf numFmtId="0" fontId="31" fillId="0" borderId="26" xfId="0" applyFont="1" applyBorder="1" applyProtection="1">
      <alignment horizontal="right"/>
      <protection locked="0"/>
    </xf>
    <xf numFmtId="166" fontId="16" fillId="0" borderId="46" xfId="0" applyNumberFormat="1" applyFont="1" applyBorder="1" applyAlignment="1" applyProtection="1">
      <alignment vertical="center"/>
      <protection locked="0"/>
    </xf>
    <xf numFmtId="166" fontId="26" fillId="0" borderId="46" xfId="0" applyNumberFormat="1" applyFont="1" applyBorder="1" applyAlignment="1" applyProtection="1">
      <alignment vertical="center"/>
      <protection locked="0"/>
    </xf>
    <xf numFmtId="166" fontId="16" fillId="0" borderId="44" xfId="0" applyNumberFormat="1" applyFont="1" applyBorder="1" applyAlignment="1" applyProtection="1">
      <alignment vertical="center"/>
      <protection locked="0"/>
    </xf>
    <xf numFmtId="166" fontId="26" fillId="0" borderId="44" xfId="0" applyNumberFormat="1" applyFont="1" applyBorder="1" applyAlignment="1" applyProtection="1">
      <alignment vertical="center"/>
      <protection locked="0"/>
    </xf>
    <xf numFmtId="166" fontId="26" fillId="0" borderId="47" xfId="0" applyNumberFormat="1" applyFont="1" applyBorder="1" applyAlignment="1" applyProtection="1">
      <alignment vertical="center"/>
      <protection locked="0"/>
    </xf>
    <xf numFmtId="166" fontId="16" fillId="0" borderId="48" xfId="0" applyNumberFormat="1" applyFont="1" applyBorder="1" applyAlignment="1" applyProtection="1">
      <alignment vertical="center"/>
      <protection locked="0"/>
    </xf>
    <xf numFmtId="166" fontId="16" fillId="0" borderId="49" xfId="0" applyNumberFormat="1" applyFont="1" applyBorder="1" applyAlignment="1" applyProtection="1">
      <alignment horizontal="right" vertical="center"/>
      <protection locked="0"/>
    </xf>
    <xf numFmtId="166" fontId="16" fillId="0" borderId="50" xfId="0" applyNumberFormat="1" applyFont="1" applyBorder="1" applyAlignment="1" applyProtection="1">
      <alignment vertical="center"/>
      <protection locked="0"/>
    </xf>
    <xf numFmtId="166" fontId="16" fillId="0" borderId="51" xfId="0" applyNumberFormat="1" applyFont="1" applyBorder="1" applyAlignment="1" applyProtection="1">
      <alignment vertical="center"/>
      <protection locked="0"/>
    </xf>
    <xf numFmtId="166" fontId="16" fillId="0" borderId="52" xfId="0" applyNumberFormat="1" applyFont="1" applyBorder="1" applyAlignment="1" applyProtection="1">
      <alignment vertical="center"/>
      <protection locked="0"/>
    </xf>
    <xf numFmtId="166" fontId="16" fillId="0" borderId="49" xfId="0" applyNumberFormat="1" applyFont="1" applyBorder="1" applyAlignment="1" applyProtection="1">
      <alignment vertical="center"/>
      <protection locked="0"/>
    </xf>
    <xf numFmtId="166" fontId="26" fillId="0" borderId="36" xfId="0" applyNumberFormat="1" applyFont="1" applyBorder="1" applyAlignment="1" applyProtection="1">
      <alignment horizontal="right" vertical="center"/>
      <protection locked="0"/>
    </xf>
    <xf numFmtId="166" fontId="26" fillId="0" borderId="38" xfId="0" applyNumberFormat="1" applyFont="1" applyBorder="1" applyAlignment="1" applyProtection="1">
      <alignment horizontal="right" vertical="center"/>
      <protection locked="0"/>
    </xf>
    <xf numFmtId="166" fontId="26" fillId="0" borderId="38" xfId="0" applyNumberFormat="1" applyFont="1" applyBorder="1" applyAlignment="1" applyProtection="1">
      <alignment vertical="center"/>
      <protection locked="0"/>
    </xf>
    <xf numFmtId="0" fontId="216" fillId="0" borderId="53" xfId="0" applyFont="1" applyFill="1" applyBorder="1" applyAlignment="1" applyProtection="1">
      <alignment horizontal="center" vertical="center"/>
      <protection locked="0"/>
    </xf>
    <xf numFmtId="0" fontId="214" fillId="0" borderId="47" xfId="0" applyFont="1" applyBorder="1" applyAlignment="1" applyProtection="1">
      <alignment horizontal="center" vertical="center"/>
      <protection locked="0"/>
    </xf>
    <xf numFmtId="0" fontId="216" fillId="0" borderId="54" xfId="0" applyFont="1" applyFill="1" applyBorder="1" applyAlignment="1" applyProtection="1">
      <alignment horizontal="center" vertical="center"/>
      <protection locked="0"/>
    </xf>
    <xf numFmtId="166" fontId="16" fillId="0" borderId="38" xfId="0" applyNumberFormat="1" applyFont="1" applyBorder="1" applyAlignment="1" applyProtection="1">
      <alignment vertical="center"/>
      <protection locked="0"/>
    </xf>
    <xf numFmtId="166" fontId="26" fillId="0" borderId="55" xfId="0" applyNumberFormat="1" applyFont="1" applyBorder="1" applyAlignment="1" applyProtection="1">
      <alignment vertical="center"/>
      <protection locked="0"/>
    </xf>
    <xf numFmtId="166" fontId="16" fillId="0" borderId="36" xfId="0" applyNumberFormat="1" applyFont="1" applyBorder="1" applyAlignment="1" applyProtection="1">
      <alignment vertical="center"/>
      <protection locked="0"/>
    </xf>
    <xf numFmtId="166" fontId="26" fillId="0" borderId="36" xfId="0" applyNumberFormat="1" applyFont="1" applyBorder="1" applyAlignment="1" applyProtection="1">
      <alignment vertical="center"/>
      <protection locked="0"/>
    </xf>
    <xf numFmtId="10" fontId="98" fillId="0" borderId="0" xfId="0" applyNumberFormat="1" applyFont="1" applyFill="1" applyBorder="1" applyAlignment="1" applyProtection="1">
      <alignment horizontal="center" vertical="center"/>
      <protection locked="0"/>
    </xf>
    <xf numFmtId="0" fontId="196" fillId="0" borderId="0" xfId="0" applyFont="1" applyBorder="1" applyAlignment="1">
      <alignment vertical="center" wrapText="1"/>
    </xf>
    <xf numFmtId="0" fontId="18" fillId="0" borderId="0" xfId="0" applyFont="1" applyFill="1" applyBorder="1" applyAlignment="1" applyProtection="1">
      <alignment horizontal="right" indent="1"/>
      <protection locked="0"/>
    </xf>
    <xf numFmtId="0" fontId="33"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left" indent="2"/>
      <protection locked="0"/>
    </xf>
    <xf numFmtId="0" fontId="214" fillId="0" borderId="0" xfId="0" applyFont="1" applyBorder="1" applyProtection="1">
      <alignment horizontal="right"/>
      <protection locked="0"/>
    </xf>
    <xf numFmtId="166" fontId="16" fillId="0" borderId="0" xfId="0" applyNumberFormat="1" applyFont="1" applyBorder="1" applyProtection="1">
      <alignment horizontal="right"/>
      <protection hidden="1"/>
    </xf>
    <xf numFmtId="166" fontId="32" fillId="0" borderId="0" xfId="0" applyNumberFormat="1" applyFont="1" applyFill="1" applyBorder="1" applyAlignment="1" applyProtection="1">
      <alignment horizontal="right" vertical="center"/>
      <protection locked="0"/>
    </xf>
    <xf numFmtId="166" fontId="28" fillId="0" borderId="0" xfId="0" applyNumberFormat="1" applyFont="1" applyFill="1" applyBorder="1" applyAlignment="1" applyProtection="1">
      <alignment horizontal="right" vertical="center"/>
      <protection locked="0"/>
    </xf>
    <xf numFmtId="0" fontId="0" fillId="0" borderId="0" xfId="0" applyBorder="1" applyAlignment="1" applyProtection="1">
      <alignment vertical="center"/>
      <protection hidden="1"/>
    </xf>
    <xf numFmtId="0" fontId="91" fillId="0" borderId="0" xfId="0" applyFont="1" applyFill="1" applyBorder="1" applyProtection="1">
      <alignment horizontal="right"/>
      <protection locked="0"/>
    </xf>
    <xf numFmtId="166" fontId="218" fillId="0" borderId="0" xfId="0" applyNumberFormat="1" applyFont="1" applyBorder="1" applyAlignment="1" applyProtection="1">
      <alignment vertical="center"/>
      <protection hidden="1"/>
    </xf>
    <xf numFmtId="0" fontId="214" fillId="46" borderId="46" xfId="0" applyFont="1" applyFill="1" applyBorder="1" applyAlignment="1" applyProtection="1">
      <alignment horizontal="center" vertical="center"/>
      <protection hidden="1"/>
    </xf>
    <xf numFmtId="0" fontId="214" fillId="46" borderId="38" xfId="0" applyFont="1" applyFill="1" applyBorder="1" applyAlignment="1" applyProtection="1">
      <alignment horizontal="center" vertical="center"/>
      <protection hidden="1"/>
    </xf>
    <xf numFmtId="0" fontId="214" fillId="46" borderId="60" xfId="0" applyFont="1" applyFill="1" applyBorder="1" applyAlignment="1" applyProtection="1">
      <alignment horizontal="center" vertical="center"/>
      <protection hidden="1"/>
    </xf>
    <xf numFmtId="0" fontId="135" fillId="0" borderId="0" xfId="0" applyFont="1" applyBorder="1" applyAlignment="1" applyProtection="1">
      <alignment horizontal="right" vertical="center"/>
      <protection locked="0"/>
    </xf>
    <xf numFmtId="0" fontId="135" fillId="0" borderId="0" xfId="0" applyFont="1" applyBorder="1" applyAlignment="1" applyProtection="1">
      <alignment horizontal="left" vertical="center"/>
      <protection locked="0"/>
    </xf>
    <xf numFmtId="0" fontId="168" fillId="0" borderId="0" xfId="0" applyFont="1" applyFill="1" applyBorder="1" applyAlignment="1" applyProtection="1">
      <alignment horizontal="right" vertical="center"/>
      <protection locked="0"/>
    </xf>
    <xf numFmtId="0" fontId="168" fillId="0" borderId="0" xfId="0" applyFont="1" applyBorder="1" applyProtection="1">
      <alignment horizontal="right"/>
      <protection locked="0"/>
    </xf>
    <xf numFmtId="0" fontId="168" fillId="0" borderId="0" xfId="0" applyFont="1" applyBorder="1" applyAlignment="1" applyProtection="1">
      <alignment horizontal="left" indent="1"/>
      <protection locked="0"/>
    </xf>
    <xf numFmtId="9" fontId="220" fillId="0" borderId="0" xfId="0" applyNumberFormat="1" applyFont="1" applyBorder="1" applyAlignment="1" applyProtection="1">
      <alignment horizontal="center" vertical="center"/>
      <protection locked="0"/>
    </xf>
    <xf numFmtId="9" fontId="220" fillId="0" borderId="0" xfId="0" applyNumberFormat="1" applyFont="1" applyFill="1" applyBorder="1" applyAlignment="1" applyProtection="1">
      <alignment horizontal="center" vertical="center"/>
      <protection locked="0"/>
    </xf>
    <xf numFmtId="166" fontId="222" fillId="0" borderId="44" xfId="0" applyNumberFormat="1" applyFont="1" applyBorder="1" applyAlignment="1" applyProtection="1">
      <alignment vertical="center"/>
      <protection locked="0"/>
    </xf>
    <xf numFmtId="166" fontId="16" fillId="0" borderId="61" xfId="0" applyNumberFormat="1" applyFont="1" applyBorder="1" applyAlignment="1" applyProtection="1">
      <alignment vertical="center"/>
      <protection locked="0"/>
    </xf>
    <xf numFmtId="166" fontId="216" fillId="47" borderId="57" xfId="0" applyNumberFormat="1" applyFont="1" applyFill="1" applyBorder="1" applyAlignment="1" applyProtection="1">
      <alignment vertical="center"/>
      <protection hidden="1"/>
    </xf>
    <xf numFmtId="166" fontId="223" fillId="47" borderId="57" xfId="0" applyNumberFormat="1" applyFont="1" applyFill="1" applyBorder="1" applyAlignment="1" applyProtection="1">
      <alignment vertical="center"/>
      <protection hidden="1"/>
    </xf>
    <xf numFmtId="166" fontId="109" fillId="0" borderId="0" xfId="0" applyNumberFormat="1" applyFont="1" applyBorder="1" applyAlignment="1" applyProtection="1">
      <alignment horizontal="center" vertical="center"/>
      <protection hidden="1"/>
    </xf>
    <xf numFmtId="0" fontId="168" fillId="0" borderId="0" xfId="0" applyFont="1" applyBorder="1" applyAlignment="1" applyProtection="1">
      <alignment horizontal="center"/>
      <protection locked="0"/>
    </xf>
    <xf numFmtId="0" fontId="149" fillId="0" borderId="0" xfId="0" applyFont="1" applyBorder="1" applyAlignment="1">
      <alignment vertical="center" wrapText="1"/>
    </xf>
    <xf numFmtId="0" fontId="214" fillId="0" borderId="36" xfId="0" applyFont="1" applyBorder="1" applyAlignment="1" applyProtection="1">
      <alignment horizontal="center" vertical="center"/>
      <protection hidden="1"/>
    </xf>
    <xf numFmtId="0" fontId="186" fillId="0" borderId="0" xfId="0" applyFont="1" applyFill="1" applyBorder="1" applyAlignment="1" applyProtection="1">
      <alignment horizontal="right" vertical="center"/>
      <protection hidden="1"/>
    </xf>
    <xf numFmtId="9" fontId="186" fillId="0" borderId="0" xfId="0" applyNumberFormat="1" applyFont="1" applyFill="1" applyBorder="1" applyAlignment="1" applyProtection="1">
      <alignment horizontal="right" vertical="center"/>
      <protection hidden="1"/>
    </xf>
    <xf numFmtId="0" fontId="186" fillId="0" borderId="0" xfId="0" applyFont="1" applyFill="1" applyBorder="1" applyAlignment="1" applyProtection="1">
      <alignment horizontal="left" vertical="center"/>
      <protection hidden="1"/>
    </xf>
    <xf numFmtId="166" fontId="37" fillId="0" borderId="0" xfId="0" applyNumberFormat="1" applyFont="1" applyFill="1" applyBorder="1" applyAlignment="1" applyProtection="1">
      <protection locked="0"/>
    </xf>
    <xf numFmtId="0" fontId="37" fillId="0" borderId="0" xfId="0" applyFont="1" applyFill="1" applyBorder="1" applyAlignment="1" applyProtection="1">
      <protection locked="0"/>
    </xf>
    <xf numFmtId="0" fontId="11" fillId="0" borderId="0" xfId="32" applyFill="1" applyBorder="1" applyAlignment="1" applyProtection="1">
      <alignment horizontal="left" vertical="center"/>
      <protection locked="0"/>
    </xf>
    <xf numFmtId="0" fontId="11" fillId="0" borderId="0" xfId="32" applyBorder="1" applyAlignment="1" applyProtection="1">
      <alignment horizontal="right"/>
      <protection locked="0"/>
    </xf>
    <xf numFmtId="0" fontId="172" fillId="0" borderId="0" xfId="0" applyFont="1" applyFill="1" applyBorder="1" applyProtection="1">
      <alignment horizontal="right"/>
      <protection locked="0"/>
    </xf>
    <xf numFmtId="0" fontId="173" fillId="0" borderId="0" xfId="0" applyFont="1" applyFill="1" applyBorder="1" applyProtection="1">
      <alignment horizontal="right"/>
      <protection locked="0"/>
    </xf>
    <xf numFmtId="166" fontId="227" fillId="0" borderId="0" xfId="0" applyNumberFormat="1" applyFont="1" applyBorder="1" applyAlignment="1" applyProtection="1">
      <alignment horizontal="left" vertical="center" indent="1"/>
      <protection hidden="1"/>
    </xf>
    <xf numFmtId="0" fontId="188" fillId="0" borderId="0" xfId="0" applyFont="1" applyBorder="1" applyProtection="1">
      <alignment horizontal="right"/>
      <protection locked="0"/>
    </xf>
    <xf numFmtId="0" fontId="232" fillId="0" borderId="0" xfId="0" applyFont="1" applyBorder="1" applyProtection="1">
      <alignment horizontal="right"/>
      <protection locked="0"/>
    </xf>
    <xf numFmtId="0" fontId="188" fillId="0" borderId="0" xfId="0" applyFont="1" applyFill="1" applyBorder="1" applyProtection="1">
      <alignment horizontal="right"/>
      <protection locked="0"/>
    </xf>
    <xf numFmtId="0" fontId="233" fillId="0" borderId="0" xfId="0" applyFont="1" applyFill="1" applyBorder="1" applyProtection="1">
      <alignment horizontal="right"/>
      <protection locked="0"/>
    </xf>
    <xf numFmtId="0" fontId="234" fillId="0" borderId="0" xfId="0" applyFont="1" applyBorder="1" applyProtection="1">
      <alignment horizontal="right"/>
      <protection locked="0"/>
    </xf>
    <xf numFmtId="166" fontId="214" fillId="0" borderId="0" xfId="0" applyNumberFormat="1" applyFont="1" applyFill="1" applyBorder="1" applyAlignment="1" applyProtection="1">
      <alignment vertical="center"/>
      <protection hidden="1"/>
    </xf>
    <xf numFmtId="168" fontId="214" fillId="0" borderId="0" xfId="0" applyNumberFormat="1" applyFont="1" applyFill="1" applyBorder="1" applyAlignment="1" applyProtection="1">
      <alignment horizontal="center" vertical="center"/>
      <protection hidden="1"/>
    </xf>
    <xf numFmtId="0" fontId="102" fillId="0" borderId="21" xfId="0" applyFont="1" applyBorder="1" applyProtection="1">
      <alignment horizontal="right"/>
      <protection locked="0"/>
    </xf>
    <xf numFmtId="0" fontId="23" fillId="0" borderId="0" xfId="0" applyFont="1" applyBorder="1" applyAlignment="1" applyProtection="1">
      <alignment horizontal="left" vertical="center" indent="1"/>
      <protection hidden="1"/>
    </xf>
    <xf numFmtId="0" fontId="103" fillId="0" borderId="0" xfId="0" applyFont="1" applyBorder="1" applyProtection="1">
      <alignment horizontal="right"/>
      <protection locked="0"/>
    </xf>
    <xf numFmtId="166" fontId="55" fillId="0" borderId="0" xfId="0" applyNumberFormat="1" applyFont="1" applyFill="1" applyBorder="1" applyProtection="1">
      <alignment horizontal="right"/>
      <protection locked="0"/>
    </xf>
    <xf numFmtId="0" fontId="103" fillId="0" borderId="0" xfId="0" applyFont="1" applyFill="1" applyBorder="1" applyProtection="1">
      <alignment horizontal="right"/>
      <protection locked="0"/>
    </xf>
    <xf numFmtId="175" fontId="185" fillId="0" borderId="0" xfId="0" applyNumberFormat="1" applyFont="1" applyFill="1" applyBorder="1" applyAlignment="1" applyProtection="1">
      <alignment horizontal="center" vertical="center"/>
      <protection hidden="1"/>
    </xf>
    <xf numFmtId="0" fontId="236" fillId="0" borderId="0" xfId="0" applyFont="1" applyFill="1" applyBorder="1" applyAlignment="1" applyProtection="1">
      <alignment horizontal="right" vertical="center"/>
      <protection hidden="1"/>
    </xf>
    <xf numFmtId="0" fontId="25" fillId="0" borderId="0" xfId="0" applyFont="1" applyBorder="1" applyAlignment="1" applyProtection="1">
      <alignment horizontal="left" vertical="center"/>
      <protection locked="0"/>
    </xf>
    <xf numFmtId="0" fontId="168" fillId="0" borderId="0" xfId="0" applyFont="1" applyFill="1" applyBorder="1" applyAlignment="1" applyProtection="1">
      <alignment horizontal="center"/>
      <protection hidden="1"/>
    </xf>
    <xf numFmtId="0" fontId="181" fillId="0" borderId="0" xfId="0" applyFont="1" applyBorder="1" applyAlignment="1" applyProtection="1">
      <alignment horizontal="right" vertical="center"/>
      <protection hidden="1"/>
    </xf>
    <xf numFmtId="0" fontId="191" fillId="0" borderId="0" xfId="0" applyFont="1" applyBorder="1" applyAlignment="1" applyProtection="1">
      <alignment horizontal="right" vertical="center"/>
      <protection hidden="1"/>
    </xf>
    <xf numFmtId="0" fontId="182" fillId="0" borderId="0" xfId="0" applyFont="1" applyBorder="1" applyAlignment="1" applyProtection="1">
      <alignment vertical="center"/>
      <protection hidden="1"/>
    </xf>
    <xf numFmtId="0" fontId="189" fillId="0" borderId="0" xfId="0" applyFont="1" applyFill="1" applyBorder="1" applyAlignment="1" applyProtection="1">
      <alignment horizontal="center" vertical="center"/>
      <protection locked="0"/>
    </xf>
    <xf numFmtId="0" fontId="240" fillId="0" borderId="0" xfId="0" applyFont="1" applyFill="1" applyBorder="1" applyAlignment="1" applyProtection="1">
      <alignment vertical="center"/>
      <protection locked="0"/>
    </xf>
    <xf numFmtId="0" fontId="188" fillId="0" borderId="0" xfId="0" applyFont="1" applyBorder="1" applyProtection="1">
      <alignment horizontal="right"/>
      <protection hidden="1"/>
    </xf>
    <xf numFmtId="0" fontId="188" fillId="0" borderId="0" xfId="0" applyFont="1" applyBorder="1" applyAlignment="1" applyProtection="1">
      <alignment vertical="center"/>
      <protection locked="0"/>
    </xf>
    <xf numFmtId="0" fontId="233" fillId="0" borderId="0" xfId="0" applyFont="1" applyBorder="1" applyAlignment="1" applyProtection="1">
      <alignment horizontal="right" indent="1"/>
      <protection locked="0"/>
    </xf>
    <xf numFmtId="168" fontId="65" fillId="0" borderId="0" xfId="0" applyNumberFormat="1" applyFont="1" applyFill="1" applyBorder="1" applyAlignment="1" applyProtection="1">
      <alignment horizontal="center"/>
      <protection locked="0"/>
    </xf>
    <xf numFmtId="3" fontId="38" fillId="0" borderId="0" xfId="0" applyNumberFormat="1"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197" fillId="0" borderId="0" xfId="0" applyFont="1" applyBorder="1" applyProtection="1">
      <alignment horizontal="right"/>
      <protection locked="0"/>
    </xf>
    <xf numFmtId="166" fontId="197" fillId="0" borderId="0" xfId="0" applyNumberFormat="1" applyFont="1" applyFill="1" applyBorder="1" applyProtection="1">
      <alignment horizontal="right"/>
      <protection locked="0"/>
    </xf>
    <xf numFmtId="168" fontId="197" fillId="0" borderId="0" xfId="0" applyNumberFormat="1" applyFont="1" applyBorder="1" applyAlignment="1" applyProtection="1">
      <alignment horizontal="center" vertical="center"/>
      <protection locked="0"/>
    </xf>
    <xf numFmtId="168" fontId="197" fillId="0" borderId="0" xfId="0" applyNumberFormat="1" applyFont="1" applyBorder="1" applyAlignment="1" applyProtection="1">
      <alignment horizontal="right" vertical="center"/>
      <protection locked="0"/>
    </xf>
    <xf numFmtId="0" fontId="242" fillId="0" borderId="0" xfId="0" applyFont="1" applyBorder="1" applyAlignment="1" applyProtection="1">
      <alignment horizontal="center"/>
      <protection locked="0"/>
    </xf>
    <xf numFmtId="0" fontId="23" fillId="0" borderId="0" xfId="0" applyFont="1" applyBorder="1" applyAlignment="1" applyProtection="1">
      <alignment horizontal="right" vertical="center" indent="1"/>
      <protection hidden="1"/>
    </xf>
    <xf numFmtId="168" fontId="204" fillId="0" borderId="0" xfId="0" applyNumberFormat="1" applyFont="1" applyBorder="1" applyAlignment="1" applyProtection="1">
      <alignment horizontal="center" vertical="center"/>
      <protection locked="0"/>
    </xf>
    <xf numFmtId="0" fontId="182" fillId="0" borderId="0" xfId="0" applyFont="1" applyFill="1" applyBorder="1" applyAlignment="1" applyProtection="1">
      <alignment horizontal="right" indent="1"/>
      <protection locked="0"/>
    </xf>
    <xf numFmtId="168" fontId="182" fillId="0" borderId="0" xfId="0" applyNumberFormat="1" applyFont="1" applyFill="1" applyBorder="1" applyAlignment="1" applyProtection="1">
      <alignment horizontal="center" vertical="center"/>
      <protection locked="0"/>
    </xf>
    <xf numFmtId="168" fontId="182" fillId="0" borderId="0" xfId="0" applyNumberFormat="1" applyFont="1" applyFill="1" applyBorder="1" applyAlignment="1" applyProtection="1">
      <alignment horizontal="right" vertical="center"/>
      <protection locked="0"/>
    </xf>
    <xf numFmtId="0" fontId="244" fillId="0" borderId="0" xfId="0" applyFont="1" applyBorder="1" applyAlignment="1" applyProtection="1">
      <alignment horizontal="right" vertical="center"/>
      <protection hidden="1"/>
    </xf>
    <xf numFmtId="0" fontId="191" fillId="0" borderId="0" xfId="0" applyFont="1" applyBorder="1" applyProtection="1">
      <alignment horizontal="right"/>
      <protection locked="0"/>
    </xf>
    <xf numFmtId="0" fontId="244" fillId="0" borderId="0" xfId="0" applyFont="1" applyBorder="1" applyProtection="1">
      <alignment horizontal="right"/>
      <protection locked="0"/>
    </xf>
    <xf numFmtId="0" fontId="236" fillId="0" borderId="0" xfId="0" applyFont="1" applyBorder="1" applyAlignment="1" applyProtection="1">
      <alignment horizontal="left" vertical="center" indent="1"/>
      <protection hidden="1"/>
    </xf>
    <xf numFmtId="166" fontId="182" fillId="0" borderId="0" xfId="0" applyNumberFormat="1" applyFont="1" applyBorder="1" applyAlignment="1" applyProtection="1">
      <alignment horizontal="right" vertical="center"/>
      <protection hidden="1"/>
    </xf>
    <xf numFmtId="168" fontId="182" fillId="0" borderId="0" xfId="0" applyNumberFormat="1" applyFont="1" applyBorder="1" applyAlignment="1" applyProtection="1">
      <alignment horizontal="center" vertical="center"/>
      <protection locked="0"/>
    </xf>
    <xf numFmtId="168" fontId="182" fillId="0" borderId="0" xfId="0" applyNumberFormat="1" applyFont="1" applyBorder="1" applyAlignment="1" applyProtection="1">
      <alignment horizontal="right" vertical="center"/>
      <protection locked="0"/>
    </xf>
    <xf numFmtId="166" fontId="197" fillId="0" borderId="0" xfId="0" applyNumberFormat="1" applyFont="1" applyBorder="1" applyAlignment="1" applyProtection="1">
      <alignment horizontal="right" vertical="center"/>
      <protection hidden="1"/>
    </xf>
    <xf numFmtId="0" fontId="188" fillId="0" borderId="0" xfId="0" applyFont="1" applyBorder="1" applyAlignment="1">
      <alignment vertical="top"/>
    </xf>
    <xf numFmtId="14" fontId="178" fillId="0" borderId="15" xfId="0" applyNumberFormat="1" applyFont="1" applyBorder="1" applyAlignment="1" applyProtection="1">
      <alignment horizontal="center" vertical="center"/>
      <protection locked="0"/>
    </xf>
    <xf numFmtId="0" fontId="124" fillId="0" borderId="15" xfId="0" applyFont="1" applyBorder="1" applyAlignment="1" applyProtection="1">
      <alignment horizontal="center" vertical="center"/>
      <protection locked="0" hidden="1"/>
    </xf>
    <xf numFmtId="0" fontId="124" fillId="0" borderId="15" xfId="0" applyFont="1" applyBorder="1" applyAlignment="1" applyProtection="1">
      <alignment horizontal="center"/>
      <protection locked="0"/>
    </xf>
    <xf numFmtId="166" fontId="16" fillId="46" borderId="44" xfId="0" applyNumberFormat="1" applyFont="1" applyFill="1" applyBorder="1" applyAlignment="1" applyProtection="1">
      <alignment vertical="center"/>
      <protection hidden="1"/>
    </xf>
    <xf numFmtId="0" fontId="102" fillId="53" borderId="0" xfId="0" applyFont="1" applyFill="1" applyBorder="1" applyAlignment="1" applyProtection="1">
      <alignment horizontal="left" vertical="center"/>
      <protection hidden="1"/>
    </xf>
    <xf numFmtId="0" fontId="102" fillId="53" borderId="0" xfId="0" applyFont="1" applyFill="1" applyBorder="1" applyProtection="1">
      <alignment horizontal="right"/>
      <protection locked="0"/>
    </xf>
    <xf numFmtId="0" fontId="102" fillId="53" borderId="0" xfId="0" applyFont="1" applyFill="1" applyBorder="1" applyAlignment="1" applyProtection="1">
      <alignment vertical="center"/>
      <protection hidden="1"/>
    </xf>
    <xf numFmtId="0" fontId="203" fillId="0" borderId="0" xfId="0" applyFont="1" applyBorder="1" applyProtection="1">
      <alignment horizontal="right"/>
      <protection locked="0"/>
    </xf>
    <xf numFmtId="165" fontId="203" fillId="0" borderId="0" xfId="0" applyNumberFormat="1" applyFont="1" applyFill="1" applyBorder="1" applyAlignment="1" applyProtection="1">
      <alignment horizontal="center"/>
      <protection locked="0"/>
    </xf>
    <xf numFmtId="165" fontId="48" fillId="0" borderId="0" xfId="0" applyNumberFormat="1" applyFont="1" applyFill="1" applyBorder="1" applyAlignment="1" applyProtection="1">
      <alignment horizontal="center"/>
      <protection locked="0"/>
    </xf>
    <xf numFmtId="165" fontId="179" fillId="0" borderId="0" xfId="0" applyNumberFormat="1" applyFont="1" applyFill="1" applyBorder="1" applyAlignment="1" applyProtection="1">
      <alignment horizontal="center" vertical="center"/>
      <protection locked="0"/>
    </xf>
    <xf numFmtId="0" fontId="124" fillId="0" borderId="0" xfId="0" applyFont="1" applyBorder="1" applyAlignment="1" applyProtection="1">
      <alignment horizontal="left" vertical="center" wrapText="1" indent="1"/>
      <protection locked="0"/>
    </xf>
    <xf numFmtId="0" fontId="151" fillId="0" borderId="0" xfId="0" applyFont="1" applyBorder="1" applyAlignment="1" applyProtection="1">
      <alignment horizontal="left" vertical="center" wrapText="1" indent="1"/>
      <protection locked="0"/>
    </xf>
    <xf numFmtId="14" fontId="102" fillId="0" borderId="15" xfId="0" applyNumberFormat="1" applyFont="1" applyBorder="1" applyAlignment="1" applyProtection="1">
      <alignment horizontal="center" vertical="center"/>
      <protection locked="0"/>
    </xf>
    <xf numFmtId="170" fontId="102" fillId="0" borderId="15" xfId="0" applyNumberFormat="1" applyFont="1" applyBorder="1" applyAlignment="1" applyProtection="1">
      <alignment horizontal="center" vertical="center"/>
      <protection hidden="1"/>
    </xf>
    <xf numFmtId="0" fontId="102" fillId="0" borderId="15" xfId="0" applyFont="1" applyBorder="1" applyAlignment="1" applyProtection="1">
      <alignment horizontal="left" vertical="center" indent="1"/>
      <protection locked="0" hidden="1"/>
    </xf>
    <xf numFmtId="0" fontId="102" fillId="0" borderId="15" xfId="0" applyFont="1" applyBorder="1" applyAlignment="1" applyProtection="1">
      <alignment horizontal="center" vertical="center"/>
      <protection locked="0"/>
    </xf>
    <xf numFmtId="171" fontId="22" fillId="0" borderId="15" xfId="0" applyNumberFormat="1" applyFont="1" applyBorder="1" applyAlignment="1" applyProtection="1">
      <alignment horizontal="center" vertical="center"/>
      <protection locked="0"/>
    </xf>
    <xf numFmtId="168" fontId="102" fillId="0" borderId="15" xfId="0" applyNumberFormat="1" applyFont="1" applyBorder="1" applyAlignment="1" applyProtection="1">
      <alignment horizontal="center" vertical="center"/>
      <protection locked="0"/>
    </xf>
    <xf numFmtId="0" fontId="102" fillId="0" borderId="15" xfId="0" applyFont="1" applyBorder="1" applyAlignment="1" applyProtection="1">
      <alignment horizontal="center" vertical="center"/>
      <protection locked="0" hidden="1"/>
    </xf>
    <xf numFmtId="0" fontId="55" fillId="0" borderId="15" xfId="0" applyFont="1" applyBorder="1" applyAlignment="1" applyProtection="1">
      <alignment horizontal="center" vertical="center"/>
      <protection locked="0" hidden="1"/>
    </xf>
    <xf numFmtId="180" fontId="102" fillId="0" borderId="15" xfId="0" applyNumberFormat="1"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hidden="1"/>
    </xf>
    <xf numFmtId="0" fontId="103" fillId="0" borderId="0" xfId="0" applyFont="1" applyBorder="1" applyAlignment="1" applyProtection="1">
      <protection locked="0"/>
    </xf>
    <xf numFmtId="0" fontId="22" fillId="0"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171" fontId="16" fillId="56" borderId="0" xfId="0" applyNumberFormat="1" applyFont="1" applyFill="1" applyBorder="1">
      <alignment horizontal="right"/>
    </xf>
    <xf numFmtId="171" fontId="16" fillId="56" borderId="0" xfId="0" applyNumberFormat="1" applyFont="1" applyFill="1" applyBorder="1" applyProtection="1">
      <alignment horizontal="right"/>
      <protection hidden="1"/>
    </xf>
    <xf numFmtId="171" fontId="16" fillId="56" borderId="76" xfId="0" applyNumberFormat="1" applyFont="1" applyFill="1" applyBorder="1" applyProtection="1">
      <alignment horizontal="right"/>
      <protection hidden="1"/>
    </xf>
    <xf numFmtId="171" fontId="16" fillId="56" borderId="77" xfId="0" applyNumberFormat="1" applyFont="1" applyFill="1" applyBorder="1" applyProtection="1">
      <alignment horizontal="right"/>
      <protection hidden="1"/>
    </xf>
    <xf numFmtId="171" fontId="16" fillId="56" borderId="78" xfId="0" applyNumberFormat="1" applyFont="1" applyFill="1" applyBorder="1" applyProtection="1">
      <alignment horizontal="right"/>
      <protection hidden="1"/>
    </xf>
    <xf numFmtId="171" fontId="16" fillId="56" borderId="79" xfId="0" applyNumberFormat="1" applyFont="1" applyFill="1" applyBorder="1" applyProtection="1">
      <alignment horizontal="right"/>
      <protection hidden="1"/>
    </xf>
    <xf numFmtId="171" fontId="16" fillId="56" borderId="80" xfId="0" applyNumberFormat="1" applyFont="1" applyFill="1" applyBorder="1" applyProtection="1">
      <alignment horizontal="right"/>
      <protection hidden="1"/>
    </xf>
    <xf numFmtId="171" fontId="88" fillId="56" borderId="0" xfId="0" applyNumberFormat="1" applyFont="1" applyFill="1" applyBorder="1" applyAlignment="1" applyProtection="1">
      <alignment horizontal="center" vertical="center"/>
      <protection hidden="1"/>
    </xf>
    <xf numFmtId="171" fontId="250" fillId="56" borderId="0" xfId="32" applyNumberFormat="1" applyFont="1" applyFill="1" applyBorder="1" applyAlignment="1" applyProtection="1">
      <alignment horizontal="left" vertical="center" indent="1"/>
      <protection locked="0"/>
    </xf>
    <xf numFmtId="171" fontId="16" fillId="56" borderId="0" xfId="0" applyNumberFormat="1" applyFont="1" applyFill="1" applyBorder="1" applyAlignment="1">
      <alignment horizontal="right" vertical="center"/>
    </xf>
    <xf numFmtId="171" fontId="16" fillId="56" borderId="79" xfId="0" applyNumberFormat="1" applyFont="1" applyFill="1" applyBorder="1" applyAlignment="1" applyProtection="1">
      <alignment horizontal="right" vertical="center"/>
      <protection hidden="1"/>
    </xf>
    <xf numFmtId="171" fontId="16" fillId="56" borderId="82" xfId="0" applyNumberFormat="1" applyFont="1" applyFill="1" applyBorder="1" applyProtection="1">
      <alignment horizontal="right"/>
      <protection hidden="1"/>
    </xf>
    <xf numFmtId="171" fontId="16" fillId="56" borderId="83" xfId="0" applyNumberFormat="1" applyFont="1" applyFill="1" applyBorder="1" applyProtection="1">
      <alignment horizontal="right"/>
      <protection hidden="1"/>
    </xf>
    <xf numFmtId="171" fontId="16" fillId="56" borderId="84" xfId="0" applyNumberFormat="1" applyFont="1" applyFill="1" applyBorder="1" applyProtection="1">
      <alignment horizontal="right"/>
      <protection hidden="1"/>
    </xf>
    <xf numFmtId="171" fontId="124" fillId="56" borderId="0" xfId="0" applyNumberFormat="1" applyFont="1" applyFill="1" applyBorder="1">
      <alignment horizontal="right"/>
    </xf>
    <xf numFmtId="171" fontId="16" fillId="56" borderId="79" xfId="0" applyNumberFormat="1" applyFont="1" applyFill="1" applyBorder="1" applyAlignment="1" applyProtection="1">
      <alignment horizontal="left" indent="1"/>
      <protection hidden="1"/>
    </xf>
    <xf numFmtId="171" fontId="16" fillId="56" borderId="0" xfId="0" applyNumberFormat="1" applyFont="1" applyFill="1" applyBorder="1" applyAlignment="1" applyProtection="1">
      <alignment horizontal="left" indent="1"/>
      <protection hidden="1"/>
    </xf>
    <xf numFmtId="171" fontId="250" fillId="56" borderId="0" xfId="32" applyNumberFormat="1" applyFont="1" applyFill="1" applyBorder="1" applyAlignment="1" applyProtection="1">
      <alignment horizontal="left" indent="1"/>
      <protection locked="0"/>
    </xf>
    <xf numFmtId="171" fontId="16" fillId="56" borderId="80" xfId="0" applyNumberFormat="1" applyFont="1" applyFill="1" applyBorder="1" applyAlignment="1" applyProtection="1">
      <alignment horizontal="left" indent="1"/>
      <protection hidden="1"/>
    </xf>
    <xf numFmtId="171" fontId="16" fillId="56" borderId="0" xfId="0" applyNumberFormat="1" applyFont="1" applyFill="1" applyBorder="1" applyAlignment="1">
      <alignment horizontal="left" indent="1"/>
    </xf>
    <xf numFmtId="0" fontId="254" fillId="0" borderId="0" xfId="0" applyFont="1" applyFill="1" applyBorder="1" applyProtection="1">
      <alignment horizontal="right"/>
      <protection locked="0"/>
    </xf>
    <xf numFmtId="168" fontId="254" fillId="0" borderId="0" xfId="0" applyNumberFormat="1" applyFont="1" applyFill="1" applyBorder="1" applyAlignment="1" applyProtection="1">
      <alignment horizontal="center"/>
      <protection locked="0"/>
    </xf>
    <xf numFmtId="3" fontId="99" fillId="0" borderId="0" xfId="0" applyNumberFormat="1" applyFont="1" applyBorder="1" applyAlignment="1" applyProtection="1">
      <alignment vertical="center"/>
      <protection hidden="1"/>
    </xf>
    <xf numFmtId="171" fontId="257" fillId="60" borderId="85" xfId="32" applyNumberFormat="1" applyFont="1" applyFill="1" applyBorder="1" applyAlignment="1" applyProtection="1">
      <alignment horizontal="left" indent="1"/>
      <protection locked="0"/>
    </xf>
    <xf numFmtId="171" fontId="258" fillId="56" borderId="0" xfId="0" applyNumberFormat="1" applyFont="1" applyFill="1" applyBorder="1" applyAlignment="1" applyProtection="1">
      <alignment horizontal="left" indent="1"/>
      <protection hidden="1"/>
    </xf>
    <xf numFmtId="171" fontId="259" fillId="56" borderId="0" xfId="0" applyNumberFormat="1" applyFont="1" applyFill="1" applyBorder="1" applyAlignment="1">
      <alignment horizontal="left"/>
    </xf>
    <xf numFmtId="171" fontId="259" fillId="56" borderId="0" xfId="0" applyNumberFormat="1" applyFont="1" applyFill="1" applyBorder="1" applyAlignment="1">
      <alignment horizontal="left" indent="1"/>
    </xf>
    <xf numFmtId="171" fontId="260" fillId="56" borderId="0" xfId="0" applyNumberFormat="1" applyFont="1" applyFill="1" applyBorder="1" applyAlignment="1" applyProtection="1">
      <alignment horizontal="center" vertical="center"/>
      <protection hidden="1"/>
    </xf>
    <xf numFmtId="171" fontId="261" fillId="60" borderId="86" xfId="32" applyNumberFormat="1" applyFont="1" applyFill="1" applyBorder="1" applyAlignment="1" applyProtection="1">
      <alignment horizontal="left" vertical="top" indent="1"/>
      <protection locked="0"/>
    </xf>
    <xf numFmtId="171" fontId="124" fillId="56" borderId="0" xfId="0" applyNumberFormat="1" applyFont="1" applyFill="1" applyBorder="1" applyAlignment="1" applyProtection="1">
      <alignment horizontal="left"/>
      <protection locked="0"/>
    </xf>
    <xf numFmtId="171" fontId="124" fillId="56" borderId="0" xfId="0" applyNumberFormat="1" applyFont="1" applyFill="1" applyBorder="1" applyAlignment="1" applyProtection="1">
      <alignment horizontal="left" indent="1"/>
      <protection locked="0"/>
    </xf>
    <xf numFmtId="0" fontId="16" fillId="64" borderId="122" xfId="0" applyFont="1" applyFill="1" applyBorder="1">
      <alignment horizontal="right"/>
    </xf>
    <xf numFmtId="0" fontId="16" fillId="64" borderId="123" xfId="0" applyFont="1" applyFill="1" applyBorder="1" applyProtection="1">
      <alignment horizontal="right"/>
      <protection hidden="1"/>
    </xf>
    <xf numFmtId="0" fontId="16" fillId="64" borderId="123" xfId="0" applyFont="1" applyFill="1" applyBorder="1">
      <alignment horizontal="right"/>
    </xf>
    <xf numFmtId="0" fontId="251" fillId="64" borderId="123" xfId="32" applyFont="1" applyFill="1" applyBorder="1" applyAlignment="1" applyProtection="1">
      <alignment horizontal="left" vertical="center" wrapText="1" indent="1"/>
      <protection locked="0"/>
    </xf>
    <xf numFmtId="0" fontId="16" fillId="64" borderId="124" xfId="0" applyFont="1" applyFill="1" applyBorder="1" applyProtection="1">
      <alignment horizontal="right"/>
      <protection hidden="1"/>
    </xf>
    <xf numFmtId="0" fontId="16" fillId="64" borderId="125" xfId="0" applyFont="1" applyFill="1" applyBorder="1">
      <alignment horizontal="right"/>
    </xf>
    <xf numFmtId="0" fontId="16" fillId="64" borderId="0" xfId="0" applyFont="1" applyFill="1" applyBorder="1" applyProtection="1">
      <alignment horizontal="right"/>
      <protection hidden="1"/>
    </xf>
    <xf numFmtId="0" fontId="16" fillId="64" borderId="126" xfId="0" applyFont="1" applyFill="1" applyBorder="1" applyProtection="1">
      <alignment horizontal="right"/>
      <protection hidden="1"/>
    </xf>
    <xf numFmtId="0" fontId="16" fillId="64" borderId="125" xfId="0" applyFont="1" applyFill="1" applyBorder="1" applyProtection="1">
      <alignment horizontal="right"/>
      <protection hidden="1"/>
    </xf>
    <xf numFmtId="166" fontId="65" fillId="0" borderId="0" xfId="0" applyNumberFormat="1" applyFont="1" applyFill="1" applyBorder="1" applyAlignment="1" applyProtection="1">
      <protection locked="0"/>
    </xf>
    <xf numFmtId="166" fontId="278" fillId="0" borderId="0" xfId="0" applyNumberFormat="1" applyFont="1" applyFill="1" applyBorder="1" applyAlignment="1" applyProtection="1">
      <alignment horizontal="left" vertical="center" indent="1"/>
      <protection hidden="1"/>
    </xf>
    <xf numFmtId="0" fontId="16" fillId="0" borderId="0" xfId="0" applyFont="1" applyBorder="1" applyAlignment="1" applyProtection="1">
      <alignment horizontal="center"/>
      <protection locked="0"/>
    </xf>
    <xf numFmtId="0" fontId="188" fillId="0" borderId="0" xfId="0" applyFont="1" applyBorder="1" applyAlignment="1">
      <alignment vertical="center"/>
    </xf>
    <xf numFmtId="0" fontId="188" fillId="0" borderId="0" xfId="0" applyFont="1" applyFill="1" applyBorder="1" applyAlignment="1">
      <alignment vertical="center"/>
    </xf>
    <xf numFmtId="0" fontId="189" fillId="53" borderId="0" xfId="0" applyFont="1" applyFill="1" applyBorder="1" applyAlignment="1">
      <alignment vertical="center"/>
    </xf>
    <xf numFmtId="0" fontId="187" fillId="0" borderId="0" xfId="0" applyFont="1" applyBorder="1" applyAlignment="1" applyProtection="1">
      <alignment vertical="center"/>
      <protection locked="0"/>
    </xf>
    <xf numFmtId="0" fontId="189" fillId="0" borderId="0" xfId="0" applyFont="1" applyBorder="1" applyAlignment="1">
      <alignment vertical="center"/>
    </xf>
    <xf numFmtId="0" fontId="191" fillId="0" borderId="0" xfId="0" applyFont="1" applyBorder="1" applyAlignment="1">
      <alignment vertical="center"/>
    </xf>
    <xf numFmtId="9" fontId="281" fillId="0" borderId="0" xfId="0" applyNumberFormat="1" applyFont="1" applyBorder="1" applyAlignment="1">
      <alignment horizontal="center" vertical="center"/>
    </xf>
    <xf numFmtId="0" fontId="187" fillId="0" borderId="0" xfId="0" applyFont="1" applyBorder="1" applyAlignment="1" applyProtection="1">
      <alignment horizontal="right" vertical="center"/>
      <protection locked="0"/>
    </xf>
    <xf numFmtId="0" fontId="187" fillId="0" borderId="0" xfId="0" applyFont="1" applyBorder="1" applyAlignment="1" applyProtection="1">
      <protection locked="0"/>
    </xf>
    <xf numFmtId="0" fontId="189" fillId="53" borderId="0" xfId="0" applyFont="1" applyFill="1" applyBorder="1" applyAlignment="1">
      <alignment vertical="top"/>
    </xf>
    <xf numFmtId="0" fontId="284" fillId="0" borderId="0" xfId="0" applyFont="1" applyBorder="1" applyAlignment="1">
      <alignment vertical="center"/>
    </xf>
    <xf numFmtId="0" fontId="188" fillId="0" borderId="0" xfId="0" applyFont="1" applyBorder="1" applyAlignment="1">
      <alignment horizontal="center" vertical="center"/>
    </xf>
    <xf numFmtId="3" fontId="188" fillId="0" borderId="0" xfId="0" applyNumberFormat="1" applyFont="1" applyBorder="1" applyAlignment="1">
      <alignment vertical="center"/>
    </xf>
    <xf numFmtId="0" fontId="188" fillId="0" borderId="0" xfId="0" applyFont="1" applyBorder="1" applyAlignment="1">
      <alignment horizontal="left" vertical="center" indent="1"/>
    </xf>
    <xf numFmtId="0" fontId="188" fillId="0" borderId="0" xfId="0" applyFont="1" applyFill="1" applyBorder="1" applyAlignment="1">
      <alignment horizontal="center" vertical="center"/>
    </xf>
    <xf numFmtId="0" fontId="281" fillId="53" borderId="0" xfId="0" applyFont="1" applyFill="1" applyBorder="1" applyAlignment="1">
      <alignment horizontal="left" vertical="center" indent="1"/>
    </xf>
    <xf numFmtId="9" fontId="281" fillId="53" borderId="0" xfId="0" quotePrefix="1" applyNumberFormat="1" applyFont="1" applyFill="1" applyBorder="1" applyAlignment="1">
      <alignment horizontal="center" vertical="center"/>
    </xf>
    <xf numFmtId="0" fontId="287" fillId="0" borderId="0" xfId="0" applyFont="1" applyBorder="1" applyProtection="1">
      <alignment horizontal="right"/>
      <protection locked="0"/>
    </xf>
    <xf numFmtId="0" fontId="287" fillId="0" borderId="0" xfId="0" applyFont="1" applyFill="1" applyBorder="1" applyAlignment="1" applyProtection="1">
      <alignment horizontal="center" vertical="center"/>
      <protection locked="0"/>
    </xf>
    <xf numFmtId="0" fontId="287" fillId="0" borderId="0" xfId="0" applyFont="1" applyBorder="1" applyAlignment="1" applyProtection="1">
      <alignment horizontal="center" vertical="center"/>
      <protection locked="0"/>
    </xf>
    <xf numFmtId="0" fontId="288" fillId="0" borderId="0" xfId="0" applyFont="1" applyBorder="1" applyAlignment="1" applyProtection="1">
      <alignment horizontal="center"/>
      <protection locked="0"/>
    </xf>
    <xf numFmtId="0" fontId="56" fillId="0" borderId="0" xfId="0" applyFont="1" applyFill="1" applyBorder="1" applyAlignment="1" applyProtection="1">
      <alignment horizontal="right" vertical="center"/>
      <protection hidden="1"/>
    </xf>
    <xf numFmtId="0" fontId="68" fillId="0" borderId="0" xfId="0"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0" applyFont="1" applyBorder="1" applyAlignment="1" applyProtection="1">
      <alignment horizontal="right"/>
      <protection locked="0"/>
    </xf>
    <xf numFmtId="0" fontId="53" fillId="0" borderId="0" xfId="0" applyFont="1" applyBorder="1" applyAlignment="1" applyProtection="1">
      <alignment horizontal="right"/>
      <protection locked="0"/>
    </xf>
    <xf numFmtId="0" fontId="92" fillId="0" borderId="0" xfId="0" applyFont="1" applyBorder="1" applyAlignment="1" applyProtection="1">
      <alignment horizontal="right" vertical="center" indent="1"/>
      <protection locked="0"/>
    </xf>
    <xf numFmtId="0" fontId="16" fillId="0" borderId="0" xfId="0" applyFont="1" applyBorder="1" applyAlignment="1" applyProtection="1">
      <alignment horizontal="right"/>
      <protection locked="0"/>
    </xf>
    <xf numFmtId="0" fontId="287" fillId="0" borderId="0" xfId="0" applyFont="1" applyBorder="1" applyAlignment="1" applyProtection="1">
      <alignment horizontal="right"/>
      <protection locked="0"/>
    </xf>
    <xf numFmtId="0" fontId="56" fillId="0" borderId="0" xfId="0" applyFont="1" applyFill="1" applyBorder="1" applyAlignment="1" applyProtection="1">
      <alignment horizontal="left" vertical="center"/>
      <protection hidden="1"/>
    </xf>
    <xf numFmtId="0" fontId="19" fillId="0" borderId="0" xfId="0" applyFont="1" applyBorder="1" applyAlignment="1" applyProtection="1">
      <alignment horizontal="left"/>
      <protection hidden="1"/>
    </xf>
    <xf numFmtId="0" fontId="18" fillId="0" borderId="0" xfId="0" applyFont="1" applyBorder="1" applyAlignment="1" applyProtection="1">
      <alignment horizontal="left"/>
      <protection locked="0"/>
    </xf>
    <xf numFmtId="0" fontId="289" fillId="0" borderId="0" xfId="0" applyFont="1" applyBorder="1" applyAlignment="1" applyProtection="1">
      <alignment horizontal="left"/>
      <protection locked="0"/>
    </xf>
    <xf numFmtId="0" fontId="19" fillId="0" borderId="0" xfId="0" applyFont="1" applyBorder="1" applyAlignment="1" applyProtection="1">
      <alignment horizontal="left"/>
      <protection locked="0"/>
    </xf>
    <xf numFmtId="166" fontId="16" fillId="37" borderId="0" xfId="0" applyNumberFormat="1" applyFont="1" applyFill="1" applyBorder="1" applyAlignment="1" applyProtection="1">
      <protection locked="0"/>
    </xf>
    <xf numFmtId="0" fontId="58" fillId="0" borderId="0" xfId="0" applyFont="1" applyBorder="1" applyAlignment="1" applyProtection="1">
      <alignment horizontal="right" vertical="center" indent="1"/>
      <protection locked="0"/>
    </xf>
    <xf numFmtId="0" fontId="0" fillId="0" borderId="0" xfId="0" applyBorder="1" applyAlignment="1">
      <alignment vertical="center"/>
    </xf>
    <xf numFmtId="0" fontId="68" fillId="0" borderId="0" xfId="0" applyFont="1" applyFill="1" applyBorder="1" applyAlignment="1" applyProtection="1">
      <alignment horizontal="right" vertical="center"/>
      <protection locked="0"/>
    </xf>
    <xf numFmtId="168" fontId="37" fillId="0" borderId="0" xfId="0" applyNumberFormat="1" applyFont="1" applyFill="1" applyBorder="1" applyAlignment="1" applyProtection="1">
      <alignment vertical="center"/>
      <protection locked="0"/>
    </xf>
    <xf numFmtId="0" fontId="216" fillId="0" borderId="73" xfId="0" applyFont="1" applyBorder="1" applyAlignment="1" applyProtection="1">
      <alignment horizontal="center" vertical="center"/>
      <protection locked="0" hidden="1"/>
    </xf>
    <xf numFmtId="0" fontId="185" fillId="0" borderId="0" xfId="0" applyNumberFormat="1" applyFont="1" applyFill="1" applyBorder="1" applyAlignment="1" applyProtection="1">
      <alignment horizontal="center" vertical="center"/>
      <protection hidden="1"/>
    </xf>
    <xf numFmtId="10" fontId="16" fillId="0" borderId="0" xfId="0" applyNumberFormat="1" applyFont="1" applyBorder="1" applyProtection="1">
      <alignment horizontal="right"/>
      <protection locked="0"/>
    </xf>
    <xf numFmtId="3" fontId="182" fillId="0" borderId="0" xfId="0" applyNumberFormat="1" applyFont="1" applyBorder="1" applyAlignment="1" applyProtection="1">
      <alignment horizontal="right" indent="1"/>
      <protection hidden="1"/>
    </xf>
    <xf numFmtId="9" fontId="182" fillId="0" borderId="0" xfId="0" applyNumberFormat="1" applyFont="1" applyBorder="1" applyAlignment="1" applyProtection="1">
      <alignment horizontal="center"/>
      <protection hidden="1"/>
    </xf>
    <xf numFmtId="9" fontId="182" fillId="0" borderId="0" xfId="0" applyNumberFormat="1" applyFont="1" applyBorder="1" applyAlignment="1" applyProtection="1">
      <alignment horizontal="right" indent="1"/>
      <protection hidden="1"/>
    </xf>
    <xf numFmtId="3" fontId="16" fillId="0" borderId="0" xfId="0" applyNumberFormat="1" applyFont="1" applyFill="1" applyBorder="1" applyAlignment="1" applyProtection="1">
      <alignment horizontal="right" vertical="center"/>
      <protection locked="0"/>
    </xf>
    <xf numFmtId="0" fontId="187" fillId="0" borderId="0" xfId="0" applyFont="1" applyBorder="1" applyAlignment="1" applyProtection="1">
      <alignment vertical="top"/>
      <protection locked="0"/>
    </xf>
    <xf numFmtId="0" fontId="0" fillId="0" borderId="0" xfId="0" applyBorder="1" applyAlignment="1">
      <alignment vertical="top"/>
    </xf>
    <xf numFmtId="0" fontId="16" fillId="0" borderId="0" xfId="0" applyFont="1" applyBorder="1" applyAlignment="1" applyProtection="1">
      <alignment horizontal="center"/>
      <protection locked="0"/>
    </xf>
    <xf numFmtId="168" fontId="296" fillId="0" borderId="0" xfId="0" applyNumberFormat="1" applyFont="1" applyFill="1" applyBorder="1" applyAlignment="1" applyProtection="1">
      <alignment vertical="center"/>
      <protection locked="0"/>
    </xf>
    <xf numFmtId="2" fontId="182" fillId="0" borderId="0" xfId="0" applyNumberFormat="1" applyFont="1" applyBorder="1" applyAlignment="1" applyProtection="1">
      <alignment horizontal="center" vertical="center"/>
      <protection locked="0"/>
    </xf>
    <xf numFmtId="1" fontId="185" fillId="0" borderId="0" xfId="0" applyNumberFormat="1" applyFont="1" applyFill="1" applyBorder="1" applyAlignment="1" applyProtection="1">
      <alignment horizontal="center"/>
      <protection locked="0"/>
    </xf>
    <xf numFmtId="0" fontId="186" fillId="0" borderId="0" xfId="0" applyFont="1" applyBorder="1" applyAlignment="1" applyProtection="1">
      <alignment horizontal="center"/>
      <protection locked="0"/>
    </xf>
    <xf numFmtId="166" fontId="200" fillId="0" borderId="0" xfId="0" applyNumberFormat="1" applyFont="1" applyFill="1" applyBorder="1" applyAlignment="1">
      <alignment horizontal="center"/>
    </xf>
    <xf numFmtId="175" fontId="200" fillId="0" borderId="0" xfId="0" applyNumberFormat="1" applyFont="1" applyFill="1" applyBorder="1" applyAlignment="1">
      <alignment horizontal="center" vertical="top"/>
    </xf>
    <xf numFmtId="0" fontId="16" fillId="0" borderId="130" xfId="0" applyFont="1" applyBorder="1" applyProtection="1">
      <alignment horizontal="right"/>
      <protection locked="0"/>
    </xf>
    <xf numFmtId="0" fontId="301" fillId="31" borderId="0" xfId="0" applyFont="1" applyFill="1" applyBorder="1" applyAlignment="1" applyProtection="1">
      <alignment horizontal="center"/>
      <protection locked="0"/>
    </xf>
    <xf numFmtId="0" fontId="301" fillId="0" borderId="0" xfId="0" applyFont="1" applyBorder="1" applyAlignment="1" applyProtection="1">
      <alignment horizontal="center"/>
      <protection hidden="1"/>
    </xf>
    <xf numFmtId="0" fontId="301" fillId="0" borderId="0" xfId="0" applyFont="1" applyBorder="1" applyAlignment="1" applyProtection="1">
      <alignment horizontal="center"/>
      <protection locked="0"/>
    </xf>
    <xf numFmtId="166" fontId="304" fillId="0" borderId="0" xfId="0" applyNumberFormat="1" applyFont="1" applyBorder="1" applyAlignment="1" applyProtection="1">
      <alignment vertical="center"/>
      <protection locked="0"/>
    </xf>
    <xf numFmtId="0" fontId="306" fillId="0" borderId="0" xfId="0" applyFont="1" applyFill="1" applyBorder="1" applyAlignment="1" applyProtection="1">
      <alignment vertical="center" wrapText="1"/>
      <protection hidden="1"/>
    </xf>
    <xf numFmtId="168" fontId="307" fillId="0" borderId="0" xfId="0" applyNumberFormat="1" applyFont="1" applyFill="1" applyBorder="1" applyAlignment="1" applyProtection="1">
      <alignment horizontal="center" vertical="center"/>
      <protection locked="0"/>
    </xf>
    <xf numFmtId="0" fontId="295" fillId="0" borderId="0" xfId="0" applyFont="1" applyBorder="1" applyAlignment="1">
      <alignment vertical="center"/>
    </xf>
    <xf numFmtId="0" fontId="292" fillId="0" borderId="0" xfId="0" applyFont="1" applyBorder="1" applyAlignment="1" applyProtection="1">
      <alignment horizontal="right" vertical="center"/>
      <protection hidden="1"/>
    </xf>
    <xf numFmtId="168" fontId="204" fillId="0" borderId="0" xfId="0" applyNumberFormat="1" applyFont="1" applyFill="1" applyBorder="1" applyAlignment="1" applyProtection="1">
      <alignment horizontal="center"/>
      <protection locked="0"/>
    </xf>
    <xf numFmtId="0" fontId="310" fillId="0" borderId="0" xfId="0" applyFont="1" applyBorder="1" applyAlignment="1" applyProtection="1">
      <alignment horizontal="center" vertical="center" wrapText="1"/>
      <protection hidden="1"/>
    </xf>
    <xf numFmtId="0" fontId="311" fillId="0" borderId="0" xfId="0" applyFont="1" applyBorder="1" applyAlignment="1" applyProtection="1">
      <alignment horizontal="center" vertical="center" wrapText="1"/>
      <protection hidden="1"/>
    </xf>
    <xf numFmtId="0" fontId="4" fillId="0" borderId="131" xfId="0" applyFont="1" applyBorder="1" applyAlignment="1">
      <alignment vertical="center"/>
    </xf>
    <xf numFmtId="0" fontId="317" fillId="0" borderId="0" xfId="0" applyFont="1" applyFill="1" applyBorder="1" applyAlignment="1" applyProtection="1">
      <alignment horizontal="right" indent="1"/>
      <protection locked="0"/>
    </xf>
    <xf numFmtId="169" fontId="317" fillId="0" borderId="0" xfId="0" applyNumberFormat="1" applyFont="1" applyFill="1" applyBorder="1" applyAlignment="1" applyProtection="1">
      <alignment horizontal="center"/>
      <protection locked="0"/>
    </xf>
    <xf numFmtId="0" fontId="314" fillId="0" borderId="0" xfId="0" applyFont="1" applyBorder="1" applyAlignment="1">
      <alignment vertical="center" wrapText="1"/>
    </xf>
    <xf numFmtId="169" fontId="317" fillId="0" borderId="0" xfId="0" applyNumberFormat="1" applyFont="1" applyFill="1" applyBorder="1" applyAlignment="1" applyProtection="1">
      <alignment horizontal="right" indent="1"/>
      <protection locked="0"/>
    </xf>
    <xf numFmtId="169" fontId="319" fillId="0" borderId="0" xfId="0" applyNumberFormat="1" applyFont="1" applyFill="1" applyBorder="1" applyAlignment="1" applyProtection="1">
      <alignment horizontal="center"/>
      <protection locked="0"/>
    </xf>
    <xf numFmtId="169" fontId="40" fillId="0" borderId="0" xfId="0" applyNumberFormat="1" applyFont="1" applyFill="1" applyBorder="1" applyAlignment="1" applyProtection="1">
      <alignment horizontal="right" indent="1"/>
      <protection locked="0"/>
    </xf>
    <xf numFmtId="168" fontId="201" fillId="0" borderId="0" xfId="0" applyNumberFormat="1" applyFont="1" applyFill="1" applyBorder="1" applyAlignment="1" applyProtection="1">
      <alignment horizontal="center"/>
      <protection locked="0"/>
    </xf>
    <xf numFmtId="0" fontId="201" fillId="0" borderId="0" xfId="0" applyFont="1" applyFill="1" applyBorder="1" applyProtection="1">
      <alignment horizontal="right"/>
      <protection locked="0"/>
    </xf>
    <xf numFmtId="0" fontId="279" fillId="0" borderId="0" xfId="0" applyFont="1" applyBorder="1" applyAlignment="1">
      <alignment vertical="center"/>
    </xf>
    <xf numFmtId="0" fontId="16" fillId="0" borderId="0" xfId="0" applyFont="1" applyBorder="1" applyAlignment="1" applyProtection="1">
      <alignment horizontal="center"/>
      <protection locked="0"/>
    </xf>
    <xf numFmtId="168" fontId="324" fillId="0" borderId="0" xfId="0" applyNumberFormat="1" applyFont="1" applyFill="1" applyBorder="1" applyAlignment="1" applyProtection="1">
      <alignment vertical="center"/>
      <protection locked="0"/>
    </xf>
    <xf numFmtId="0" fontId="191" fillId="0" borderId="0" xfId="0" applyNumberFormat="1" applyFont="1" applyBorder="1" applyAlignment="1">
      <alignment horizontal="center" vertical="center"/>
    </xf>
    <xf numFmtId="1" fontId="191" fillId="0" borderId="0" xfId="23" applyNumberFormat="1" applyFont="1" applyFill="1" applyBorder="1" applyAlignment="1">
      <alignment vertical="center"/>
    </xf>
    <xf numFmtId="0" fontId="191" fillId="53" borderId="0" xfId="0" applyNumberFormat="1" applyFont="1" applyFill="1" applyBorder="1" applyAlignment="1">
      <alignment horizontal="center" vertical="center"/>
    </xf>
    <xf numFmtId="9" fontId="191" fillId="0" borderId="0" xfId="0" applyNumberFormat="1" applyFont="1" applyBorder="1" applyAlignment="1">
      <alignment horizontal="center" vertical="center"/>
    </xf>
    <xf numFmtId="0" fontId="191" fillId="53" borderId="0" xfId="0" applyFont="1" applyFill="1" applyBorder="1" applyAlignment="1">
      <alignment vertical="center"/>
    </xf>
    <xf numFmtId="0" fontId="191" fillId="0" borderId="0" xfId="0" applyFont="1" applyFill="1" applyBorder="1" applyAlignment="1">
      <alignment vertical="center"/>
    </xf>
    <xf numFmtId="0" fontId="190" fillId="53" borderId="0" xfId="0" applyNumberFormat="1" applyFont="1" applyFill="1" applyBorder="1" applyAlignment="1">
      <alignment horizontal="center" vertical="center"/>
    </xf>
    <xf numFmtId="0" fontId="190" fillId="53" borderId="0" xfId="0" applyFont="1" applyFill="1" applyBorder="1" applyAlignment="1">
      <alignment vertical="center"/>
    </xf>
    <xf numFmtId="0" fontId="190" fillId="0" borderId="0" xfId="0" applyFont="1" applyBorder="1" applyAlignment="1">
      <alignment vertical="center"/>
    </xf>
    <xf numFmtId="3" fontId="38" fillId="0" borderId="0" xfId="0" applyNumberFormat="1" applyFont="1" applyBorder="1" applyProtection="1">
      <alignment horizontal="right"/>
      <protection locked="0"/>
    </xf>
    <xf numFmtId="0" fontId="191" fillId="0" borderId="0" xfId="0" applyFont="1" applyBorder="1" applyAlignment="1" applyProtection="1">
      <alignment vertical="center"/>
      <protection hidden="1"/>
    </xf>
    <xf numFmtId="0" fontId="191" fillId="0" borderId="0" xfId="0" applyFont="1" applyFill="1" applyBorder="1" applyAlignment="1" applyProtection="1">
      <alignment vertical="center"/>
      <protection hidden="1"/>
    </xf>
    <xf numFmtId="166" fontId="235" fillId="0" borderId="70" xfId="0" applyNumberFormat="1" applyFont="1" applyFill="1" applyBorder="1" applyAlignment="1" applyProtection="1">
      <alignment vertical="center"/>
      <protection hidden="1"/>
    </xf>
    <xf numFmtId="9" fontId="326" fillId="0" borderId="0" xfId="0" applyNumberFormat="1" applyFont="1" applyFill="1" applyBorder="1" applyAlignment="1" applyProtection="1">
      <alignment horizontal="center" vertical="center"/>
      <protection locked="0"/>
    </xf>
    <xf numFmtId="166" fontId="327" fillId="0" borderId="0" xfId="0" applyNumberFormat="1" applyFont="1" applyFill="1" applyBorder="1" applyAlignment="1" applyProtection="1">
      <alignment vertical="center"/>
      <protection locked="0"/>
    </xf>
    <xf numFmtId="168" fontId="327" fillId="0" borderId="0" xfId="0" applyNumberFormat="1" applyFont="1" applyFill="1" applyBorder="1" applyAlignment="1" applyProtection="1">
      <alignment horizontal="center" vertical="center"/>
      <protection locked="0"/>
    </xf>
    <xf numFmtId="10" fontId="182" fillId="0" borderId="0" xfId="0" applyNumberFormat="1" applyFont="1" applyBorder="1" applyAlignment="1" applyProtection="1">
      <alignment horizontal="center" vertical="center"/>
      <protection hidden="1"/>
    </xf>
    <xf numFmtId="0" fontId="281" fillId="0" borderId="0" xfId="0" applyFont="1" applyFill="1" applyBorder="1" applyAlignment="1">
      <alignment horizontal="center" vertical="center"/>
    </xf>
    <xf numFmtId="0" fontId="37" fillId="0" borderId="0" xfId="0" applyFont="1" applyBorder="1" applyAlignment="1" applyProtection="1">
      <alignment horizontal="right" vertical="center"/>
      <protection locked="0"/>
    </xf>
    <xf numFmtId="0" fontId="65" fillId="0" borderId="0" xfId="0" applyFont="1" applyBorder="1" applyAlignment="1"/>
    <xf numFmtId="0" fontId="18" fillId="0" borderId="0" xfId="0" applyFont="1" applyFill="1" applyBorder="1" applyAlignment="1">
      <alignment vertical="center"/>
    </xf>
    <xf numFmtId="0" fontId="247" fillId="0" borderId="0" xfId="0" applyFont="1" applyBorder="1" applyAlignment="1" applyProtection="1">
      <alignment horizontal="right" vertical="center"/>
      <protection locked="0"/>
    </xf>
    <xf numFmtId="3" fontId="16" fillId="0" borderId="0" xfId="0" applyNumberFormat="1" applyFont="1" applyFill="1" applyBorder="1" applyAlignment="1" applyProtection="1">
      <alignment horizontal="center" vertical="center"/>
      <protection locked="0"/>
    </xf>
    <xf numFmtId="3" fontId="16" fillId="0" borderId="0" xfId="0" applyNumberFormat="1" applyFont="1" applyBorder="1" applyAlignment="1" applyProtection="1">
      <alignment horizontal="center" vertical="center"/>
      <protection locked="0"/>
    </xf>
    <xf numFmtId="3" fontId="55" fillId="0" borderId="0" xfId="0" applyNumberFormat="1" applyFont="1" applyBorder="1" applyAlignment="1" applyProtection="1">
      <alignment horizontal="right" vertical="center"/>
      <protection locked="0"/>
    </xf>
    <xf numFmtId="3" fontId="55" fillId="0" borderId="0" xfId="0" applyNumberFormat="1" applyFont="1" applyFill="1" applyBorder="1" applyAlignment="1" applyProtection="1">
      <alignment horizontal="center" vertical="center"/>
      <protection locked="0"/>
    </xf>
    <xf numFmtId="3" fontId="55" fillId="0" borderId="0" xfId="0" applyNumberFormat="1" applyFont="1" applyBorder="1" applyAlignment="1" applyProtection="1">
      <alignment horizontal="center" vertical="center"/>
      <protection locked="0"/>
    </xf>
    <xf numFmtId="3" fontId="55" fillId="0" borderId="0" xfId="0" applyNumberFormat="1" applyFont="1" applyFill="1" applyBorder="1" applyAlignment="1" applyProtection="1">
      <alignment horizontal="right" vertical="center"/>
      <protection locked="0"/>
    </xf>
    <xf numFmtId="9" fontId="191" fillId="0" borderId="0" xfId="0" applyNumberFormat="1" applyFont="1" applyBorder="1" applyAlignment="1" applyProtection="1">
      <alignment horizontal="center" vertical="center"/>
      <protection hidden="1"/>
    </xf>
    <xf numFmtId="0" fontId="234" fillId="0" borderId="0" xfId="0" applyFont="1" applyBorder="1" applyAlignment="1">
      <alignment vertical="center"/>
    </xf>
    <xf numFmtId="0" fontId="16" fillId="0" borderId="0" xfId="0" applyFont="1" applyBorder="1" applyAlignment="1" applyProtection="1">
      <alignment horizontal="center"/>
      <protection locked="0"/>
    </xf>
    <xf numFmtId="9" fontId="16" fillId="0" borderId="0" xfId="0" applyNumberFormat="1" applyFont="1" applyBorder="1" applyAlignment="1" applyProtection="1">
      <alignment horizontal="right" indent="1"/>
      <protection locked="0"/>
    </xf>
    <xf numFmtId="166" fontId="225" fillId="46" borderId="139" xfId="0" applyNumberFormat="1" applyFont="1" applyFill="1" applyBorder="1" applyAlignment="1" applyProtection="1">
      <alignment vertical="center"/>
      <protection hidden="1"/>
    </xf>
    <xf numFmtId="9" fontId="231" fillId="0" borderId="0" xfId="0" applyNumberFormat="1" applyFont="1" applyFill="1" applyBorder="1" applyAlignment="1" applyProtection="1">
      <alignment horizontal="center" vertical="center"/>
      <protection locked="0"/>
    </xf>
    <xf numFmtId="0" fontId="336" fillId="0" borderId="0" xfId="0" applyFont="1" applyBorder="1" applyProtection="1">
      <alignment horizontal="right"/>
      <protection locked="0"/>
    </xf>
    <xf numFmtId="0" fontId="331" fillId="0" borderId="0" xfId="0" applyFont="1" applyBorder="1" applyProtection="1">
      <alignment horizontal="right"/>
      <protection locked="0"/>
    </xf>
    <xf numFmtId="0" fontId="295" fillId="53" borderId="0" xfId="0" applyNumberFormat="1" applyFont="1" applyFill="1" applyBorder="1" applyAlignment="1">
      <alignment horizontal="center" vertical="center"/>
    </xf>
    <xf numFmtId="0" fontId="295" fillId="53" borderId="0" xfId="0" applyFont="1" applyFill="1" applyBorder="1" applyAlignment="1">
      <alignment vertical="center"/>
    </xf>
    <xf numFmtId="0" fontId="295" fillId="0" borderId="0" xfId="0" applyFont="1" applyFill="1" applyBorder="1" applyAlignment="1">
      <alignment vertical="center"/>
    </xf>
    <xf numFmtId="0" fontId="190" fillId="0" borderId="0" xfId="0" applyNumberFormat="1" applyFont="1" applyBorder="1" applyAlignment="1">
      <alignment horizontal="center" vertical="center"/>
    </xf>
    <xf numFmtId="0" fontId="190" fillId="0" borderId="0" xfId="0" applyFont="1" applyFill="1" applyBorder="1" applyAlignment="1">
      <alignment vertical="center"/>
    </xf>
    <xf numFmtId="3" fontId="18" fillId="0" borderId="0" xfId="0" applyNumberFormat="1" applyFont="1" applyBorder="1" applyAlignment="1" applyProtection="1">
      <alignment horizontal="right" vertical="center"/>
      <protection locked="0"/>
    </xf>
    <xf numFmtId="0" fontId="37" fillId="0" borderId="0" xfId="0" applyFont="1" applyFill="1" applyBorder="1" applyAlignment="1" applyProtection="1">
      <alignment horizontal="right" vertical="center"/>
      <protection locked="0"/>
    </xf>
    <xf numFmtId="3" fontId="37" fillId="0" borderId="0" xfId="0" applyNumberFormat="1" applyFont="1" applyBorder="1" applyAlignment="1" applyProtection="1">
      <alignment horizontal="right" vertical="center"/>
      <protection locked="0"/>
    </xf>
    <xf numFmtId="168" fontId="37" fillId="0" borderId="0" xfId="0" applyNumberFormat="1" applyFont="1" applyBorder="1" applyAlignment="1" applyProtection="1">
      <alignment horizontal="center" vertical="center"/>
      <protection locked="0"/>
    </xf>
    <xf numFmtId="3" fontId="37" fillId="0" borderId="0" xfId="0" applyNumberFormat="1" applyFont="1" applyFill="1" applyBorder="1" applyAlignment="1" applyProtection="1">
      <alignment horizontal="right" vertical="center"/>
      <protection locked="0"/>
    </xf>
    <xf numFmtId="4" fontId="338" fillId="0" borderId="0" xfId="0" applyNumberFormat="1" applyFont="1" applyFill="1" applyBorder="1" applyAlignment="1">
      <alignment horizontal="center" vertical="center"/>
    </xf>
    <xf numFmtId="3" fontId="339" fillId="0" borderId="0" xfId="0" applyNumberFormat="1" applyFont="1" applyFill="1" applyBorder="1" applyAlignment="1" applyProtection="1">
      <alignment horizontal="right" vertical="center"/>
      <protection locked="0"/>
    </xf>
    <xf numFmtId="168" fontId="339" fillId="0" borderId="0" xfId="0" applyNumberFormat="1" applyFont="1" applyFill="1" applyBorder="1" applyAlignment="1" applyProtection="1">
      <alignment horizontal="center" vertical="center"/>
      <protection locked="0"/>
    </xf>
    <xf numFmtId="0" fontId="37" fillId="0" borderId="0" xfId="0" applyFont="1" applyBorder="1" applyProtection="1">
      <alignment horizontal="right"/>
      <protection locked="0"/>
    </xf>
    <xf numFmtId="0" fontId="37" fillId="0" borderId="0" xfId="0" applyFont="1" applyFill="1" applyBorder="1" applyProtection="1">
      <alignment horizontal="right"/>
      <protection locked="0"/>
    </xf>
    <xf numFmtId="0" fontId="18" fillId="0" borderId="0" xfId="0" applyFont="1" applyFill="1" applyBorder="1" applyProtection="1">
      <alignment horizontal="right"/>
      <protection locked="0"/>
    </xf>
    <xf numFmtId="0" fontId="37" fillId="0" borderId="0" xfId="0" applyFont="1" applyFill="1" applyBorder="1" applyAlignment="1" applyProtection="1">
      <alignment vertical="center"/>
      <protection locked="0"/>
    </xf>
    <xf numFmtId="9" fontId="282" fillId="0" borderId="0" xfId="0" applyNumberFormat="1" applyFont="1" applyBorder="1" applyAlignment="1">
      <alignment horizontal="center" vertical="center"/>
    </xf>
    <xf numFmtId="9" fontId="190" fillId="0" borderId="0" xfId="0" applyNumberFormat="1" applyFont="1" applyBorder="1" applyAlignment="1">
      <alignment horizontal="center" vertical="center"/>
    </xf>
    <xf numFmtId="0" fontId="16" fillId="0" borderId="0" xfId="0" applyFont="1" applyBorder="1" applyAlignment="1" applyProtection="1">
      <alignment horizontal="center"/>
      <protection locked="0"/>
    </xf>
    <xf numFmtId="166" fontId="68" fillId="0" borderId="0" xfId="0" applyNumberFormat="1" applyFont="1" applyBorder="1" applyAlignment="1" applyProtection="1">
      <alignment horizontal="center"/>
      <protection locked="0"/>
    </xf>
    <xf numFmtId="0" fontId="4" fillId="0" borderId="0" xfId="0" applyFont="1" applyBorder="1" applyAlignment="1">
      <alignment vertical="center"/>
    </xf>
    <xf numFmtId="4" fontId="338" fillId="0" borderId="0" xfId="0" applyNumberFormat="1" applyFont="1" applyFill="1" applyBorder="1" applyAlignment="1" applyProtection="1">
      <alignment horizontal="center" vertical="center"/>
      <protection hidden="1"/>
    </xf>
    <xf numFmtId="169" fontId="281" fillId="0" borderId="131" xfId="0" quotePrefix="1" applyNumberFormat="1" applyFont="1" applyFill="1" applyBorder="1" applyAlignment="1">
      <alignment horizontal="center" vertical="center"/>
    </xf>
    <xf numFmtId="0" fontId="343" fillId="0" borderId="0" xfId="0" applyFont="1" applyFill="1" applyBorder="1" applyAlignment="1">
      <alignment vertical="center"/>
    </xf>
    <xf numFmtId="175" fontId="271" fillId="37" borderId="148" xfId="0" applyNumberFormat="1" applyFont="1" applyFill="1" applyBorder="1" applyAlignment="1" applyProtection="1">
      <alignment horizontal="center" vertical="center"/>
      <protection hidden="1"/>
    </xf>
    <xf numFmtId="1" fontId="270" fillId="0" borderId="0" xfId="0" applyNumberFormat="1" applyFont="1" applyBorder="1" applyAlignment="1" applyProtection="1">
      <alignment horizontal="center" vertical="center"/>
      <protection hidden="1"/>
    </xf>
    <xf numFmtId="0" fontId="344" fillId="0" borderId="147" xfId="0" applyFont="1" applyBorder="1" applyAlignment="1" applyProtection="1">
      <alignment horizontal="left" vertical="center"/>
      <protection hidden="1"/>
    </xf>
    <xf numFmtId="169" fontId="281" fillId="0" borderId="131" xfId="0" quotePrefix="1" applyNumberFormat="1" applyFont="1" applyFill="1" applyBorder="1" applyAlignment="1" applyProtection="1">
      <alignment horizontal="center" vertical="center"/>
      <protection hidden="1"/>
    </xf>
    <xf numFmtId="9" fontId="281" fillId="0" borderId="0" xfId="0" applyNumberFormat="1" applyFont="1" applyBorder="1" applyAlignment="1" applyProtection="1">
      <alignment horizontal="center" vertical="center"/>
      <protection hidden="1"/>
    </xf>
    <xf numFmtId="1" fontId="191" fillId="0" borderId="0" xfId="0" applyNumberFormat="1" applyFont="1" applyBorder="1" applyAlignment="1" applyProtection="1">
      <alignment horizontal="center" vertical="center"/>
      <protection hidden="1"/>
    </xf>
    <xf numFmtId="1" fontId="191" fillId="0" borderId="0" xfId="0" applyNumberFormat="1" applyFont="1" applyBorder="1" applyAlignment="1" applyProtection="1">
      <alignment vertical="center"/>
      <protection hidden="1"/>
    </xf>
    <xf numFmtId="1" fontId="286" fillId="0" borderId="0" xfId="0" applyNumberFormat="1" applyFont="1" applyBorder="1" applyAlignment="1" applyProtection="1">
      <alignment horizontal="center" vertical="center"/>
      <protection hidden="1"/>
    </xf>
    <xf numFmtId="1" fontId="68" fillId="0" borderId="0" xfId="0" applyNumberFormat="1" applyFont="1" applyBorder="1" applyAlignment="1" applyProtection="1">
      <alignment horizontal="center" vertical="center"/>
      <protection hidden="1"/>
    </xf>
    <xf numFmtId="0" fontId="344" fillId="46" borderId="151" xfId="0" applyFont="1" applyFill="1" applyBorder="1" applyAlignment="1" applyProtection="1">
      <alignment horizontal="left" vertical="center"/>
      <protection hidden="1"/>
    </xf>
    <xf numFmtId="0" fontId="188" fillId="0" borderId="0" xfId="0" applyFont="1" applyBorder="1" applyAlignment="1" applyProtection="1">
      <alignment vertical="center"/>
      <protection hidden="1"/>
    </xf>
    <xf numFmtId="0" fontId="344" fillId="46" borderId="131" xfId="0" applyFont="1" applyFill="1" applyBorder="1" applyAlignment="1" applyProtection="1">
      <alignment horizontal="left" vertical="center"/>
      <protection hidden="1"/>
    </xf>
    <xf numFmtId="3" fontId="188" fillId="0" borderId="0" xfId="0" applyNumberFormat="1" applyFont="1" applyBorder="1" applyAlignment="1" applyProtection="1">
      <alignment vertical="center"/>
      <protection hidden="1"/>
    </xf>
    <xf numFmtId="0" fontId="191" fillId="0" borderId="0" xfId="0" applyNumberFormat="1" applyFont="1" applyBorder="1" applyAlignment="1" applyProtection="1">
      <alignment horizontal="center" vertical="center"/>
      <protection hidden="1"/>
    </xf>
    <xf numFmtId="3" fontId="186"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right" indent="1"/>
      <protection hidden="1"/>
    </xf>
    <xf numFmtId="3" fontId="186" fillId="0" borderId="0" xfId="0" applyNumberFormat="1" applyFont="1" applyBorder="1" applyAlignment="1" applyProtection="1">
      <alignment horizontal="center"/>
      <protection hidden="1"/>
    </xf>
    <xf numFmtId="3" fontId="186" fillId="0" borderId="0" xfId="0" applyNumberFormat="1" applyFont="1" applyBorder="1" applyAlignment="1" applyProtection="1">
      <alignment horizontal="right" indent="1"/>
      <protection hidden="1"/>
    </xf>
    <xf numFmtId="3" fontId="68" fillId="0" borderId="0" xfId="0" applyNumberFormat="1" applyFont="1" applyBorder="1" applyAlignment="1" applyProtection="1">
      <alignment horizontal="center"/>
      <protection hidden="1"/>
    </xf>
    <xf numFmtId="3" fontId="182" fillId="0" borderId="0" xfId="0" applyNumberFormat="1" applyFont="1" applyBorder="1" applyAlignment="1" applyProtection="1">
      <alignment horizontal="right" indent="1"/>
      <protection locked="0"/>
    </xf>
    <xf numFmtId="168" fontId="281" fillId="53" borderId="0" xfId="0" applyNumberFormat="1" applyFont="1" applyFill="1" applyBorder="1" applyAlignment="1" applyProtection="1">
      <alignment horizontal="center" vertical="center"/>
      <protection hidden="1"/>
    </xf>
    <xf numFmtId="0" fontId="346" fillId="0" borderId="0" xfId="0" applyFont="1" applyBorder="1" applyAlignment="1" applyProtection="1">
      <alignment horizontal="right" vertical="center"/>
      <protection hidden="1"/>
    </xf>
    <xf numFmtId="1" fontId="346" fillId="0" borderId="0" xfId="0" applyNumberFormat="1" applyFont="1" applyBorder="1" applyAlignment="1" applyProtection="1">
      <alignment horizontal="center" vertical="center"/>
      <protection hidden="1"/>
    </xf>
    <xf numFmtId="1" fontId="191" fillId="0" borderId="0" xfId="0" applyNumberFormat="1" applyFont="1" applyFill="1" applyBorder="1" applyAlignment="1" applyProtection="1">
      <alignment vertical="center"/>
      <protection hidden="1"/>
    </xf>
    <xf numFmtId="0" fontId="125" fillId="0" borderId="0" xfId="0" applyFont="1" applyFill="1" applyBorder="1" applyAlignment="1" applyProtection="1">
      <alignment horizontal="center" vertical="center" wrapText="1"/>
      <protection locked="0"/>
    </xf>
    <xf numFmtId="166" fontId="246" fillId="0" borderId="71" xfId="0" applyNumberFormat="1" applyFont="1" applyBorder="1" applyAlignment="1" applyProtection="1">
      <alignment vertical="center"/>
      <protection locked="0"/>
    </xf>
    <xf numFmtId="0" fontId="246" fillId="0" borderId="0" xfId="0" applyFont="1" applyFill="1" applyBorder="1" applyProtection="1">
      <alignment horizontal="right"/>
      <protection locked="0"/>
    </xf>
    <xf numFmtId="166" fontId="246" fillId="0" borderId="167" xfId="0" applyNumberFormat="1" applyFont="1" applyBorder="1" applyAlignment="1" applyProtection="1">
      <alignment vertical="center"/>
      <protection locked="0"/>
    </xf>
    <xf numFmtId="166" fontId="246" fillId="0" borderId="167" xfId="0" applyNumberFormat="1" applyFont="1" applyFill="1" applyBorder="1" applyAlignment="1" applyProtection="1">
      <alignment vertical="center"/>
      <protection locked="0"/>
    </xf>
    <xf numFmtId="0" fontId="246" fillId="0" borderId="0" xfId="0" applyFont="1" applyFill="1" applyBorder="1" applyAlignment="1" applyProtection="1">
      <alignment horizontal="left" indent="2"/>
      <protection locked="0"/>
    </xf>
    <xf numFmtId="166" fontId="246" fillId="0" borderId="68" xfId="0" applyNumberFormat="1" applyFont="1" applyFill="1" applyBorder="1" applyAlignment="1" applyProtection="1">
      <alignment vertical="center"/>
      <protection hidden="1"/>
    </xf>
    <xf numFmtId="0" fontId="348" fillId="0" borderId="0" xfId="0" applyFont="1" applyFill="1" applyBorder="1" applyAlignment="1" applyProtection="1">
      <alignment horizontal="left" indent="2"/>
      <protection locked="0"/>
    </xf>
    <xf numFmtId="0" fontId="62" fillId="0" borderId="0" xfId="0" applyFont="1" applyFill="1" applyBorder="1" applyAlignment="1" applyProtection="1">
      <alignment vertical="center"/>
      <protection hidden="1"/>
    </xf>
    <xf numFmtId="166" fontId="349" fillId="0" borderId="0" xfId="0" applyNumberFormat="1" applyFont="1" applyFill="1" applyBorder="1" applyAlignment="1" applyProtection="1">
      <alignment vertical="center"/>
      <protection hidden="1"/>
    </xf>
    <xf numFmtId="0" fontId="149" fillId="0" borderId="0" xfId="0" applyFont="1" applyBorder="1" applyProtection="1">
      <alignment horizontal="right"/>
      <protection locked="0"/>
    </xf>
    <xf numFmtId="166" fontId="104" fillId="0" borderId="0" xfId="0" applyNumberFormat="1" applyFont="1" applyFill="1" applyBorder="1" applyAlignment="1" applyProtection="1">
      <alignment horizontal="center" vertical="center" wrapText="1"/>
      <protection hidden="1"/>
    </xf>
    <xf numFmtId="166" fontId="104" fillId="0" borderId="0" xfId="0" applyNumberFormat="1" applyFont="1" applyFill="1" applyBorder="1" applyAlignment="1" applyProtection="1">
      <alignment horizontal="center" vertical="center"/>
      <protection hidden="1"/>
    </xf>
    <xf numFmtId="197" fontId="58" fillId="0" borderId="0" xfId="0" applyNumberFormat="1" applyFont="1" applyFill="1" applyBorder="1" applyAlignment="1" applyProtection="1">
      <alignment horizontal="center" vertical="center"/>
      <protection hidden="1"/>
    </xf>
    <xf numFmtId="174" fontId="104" fillId="0" borderId="0" xfId="0" applyNumberFormat="1" applyFont="1" applyFill="1" applyBorder="1" applyAlignment="1" applyProtection="1">
      <alignment horizontal="center" vertical="center"/>
      <protection locked="0"/>
    </xf>
    <xf numFmtId="3" fontId="65" fillId="0" borderId="0" xfId="0" applyNumberFormat="1" applyFont="1" applyFill="1" applyBorder="1" applyAlignment="1" applyProtection="1">
      <alignment horizontal="center"/>
      <protection locked="0"/>
    </xf>
    <xf numFmtId="0" fontId="0" fillId="0" borderId="25" xfId="0" applyBorder="1" applyAlignment="1">
      <alignment vertical="center"/>
    </xf>
    <xf numFmtId="0" fontId="20" fillId="27" borderId="85" xfId="0" applyFont="1" applyFill="1" applyBorder="1" applyAlignment="1" applyProtection="1">
      <alignment horizontal="center"/>
      <protection hidden="1"/>
    </xf>
    <xf numFmtId="0" fontId="20" fillId="27" borderId="189" xfId="0" applyFont="1" applyFill="1" applyBorder="1" applyAlignment="1" applyProtection="1">
      <alignment horizontal="center"/>
      <protection hidden="1"/>
    </xf>
    <xf numFmtId="0" fontId="68" fillId="0" borderId="0" xfId="0" applyFont="1" applyBorder="1" applyAlignment="1" applyProtection="1">
      <alignment horizontal="right" vertical="top"/>
      <protection locked="0"/>
    </xf>
    <xf numFmtId="165" fontId="200" fillId="50" borderId="192" xfId="0" applyNumberFormat="1" applyFont="1" applyFill="1" applyBorder="1" applyAlignment="1" applyProtection="1">
      <alignment horizontal="center" vertical="center"/>
      <protection hidden="1"/>
    </xf>
    <xf numFmtId="3" fontId="68" fillId="0" borderId="188" xfId="0" applyNumberFormat="1" applyFont="1" applyBorder="1" applyAlignment="1" applyProtection="1">
      <alignment vertical="top"/>
      <protection locked="0"/>
    </xf>
    <xf numFmtId="0" fontId="308" fillId="0" borderId="0" xfId="0" applyFont="1" applyBorder="1" applyAlignment="1" applyProtection="1">
      <protection hidden="1"/>
    </xf>
    <xf numFmtId="195" fontId="58" fillId="0" borderId="0" xfId="0" applyNumberFormat="1" applyFont="1" applyFill="1" applyBorder="1" applyAlignment="1" applyProtection="1">
      <alignment vertical="center"/>
      <protection hidden="1"/>
    </xf>
    <xf numFmtId="166" fontId="186" fillId="0" borderId="0" xfId="0" applyNumberFormat="1" applyFont="1" applyBorder="1" applyAlignment="1" applyProtection="1">
      <alignment horizontal="right" vertical="top"/>
      <protection hidden="1"/>
    </xf>
    <xf numFmtId="0" fontId="217" fillId="0" borderId="0" xfId="0" applyFont="1" applyFill="1" applyBorder="1" applyAlignment="1" applyProtection="1">
      <alignment horizontal="left" vertical="center"/>
      <protection locked="0"/>
    </xf>
    <xf numFmtId="0" fontId="31" fillId="0" borderId="0" xfId="0" applyNumberFormat="1" applyFont="1" applyBorder="1" applyAlignment="1" applyProtection="1">
      <alignment horizontal="center"/>
      <protection hidden="1"/>
    </xf>
    <xf numFmtId="0" fontId="354" fillId="0" borderId="0" xfId="0" applyFont="1" applyBorder="1" applyAlignment="1" applyProtection="1">
      <protection hidden="1"/>
    </xf>
    <xf numFmtId="0" fontId="355" fillId="0" borderId="0" xfId="0" applyFont="1" applyFill="1" applyBorder="1" applyAlignment="1" applyProtection="1">
      <protection hidden="1"/>
    </xf>
    <xf numFmtId="0" fontId="182" fillId="0" borderId="0" xfId="0" applyFont="1" applyBorder="1" applyAlignment="1" applyProtection="1">
      <protection hidden="1"/>
    </xf>
    <xf numFmtId="0" fontId="244" fillId="32" borderId="0" xfId="0" applyFont="1" applyFill="1" applyBorder="1" applyAlignment="1" applyProtection="1">
      <protection hidden="1"/>
    </xf>
    <xf numFmtId="0" fontId="244" fillId="0" borderId="0" xfId="0" applyFont="1" applyBorder="1" applyAlignment="1" applyProtection="1">
      <alignment horizontal="left"/>
      <protection hidden="1"/>
    </xf>
    <xf numFmtId="0" fontId="182" fillId="0" borderId="0" xfId="0" applyFont="1" applyBorder="1" applyAlignment="1" applyProtection="1">
      <alignment horizontal="left"/>
      <protection hidden="1"/>
    </xf>
    <xf numFmtId="0" fontId="244" fillId="0" borderId="0" xfId="0" applyFont="1" applyBorder="1" applyAlignment="1" applyProtection="1">
      <alignment horizontal="left" vertical="center"/>
      <protection hidden="1"/>
    </xf>
    <xf numFmtId="0" fontId="244" fillId="32" borderId="0" xfId="0" applyFont="1" applyFill="1" applyBorder="1" applyAlignment="1" applyProtection="1">
      <alignment horizontal="left"/>
      <protection hidden="1"/>
    </xf>
    <xf numFmtId="0" fontId="191" fillId="0" borderId="0" xfId="0" applyFont="1" applyBorder="1" applyAlignment="1" applyProtection="1">
      <alignment horizontal="left" vertical="center"/>
      <protection hidden="1"/>
    </xf>
    <xf numFmtId="0" fontId="244" fillId="0" borderId="0" xfId="0" applyFont="1" applyBorder="1" applyAlignment="1" applyProtection="1">
      <protection hidden="1"/>
    </xf>
    <xf numFmtId="0" fontId="244" fillId="0" borderId="0" xfId="0" applyFont="1" applyFill="1" applyBorder="1" applyAlignment="1" applyProtection="1">
      <protection hidden="1"/>
    </xf>
    <xf numFmtId="0" fontId="356" fillId="0" borderId="0" xfId="0" applyFont="1" applyBorder="1" applyAlignment="1" applyProtection="1">
      <protection hidden="1"/>
    </xf>
    <xf numFmtId="0" fontId="201" fillId="0" borderId="0" xfId="0" applyFont="1" applyBorder="1" applyAlignment="1" applyProtection="1">
      <protection hidden="1"/>
    </xf>
    <xf numFmtId="0" fontId="357" fillId="0" borderId="0" xfId="0" applyFont="1" applyBorder="1" applyAlignment="1" applyProtection="1">
      <protection hidden="1"/>
    </xf>
    <xf numFmtId="0" fontId="211" fillId="0" borderId="0" xfId="0" applyNumberFormat="1" applyFont="1" applyBorder="1" applyAlignment="1">
      <alignment horizontal="center" vertical="center"/>
    </xf>
    <xf numFmtId="0" fontId="211" fillId="0" borderId="0" xfId="0" applyFont="1" applyBorder="1" applyAlignment="1">
      <alignment vertical="center"/>
    </xf>
    <xf numFmtId="0" fontId="211" fillId="0" borderId="0" xfId="0" applyFont="1" applyFill="1" applyBorder="1" applyAlignment="1">
      <alignment vertical="center"/>
    </xf>
    <xf numFmtId="0" fontId="211" fillId="0" borderId="0" xfId="0" applyFont="1" applyBorder="1" applyAlignment="1" applyProtection="1">
      <alignment vertical="center"/>
      <protection hidden="1"/>
    </xf>
    <xf numFmtId="168" fontId="16" fillId="0" borderId="0" xfId="0" applyNumberFormat="1" applyFont="1" applyBorder="1" applyAlignment="1" applyProtection="1">
      <alignment horizontal="center"/>
      <protection hidden="1"/>
    </xf>
    <xf numFmtId="3" fontId="182" fillId="0" borderId="0" xfId="0" applyNumberFormat="1" applyFont="1" applyBorder="1" applyAlignment="1" applyProtection="1">
      <alignment horizontal="center"/>
      <protection hidden="1"/>
    </xf>
    <xf numFmtId="0" fontId="34" fillId="50" borderId="192" xfId="0" applyFont="1" applyFill="1" applyBorder="1" applyAlignment="1" applyProtection="1">
      <alignment horizontal="center" vertical="center"/>
      <protection hidden="1"/>
    </xf>
    <xf numFmtId="0" fontId="16" fillId="0" borderId="0" xfId="0" applyFont="1" applyFill="1" applyBorder="1" applyAlignment="1" applyProtection="1">
      <alignment horizontal="right" indent="1"/>
      <protection hidden="1"/>
    </xf>
    <xf numFmtId="0" fontId="301" fillId="0" borderId="0" xfId="0" applyFont="1" applyFill="1" applyBorder="1" applyAlignment="1" applyProtection="1">
      <alignment horizontal="center"/>
      <protection hidden="1"/>
    </xf>
    <xf numFmtId="0" fontId="16" fillId="0" borderId="0" xfId="0" applyFont="1" applyBorder="1" applyAlignment="1" applyProtection="1">
      <protection locked="0"/>
    </xf>
    <xf numFmtId="166" fontId="334" fillId="47" borderId="57" xfId="0" applyNumberFormat="1" applyFont="1" applyFill="1" applyBorder="1" applyAlignment="1" applyProtection="1">
      <alignment vertical="center"/>
      <protection hidden="1"/>
    </xf>
    <xf numFmtId="166" fontId="333" fillId="46" borderId="138" xfId="0" applyNumberFormat="1" applyFont="1" applyFill="1" applyBorder="1" applyAlignment="1" applyProtection="1">
      <alignment vertical="center"/>
      <protection hidden="1"/>
    </xf>
    <xf numFmtId="166" fontId="333" fillId="58" borderId="138" xfId="0" applyNumberFormat="1" applyFont="1" applyFill="1" applyBorder="1" applyAlignment="1" applyProtection="1">
      <alignment vertical="center"/>
      <protection hidden="1"/>
    </xf>
    <xf numFmtId="177" fontId="365" fillId="0" borderId="0" xfId="0" applyNumberFormat="1" applyFont="1" applyFill="1" applyBorder="1" applyAlignment="1" applyProtection="1">
      <alignment vertical="center"/>
      <protection hidden="1"/>
    </xf>
    <xf numFmtId="171" fontId="257" fillId="60" borderId="85" xfId="32" applyNumberFormat="1" applyFont="1" applyFill="1" applyBorder="1" applyAlignment="1" applyProtection="1">
      <alignment horizontal="left" vertical="center" indent="1"/>
      <protection locked="0"/>
    </xf>
    <xf numFmtId="0" fontId="368" fillId="0" borderId="0" xfId="0" applyFont="1" applyBorder="1" applyProtection="1">
      <alignment horizontal="right"/>
      <protection locked="0"/>
    </xf>
    <xf numFmtId="171" fontId="248" fillId="36" borderId="81" xfId="0" applyNumberFormat="1" applyFont="1" applyFill="1" applyBorder="1" applyAlignment="1" applyProtection="1">
      <alignment horizontal="left" vertical="center" indent="1"/>
      <protection locked="0"/>
    </xf>
    <xf numFmtId="0" fontId="16" fillId="0" borderId="0" xfId="0" applyFont="1" applyBorder="1" applyAlignment="1">
      <alignment vertical="top"/>
    </xf>
    <xf numFmtId="180" fontId="259" fillId="56" borderId="0" xfId="0" applyNumberFormat="1" applyFont="1" applyFill="1" applyBorder="1" applyAlignment="1" applyProtection="1">
      <alignment horizontal="center" vertical="center"/>
    </xf>
    <xf numFmtId="171" fontId="244" fillId="0" borderId="0" xfId="0" applyNumberFormat="1" applyFont="1" applyFill="1" applyBorder="1" applyAlignment="1" applyProtection="1">
      <alignment horizontal="left" vertical="center"/>
      <protection hidden="1"/>
    </xf>
    <xf numFmtId="0" fontId="182" fillId="0" borderId="0" xfId="0" applyFont="1" applyFill="1" applyBorder="1" applyAlignment="1" applyProtection="1">
      <alignment horizontal="left"/>
      <protection hidden="1"/>
    </xf>
    <xf numFmtId="0" fontId="181" fillId="0" borderId="0" xfId="0" applyFont="1" applyFill="1" applyBorder="1" applyAlignment="1" applyProtection="1">
      <protection hidden="1"/>
    </xf>
    <xf numFmtId="171" fontId="244" fillId="0" borderId="0" xfId="0" applyNumberFormat="1" applyFont="1" applyBorder="1" applyAlignment="1" applyProtection="1">
      <alignment horizontal="left" vertical="center"/>
      <protection hidden="1"/>
    </xf>
    <xf numFmtId="0" fontId="181" fillId="0" borderId="0" xfId="0" applyFont="1" applyBorder="1" applyAlignment="1" applyProtection="1">
      <protection hidden="1"/>
    </xf>
    <xf numFmtId="0" fontId="188" fillId="0" borderId="0" xfId="0" applyNumberFormat="1" applyFont="1" applyBorder="1" applyAlignment="1">
      <alignment horizontal="center" vertical="center"/>
    </xf>
    <xf numFmtId="1" fontId="188" fillId="0" borderId="0" xfId="23" applyNumberFormat="1" applyFont="1" applyFill="1" applyBorder="1" applyAlignment="1">
      <alignment vertical="center"/>
    </xf>
    <xf numFmtId="0" fontId="186" fillId="0" borderId="0" xfId="0" applyFont="1" applyBorder="1" applyAlignment="1" applyProtection="1">
      <alignment horizontal="center" vertical="center"/>
      <protection hidden="1"/>
    </xf>
    <xf numFmtId="171" fontId="248" fillId="61" borderId="81" xfId="0" applyNumberFormat="1" applyFont="1" applyFill="1" applyBorder="1" applyAlignment="1" applyProtection="1">
      <alignment horizontal="left" vertical="center" indent="1"/>
      <protection locked="0" hidden="1"/>
    </xf>
    <xf numFmtId="0" fontId="42" fillId="0" borderId="0" xfId="0" applyFont="1" applyBorder="1" applyProtection="1">
      <alignment horizontal="right"/>
      <protection locked="0"/>
    </xf>
    <xf numFmtId="3" fontId="42" fillId="0" borderId="0" xfId="0" applyNumberFormat="1" applyFont="1" applyBorder="1" applyAlignment="1" applyProtection="1">
      <alignment horizontal="right" indent="1"/>
      <protection locked="0"/>
    </xf>
    <xf numFmtId="3" fontId="42" fillId="0" borderId="0" xfId="0" applyNumberFormat="1" applyFont="1" applyFill="1" applyBorder="1" applyAlignment="1" applyProtection="1">
      <alignment horizontal="right" indent="1"/>
      <protection locked="0"/>
    </xf>
    <xf numFmtId="176" fontId="18" fillId="67" borderId="203" xfId="0" applyNumberFormat="1" applyFont="1" applyFill="1" applyBorder="1" applyAlignment="1" applyProtection="1">
      <alignment vertical="center"/>
      <protection locked="0"/>
    </xf>
    <xf numFmtId="3" fontId="186" fillId="0" borderId="0" xfId="0" applyNumberFormat="1" applyFont="1" applyFill="1" applyBorder="1" applyAlignment="1" applyProtection="1">
      <alignment horizontal="right" vertical="top"/>
      <protection hidden="1"/>
    </xf>
    <xf numFmtId="0" fontId="0" fillId="0" borderId="160" xfId="0" applyBorder="1" applyAlignment="1">
      <alignment horizontal="left" vertical="center" indent="1"/>
    </xf>
    <xf numFmtId="9" fontId="18" fillId="0" borderId="0" xfId="0" applyNumberFormat="1" applyFont="1" applyFill="1" applyBorder="1" applyAlignment="1" applyProtection="1">
      <alignment horizontal="center" vertical="center"/>
      <protection hidden="1"/>
    </xf>
    <xf numFmtId="168" fontId="373" fillId="0" borderId="0" xfId="0" applyNumberFormat="1" applyFont="1" applyFill="1" applyBorder="1" applyAlignment="1" applyProtection="1">
      <alignment vertical="center"/>
      <protection locked="0"/>
    </xf>
    <xf numFmtId="166" fontId="55" fillId="0" borderId="0" xfId="0" applyNumberFormat="1" applyFont="1" applyBorder="1" applyProtection="1">
      <alignment horizontal="right"/>
      <protection locked="0"/>
    </xf>
    <xf numFmtId="0" fontId="188" fillId="0" borderId="0" xfId="0" applyFont="1" applyBorder="1">
      <alignment horizontal="right"/>
    </xf>
    <xf numFmtId="177" fontId="188" fillId="0" borderId="0" xfId="0" applyNumberFormat="1" applyFont="1" applyBorder="1">
      <alignment horizontal="right"/>
    </xf>
    <xf numFmtId="9" fontId="188" fillId="0" borderId="0" xfId="0" applyNumberFormat="1" applyFont="1" applyBorder="1" applyAlignment="1">
      <alignment horizontal="center"/>
    </xf>
    <xf numFmtId="177" fontId="188" fillId="0" borderId="0" xfId="0" applyNumberFormat="1" applyFont="1" applyBorder="1" applyAlignment="1">
      <alignment vertical="center"/>
    </xf>
    <xf numFmtId="0" fontId="377" fillId="59" borderId="0" xfId="0" applyFont="1" applyFill="1" applyBorder="1" applyAlignment="1" applyProtection="1">
      <alignment horizontal="left" vertical="center" wrapText="1" indent="5"/>
      <protection hidden="1"/>
    </xf>
    <xf numFmtId="177" fontId="377" fillId="59" borderId="0" xfId="0" applyNumberFormat="1" applyFont="1" applyFill="1" applyBorder="1" applyAlignment="1" applyProtection="1">
      <alignment horizontal="left" vertical="center" wrapText="1" indent="5"/>
      <protection hidden="1"/>
    </xf>
    <xf numFmtId="0" fontId="377" fillId="59" borderId="0" xfId="0" applyFont="1" applyFill="1" applyBorder="1" applyAlignment="1" applyProtection="1">
      <alignment horizontal="center" vertical="top" wrapText="1"/>
      <protection hidden="1"/>
    </xf>
    <xf numFmtId="177" fontId="377" fillId="59" borderId="0" xfId="0" applyNumberFormat="1" applyFont="1" applyFill="1" applyBorder="1" applyAlignment="1" applyProtection="1">
      <alignment horizontal="center" vertical="top" wrapText="1"/>
      <protection hidden="1"/>
    </xf>
    <xf numFmtId="0" fontId="378" fillId="0" borderId="0" xfId="0" applyFont="1" applyBorder="1" applyAlignment="1" applyProtection="1">
      <alignment horizontal="left" vertical="center" wrapText="1" indent="9"/>
      <protection locked="0"/>
    </xf>
    <xf numFmtId="0" fontId="234" fillId="0" borderId="0" xfId="0" applyFont="1" applyFill="1" applyBorder="1" applyAlignment="1" applyProtection="1">
      <alignment horizontal="center"/>
      <protection locked="0"/>
    </xf>
    <xf numFmtId="177" fontId="378" fillId="0" borderId="0" xfId="0" applyNumberFormat="1" applyFont="1" applyBorder="1" applyAlignment="1" applyProtection="1">
      <alignment horizontal="left" vertical="center" wrapText="1" indent="1"/>
      <protection locked="0"/>
    </xf>
    <xf numFmtId="0" fontId="378" fillId="0" borderId="0" xfId="0" applyFont="1" applyBorder="1" applyAlignment="1" applyProtection="1">
      <alignment horizontal="left" vertical="center" wrapText="1" indent="1"/>
      <protection locked="0"/>
    </xf>
    <xf numFmtId="9" fontId="195" fillId="0" borderId="0" xfId="0" applyNumberFormat="1" applyFont="1" applyBorder="1" applyAlignment="1" applyProtection="1">
      <alignment horizontal="center" vertical="center" wrapText="1"/>
      <protection locked="0"/>
    </xf>
    <xf numFmtId="177" fontId="188" fillId="0" borderId="0" xfId="0" applyNumberFormat="1" applyFont="1" applyBorder="1" applyAlignment="1" applyProtection="1">
      <alignment vertical="center" wrapText="1"/>
      <protection locked="0"/>
    </xf>
    <xf numFmtId="0" fontId="270" fillId="0" borderId="0" xfId="0" applyFont="1" applyBorder="1" applyAlignment="1" applyProtection="1">
      <alignment horizontal="left" vertical="center" indent="1"/>
      <protection locked="0"/>
    </xf>
    <xf numFmtId="0" fontId="284" fillId="0" borderId="0" xfId="0" applyFont="1" applyFill="1" applyBorder="1" applyAlignment="1" applyProtection="1">
      <alignment horizontal="center"/>
      <protection hidden="1"/>
    </xf>
    <xf numFmtId="0" fontId="380" fillId="0" borderId="0" xfId="0" applyFont="1" applyBorder="1" applyAlignment="1">
      <alignment horizontal="right" vertical="center"/>
    </xf>
    <xf numFmtId="0" fontId="370" fillId="0" borderId="0" xfId="0" applyFont="1" applyBorder="1" applyAlignment="1">
      <alignment horizontal="right" vertical="center"/>
    </xf>
    <xf numFmtId="177" fontId="382" fillId="0" borderId="0" xfId="0" applyNumberFormat="1" applyFont="1" applyBorder="1" applyAlignment="1" applyProtection="1">
      <alignment horizontal="center" vertical="center"/>
      <protection hidden="1"/>
    </xf>
    <xf numFmtId="0" fontId="188" fillId="0" borderId="0" xfId="0" applyFont="1" applyFill="1" applyBorder="1" applyAlignment="1" applyProtection="1">
      <alignment horizontal="center"/>
      <protection locked="0"/>
    </xf>
    <xf numFmtId="0" fontId="195" fillId="0" borderId="0" xfId="0" applyFont="1" applyBorder="1" applyAlignment="1" applyProtection="1">
      <alignment horizontal="left" vertical="center" wrapText="1" indent="1"/>
      <protection locked="0"/>
    </xf>
    <xf numFmtId="0" fontId="383" fillId="0" borderId="0" xfId="0" applyFont="1" applyBorder="1" applyAlignment="1" applyProtection="1">
      <alignment horizontal="left" vertical="center" wrapText="1" indent="1"/>
      <protection locked="0"/>
    </xf>
    <xf numFmtId="0" fontId="384" fillId="0" borderId="0" xfId="0" applyFont="1" applyBorder="1" applyProtection="1">
      <alignment horizontal="right"/>
      <protection locked="0"/>
    </xf>
    <xf numFmtId="0" fontId="195" fillId="0" borderId="0" xfId="0" applyFont="1" applyBorder="1" applyAlignment="1" applyProtection="1">
      <alignment horizontal="left" vertical="center" wrapText="1" indent="9"/>
    </xf>
    <xf numFmtId="177" fontId="195" fillId="0" borderId="0" xfId="0" applyNumberFormat="1" applyFont="1" applyBorder="1" applyAlignment="1" applyProtection="1">
      <alignment horizontal="left" vertical="center" wrapText="1" indent="1"/>
      <protection locked="0"/>
    </xf>
    <xf numFmtId="0" fontId="188" fillId="0" borderId="0" xfId="0" applyFont="1" applyFill="1" applyBorder="1">
      <alignment horizontal="right"/>
    </xf>
    <xf numFmtId="0" fontId="370" fillId="0" borderId="0" xfId="0" applyFont="1" applyBorder="1" applyAlignment="1" applyProtection="1">
      <alignment horizontal="center" vertical="center"/>
      <protection hidden="1"/>
    </xf>
    <xf numFmtId="9" fontId="381" fillId="0" borderId="0" xfId="0" applyNumberFormat="1" applyFont="1" applyBorder="1" applyAlignment="1" applyProtection="1">
      <alignment horizontal="center" vertical="center"/>
      <protection hidden="1"/>
    </xf>
    <xf numFmtId="168" fontId="68" fillId="0" borderId="0" xfId="0" applyNumberFormat="1" applyFont="1" applyBorder="1" applyAlignment="1" applyProtection="1">
      <alignment horizontal="center"/>
      <protection locked="0"/>
    </xf>
    <xf numFmtId="0" fontId="290" fillId="46" borderId="224" xfId="0" applyFont="1" applyFill="1" applyBorder="1" applyAlignment="1" applyProtection="1">
      <alignment horizontal="right" vertical="center"/>
      <protection hidden="1"/>
    </xf>
    <xf numFmtId="0" fontId="55" fillId="0" borderId="0" xfId="0" applyFont="1" applyBorder="1" applyAlignment="1" applyProtection="1">
      <protection hidden="1"/>
    </xf>
    <xf numFmtId="0" fontId="18" fillId="0" borderId="0" xfId="0" applyFont="1" applyBorder="1" applyAlignment="1" applyProtection="1">
      <alignment horizontal="left" indent="1"/>
      <protection locked="0"/>
    </xf>
    <xf numFmtId="169" fontId="18" fillId="0" borderId="0" xfId="0" applyNumberFormat="1" applyFont="1" applyBorder="1" applyAlignment="1" applyProtection="1">
      <alignment horizontal="center" vertical="center"/>
      <protection locked="0"/>
    </xf>
    <xf numFmtId="169" fontId="18" fillId="0" borderId="0" xfId="0" applyNumberFormat="1" applyFont="1" applyFill="1" applyBorder="1" applyAlignment="1" applyProtection="1">
      <alignment horizontal="center"/>
      <protection locked="0"/>
    </xf>
    <xf numFmtId="169" fontId="18" fillId="0" borderId="0" xfId="0" applyNumberFormat="1" applyFont="1" applyBorder="1" applyAlignment="1" applyProtection="1">
      <alignment horizontal="center"/>
      <protection locked="0"/>
    </xf>
    <xf numFmtId="0" fontId="16" fillId="0" borderId="0" xfId="0" applyFont="1" applyBorder="1" applyAlignment="1" applyProtection="1">
      <protection hidden="1"/>
    </xf>
    <xf numFmtId="195" fontId="58" fillId="0" borderId="0" xfId="0" applyNumberFormat="1" applyFont="1" applyFill="1" applyBorder="1" applyAlignment="1" applyProtection="1">
      <alignment horizontal="right" vertical="center"/>
      <protection hidden="1"/>
    </xf>
    <xf numFmtId="195" fontId="58" fillId="0" borderId="0" xfId="0" applyNumberFormat="1" applyFont="1" applyFill="1" applyBorder="1" applyAlignment="1" applyProtection="1">
      <alignment horizontal="center" vertical="center"/>
      <protection hidden="1"/>
    </xf>
    <xf numFmtId="166" fontId="104" fillId="0" borderId="0" xfId="0" applyNumberFormat="1" applyFont="1" applyFill="1" applyBorder="1" applyAlignment="1" applyProtection="1">
      <alignment horizontal="center" vertical="center" wrapText="1"/>
      <protection hidden="1"/>
    </xf>
    <xf numFmtId="0" fontId="198" fillId="0" borderId="0" xfId="32" applyFont="1" applyFill="1" applyBorder="1" applyAlignment="1" applyProtection="1">
      <alignment horizontal="center" vertical="center"/>
    </xf>
    <xf numFmtId="0" fontId="23" fillId="0" borderId="0" xfId="0" applyFont="1" applyBorder="1" applyAlignment="1" applyProtection="1">
      <alignment horizontal="left" vertical="center" indent="1"/>
      <protection locked="0"/>
    </xf>
    <xf numFmtId="0" fontId="23" fillId="0" borderId="0" xfId="0" quotePrefix="1" applyFont="1" applyBorder="1" applyAlignment="1" applyProtection="1">
      <alignment horizontal="left" vertical="center" indent="1"/>
      <protection locked="0"/>
    </xf>
    <xf numFmtId="195" fontId="57" fillId="0" borderId="0" xfId="0" applyNumberFormat="1" applyFont="1" applyFill="1" applyBorder="1" applyAlignment="1" applyProtection="1">
      <alignment vertical="center"/>
      <protection hidden="1"/>
    </xf>
    <xf numFmtId="166" fontId="246" fillId="0" borderId="0" xfId="0" applyNumberFormat="1" applyFont="1" applyFill="1" applyBorder="1" applyAlignment="1" applyProtection="1">
      <alignment horizontal="right" vertical="center"/>
      <protection hidden="1"/>
    </xf>
    <xf numFmtId="196" fontId="347" fillId="0" borderId="0" xfId="0" applyNumberFormat="1" applyFont="1" applyFill="1" applyBorder="1" applyAlignment="1" applyProtection="1">
      <alignment vertical="center"/>
      <protection hidden="1"/>
    </xf>
    <xf numFmtId="166" fontId="214" fillId="0" borderId="0" xfId="0" applyNumberFormat="1" applyFont="1" applyFill="1" applyBorder="1" applyAlignment="1" applyProtection="1">
      <alignment vertical="center"/>
      <protection locked="0"/>
    </xf>
    <xf numFmtId="166" fontId="235" fillId="0" borderId="0" xfId="0" applyNumberFormat="1" applyFont="1" applyFill="1" applyBorder="1" applyAlignment="1" applyProtection="1">
      <alignment vertical="center"/>
      <protection hidden="1"/>
    </xf>
    <xf numFmtId="166" fontId="216" fillId="0" borderId="0" xfId="0" applyNumberFormat="1" applyFont="1" applyFill="1" applyBorder="1" applyAlignment="1" applyProtection="1">
      <alignment vertical="center"/>
      <protection locked="0"/>
    </xf>
    <xf numFmtId="166" fontId="214" fillId="0" borderId="0" xfId="0" quotePrefix="1" applyNumberFormat="1" applyFont="1" applyFill="1" applyBorder="1" applyAlignment="1" applyProtection="1">
      <alignment vertical="center"/>
      <protection locked="0"/>
    </xf>
    <xf numFmtId="166" fontId="214" fillId="0" borderId="0" xfId="0" quotePrefix="1" applyNumberFormat="1" applyFont="1" applyFill="1" applyBorder="1" applyAlignment="1" applyProtection="1">
      <alignment vertical="center"/>
      <protection hidden="1"/>
    </xf>
    <xf numFmtId="3" fontId="16" fillId="0" borderId="0" xfId="0" applyNumberFormat="1" applyFont="1" applyFill="1" applyBorder="1" applyAlignment="1" applyProtection="1">
      <alignment horizontal="right" vertical="center" indent="1"/>
      <protection locked="0"/>
    </xf>
    <xf numFmtId="0" fontId="0" fillId="0" borderId="0" xfId="0" applyFill="1" applyBorder="1" applyAlignment="1">
      <alignment horizontal="center" vertical="center"/>
    </xf>
    <xf numFmtId="0" fontId="184" fillId="0" borderId="0" xfId="0" applyNumberFormat="1" applyFont="1" applyFill="1" applyBorder="1" applyAlignment="1" applyProtection="1">
      <alignment horizontal="center" vertical="center"/>
      <protection hidden="1"/>
    </xf>
    <xf numFmtId="166" fontId="34"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horizontal="right" indent="1"/>
      <protection locked="0"/>
    </xf>
    <xf numFmtId="0" fontId="0" fillId="0" borderId="0" xfId="0" applyFill="1" applyBorder="1" applyAlignment="1">
      <alignment horizontal="right" vertical="center"/>
    </xf>
    <xf numFmtId="166" fontId="246" fillId="0" borderId="0" xfId="0" applyNumberFormat="1" applyFont="1" applyFill="1" applyBorder="1" applyAlignment="1" applyProtection="1">
      <alignment horizontal="right" vertical="center"/>
      <protection locked="0"/>
    </xf>
    <xf numFmtId="166" fontId="62" fillId="0" borderId="0" xfId="0" applyNumberFormat="1" applyFont="1" applyFill="1" applyBorder="1" applyAlignment="1" applyProtection="1">
      <alignment horizontal="right" vertical="center"/>
      <protection hidden="1"/>
    </xf>
    <xf numFmtId="166" fontId="122" fillId="0" borderId="0" xfId="0" applyNumberFormat="1" applyFont="1" applyFill="1" applyBorder="1" applyAlignment="1" applyProtection="1">
      <alignment horizontal="center" vertical="center"/>
      <protection hidden="1"/>
    </xf>
    <xf numFmtId="0" fontId="214" fillId="0" borderId="0" xfId="0" applyFont="1" applyFill="1" applyBorder="1" applyAlignment="1" applyProtection="1">
      <alignment horizontal="center" vertical="center"/>
      <protection hidden="1"/>
    </xf>
    <xf numFmtId="0" fontId="253" fillId="0" borderId="0" xfId="0" applyFont="1" applyFill="1" applyBorder="1" applyAlignment="1" applyProtection="1">
      <alignment horizontal="center" vertical="center" wrapText="1"/>
      <protection hidden="1"/>
    </xf>
    <xf numFmtId="0" fontId="268" fillId="0" borderId="0" xfId="0" applyFont="1" applyFill="1" applyBorder="1">
      <alignment horizontal="right"/>
    </xf>
    <xf numFmtId="166" fontId="214" fillId="0" borderId="0" xfId="0" quotePrefix="1" applyNumberFormat="1" applyFont="1" applyFill="1" applyBorder="1" applyAlignment="1" applyProtection="1">
      <alignment vertical="center"/>
      <protection locked="0" hidden="1"/>
    </xf>
    <xf numFmtId="166" fontId="25" fillId="0" borderId="0" xfId="0" applyNumberFormat="1" applyFont="1" applyFill="1" applyBorder="1" applyAlignment="1" applyProtection="1">
      <alignment vertical="center"/>
      <protection hidden="1"/>
    </xf>
    <xf numFmtId="166" fontId="252" fillId="0" borderId="0" xfId="0" applyNumberFormat="1" applyFont="1" applyFill="1" applyBorder="1" applyAlignment="1" applyProtection="1">
      <alignment vertical="center"/>
      <protection hidden="1"/>
    </xf>
    <xf numFmtId="166" fontId="253" fillId="0" borderId="0" xfId="13" applyNumberFormat="1" applyFont="1" applyFill="1" applyBorder="1" applyAlignment="1" applyProtection="1">
      <alignment horizontal="center" vertical="center"/>
      <protection hidden="1"/>
    </xf>
    <xf numFmtId="166" fontId="96" fillId="0" borderId="0" xfId="0" applyNumberFormat="1" applyFont="1" applyFill="1" applyBorder="1" applyAlignment="1" applyProtection="1">
      <alignment horizontal="center" vertical="center"/>
      <protection hidden="1"/>
    </xf>
    <xf numFmtId="166" fontId="62" fillId="0" borderId="0" xfId="0" applyNumberFormat="1" applyFont="1" applyFill="1" applyBorder="1" applyAlignment="1" applyProtection="1">
      <alignment vertical="center"/>
      <protection hidden="1"/>
    </xf>
    <xf numFmtId="0" fontId="0" fillId="0" borderId="0" xfId="0" applyFill="1" applyBorder="1" applyAlignment="1">
      <alignment horizontal="right"/>
    </xf>
    <xf numFmtId="166" fontId="213" fillId="0" borderId="0" xfId="0" applyNumberFormat="1" applyFont="1" applyFill="1" applyBorder="1" applyAlignment="1" applyProtection="1">
      <alignment horizontal="center" vertical="center"/>
      <protection hidden="1"/>
    </xf>
    <xf numFmtId="166" fontId="38" fillId="0" borderId="0" xfId="0" applyNumberFormat="1" applyFont="1" applyFill="1" applyBorder="1" applyAlignment="1" applyProtection="1">
      <alignment horizontal="right" indent="1"/>
      <protection locked="0"/>
    </xf>
    <xf numFmtId="166" fontId="220" fillId="0" borderId="0" xfId="0" applyNumberFormat="1" applyFont="1" applyFill="1" applyBorder="1" applyAlignment="1" applyProtection="1">
      <alignment vertical="center"/>
      <protection hidden="1"/>
    </xf>
    <xf numFmtId="168" fontId="89" fillId="0" borderId="0"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horizontal="left"/>
      <protection locked="0"/>
    </xf>
    <xf numFmtId="9" fontId="58" fillId="0" borderId="0" xfId="0" applyNumberFormat="1" applyFont="1" applyFill="1" applyBorder="1" applyAlignment="1" applyProtection="1">
      <alignment horizontal="left" vertical="center"/>
      <protection locked="0"/>
    </xf>
    <xf numFmtId="0" fontId="55"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188" fillId="0" borderId="0" xfId="0" applyFont="1" applyFill="1" applyBorder="1" applyAlignment="1" applyProtection="1">
      <alignment horizontal="left"/>
      <protection locked="0"/>
    </xf>
    <xf numFmtId="168" fontId="186" fillId="0" borderId="0" xfId="0" applyNumberFormat="1" applyFont="1" applyFill="1" applyBorder="1" applyAlignment="1" applyProtection="1">
      <alignment horizontal="center" vertical="center"/>
      <protection hidden="1"/>
    </xf>
    <xf numFmtId="202" fontId="16" fillId="0" borderId="0" xfId="0" applyNumberFormat="1" applyFont="1" applyBorder="1" applyProtection="1">
      <alignment horizontal="right"/>
      <protection locked="0"/>
    </xf>
    <xf numFmtId="202" fontId="16" fillId="0" borderId="0" xfId="0" applyNumberFormat="1" applyFont="1" applyFill="1" applyBorder="1" applyProtection="1">
      <alignment horizontal="right"/>
      <protection locked="0"/>
    </xf>
    <xf numFmtId="166" fontId="272" fillId="0" borderId="162" xfId="0" applyNumberFormat="1" applyFont="1" applyBorder="1" applyAlignment="1" applyProtection="1">
      <alignment vertical="center"/>
      <protection hidden="1"/>
    </xf>
    <xf numFmtId="166" fontId="272" fillId="0" borderId="221" xfId="0" applyNumberFormat="1" applyFont="1" applyBorder="1" applyAlignment="1" applyProtection="1">
      <alignment vertical="center"/>
      <protection hidden="1"/>
    </xf>
    <xf numFmtId="166" fontId="272" fillId="0" borderId="151" xfId="0" applyNumberFormat="1" applyFont="1" applyBorder="1" applyAlignment="1" applyProtection="1">
      <alignment vertical="center"/>
      <protection hidden="1"/>
    </xf>
    <xf numFmtId="166" fontId="272" fillId="0" borderId="131" xfId="0" applyNumberFormat="1" applyFont="1" applyBorder="1" applyAlignment="1" applyProtection="1">
      <alignment vertical="center"/>
      <protection hidden="1"/>
    </xf>
    <xf numFmtId="166" fontId="273" fillId="46" borderId="225" xfId="0" applyNumberFormat="1" applyFont="1" applyFill="1" applyBorder="1" applyAlignment="1" applyProtection="1">
      <alignment vertical="center"/>
      <protection hidden="1"/>
    </xf>
    <xf numFmtId="166" fontId="273" fillId="46" borderId="68" xfId="0" applyNumberFormat="1" applyFont="1" applyFill="1" applyBorder="1" applyAlignment="1" applyProtection="1">
      <alignment vertical="center"/>
      <protection hidden="1"/>
    </xf>
    <xf numFmtId="168" fontId="200" fillId="50" borderId="192" xfId="0" applyNumberFormat="1" applyFont="1" applyFill="1" applyBorder="1" applyAlignment="1" applyProtection="1">
      <alignment horizontal="center" vertical="center"/>
      <protection hidden="1"/>
    </xf>
    <xf numFmtId="0" fontId="351" fillId="0" borderId="0" xfId="0" applyFont="1" applyBorder="1" applyAlignment="1">
      <alignment vertical="center" wrapText="1"/>
    </xf>
    <xf numFmtId="0" fontId="185" fillId="0" borderId="0" xfId="0" applyFont="1" applyFill="1" applyBorder="1" applyAlignment="1" applyProtection="1">
      <alignment horizontal="center" vertical="center"/>
      <protection hidden="1"/>
    </xf>
    <xf numFmtId="0" fontId="0" fillId="0" borderId="0" xfId="0" applyBorder="1" applyAlignment="1">
      <alignment vertical="center"/>
    </xf>
    <xf numFmtId="1" fontId="190" fillId="59" borderId="85" xfId="23" applyNumberFormat="1" applyFont="1" applyFill="1" applyBorder="1" applyAlignment="1" applyProtection="1">
      <alignment horizontal="center"/>
      <protection hidden="1"/>
    </xf>
    <xf numFmtId="166" fontId="188" fillId="0" borderId="0" xfId="0" applyNumberFormat="1" applyFont="1" applyBorder="1">
      <alignment horizontal="right"/>
    </xf>
    <xf numFmtId="166" fontId="188" fillId="0" borderId="0" xfId="0" applyNumberFormat="1" applyFont="1" applyBorder="1" applyAlignment="1">
      <alignment vertical="center"/>
    </xf>
    <xf numFmtId="166" fontId="185" fillId="59" borderId="222" xfId="0" applyNumberFormat="1" applyFont="1" applyFill="1" applyBorder="1" applyAlignment="1" applyProtection="1">
      <alignment vertical="center"/>
      <protection hidden="1"/>
    </xf>
    <xf numFmtId="9" fontId="312" fillId="0" borderId="255" xfId="0" applyNumberFormat="1" applyFont="1" applyBorder="1" applyAlignment="1" applyProtection="1">
      <alignment vertical="center"/>
      <protection hidden="1"/>
    </xf>
    <xf numFmtId="166" fontId="402" fillId="0" borderId="0" xfId="0" quotePrefix="1" applyNumberFormat="1" applyFont="1" applyFill="1" applyBorder="1" applyAlignment="1" applyProtection="1">
      <alignment horizontal="left" vertical="center" indent="1"/>
      <protection hidden="1"/>
    </xf>
    <xf numFmtId="0" fontId="294" fillId="0" borderId="0" xfId="0" applyFont="1" applyFill="1" applyBorder="1" applyAlignment="1" applyProtection="1">
      <alignment vertical="top"/>
      <protection hidden="1"/>
    </xf>
    <xf numFmtId="0" fontId="0" fillId="0" borderId="0" xfId="0" applyBorder="1" applyAlignment="1"/>
    <xf numFmtId="2" fontId="58" fillId="0" borderId="0" xfId="0" applyNumberFormat="1" applyFont="1" applyFill="1" applyBorder="1" applyAlignment="1" applyProtection="1">
      <alignment horizontal="right" vertical="center"/>
      <protection hidden="1"/>
    </xf>
    <xf numFmtId="3" fontId="35" fillId="0" borderId="0" xfId="0" applyNumberFormat="1" applyFont="1" applyFill="1" applyBorder="1" applyProtection="1">
      <alignment horizontal="right"/>
      <protection locked="0"/>
    </xf>
    <xf numFmtId="165" fontId="60" fillId="0" borderId="0" xfId="0" applyNumberFormat="1" applyFont="1" applyFill="1" applyBorder="1" applyAlignment="1" applyProtection="1">
      <alignment horizontal="center" vertical="center"/>
      <protection hidden="1"/>
    </xf>
    <xf numFmtId="0" fontId="201" fillId="0" borderId="0" xfId="0" applyFont="1" applyFill="1" applyBorder="1" applyAlignment="1" applyProtection="1">
      <alignment horizontal="left" vertical="center" wrapText="1" indent="1"/>
      <protection hidden="1"/>
    </xf>
    <xf numFmtId="177" fontId="308" fillId="73" borderId="0" xfId="0" quotePrefix="1" applyNumberFormat="1" applyFont="1" applyFill="1" applyBorder="1" applyAlignment="1" applyProtection="1">
      <alignment horizontal="center" vertical="center"/>
      <protection hidden="1"/>
    </xf>
    <xf numFmtId="0" fontId="194" fillId="0" borderId="0" xfId="0" applyFont="1" applyBorder="1" applyAlignment="1" applyProtection="1">
      <alignment horizontal="right" vertical="center" indent="1"/>
      <protection hidden="1"/>
    </xf>
    <xf numFmtId="195" fontId="58" fillId="0" borderId="0" xfId="0" applyNumberFormat="1" applyFont="1" applyFill="1" applyBorder="1" applyAlignment="1" applyProtection="1">
      <alignment horizontal="center" vertical="center"/>
      <protection hidden="1"/>
    </xf>
    <xf numFmtId="195" fontId="58" fillId="0" borderId="0" xfId="0" applyNumberFormat="1" applyFont="1" applyFill="1" applyBorder="1" applyAlignment="1" applyProtection="1">
      <alignment horizontal="right" vertical="center"/>
      <protection hidden="1"/>
    </xf>
    <xf numFmtId="197" fontId="42" fillId="0" borderId="0" xfId="0" applyNumberFormat="1" applyFont="1" applyFill="1" applyBorder="1" applyAlignment="1" applyProtection="1">
      <alignment horizontal="center" vertical="center"/>
      <protection hidden="1"/>
    </xf>
    <xf numFmtId="0" fontId="0" fillId="0" borderId="0" xfId="0" applyBorder="1" applyAlignment="1">
      <alignment horizontal="left" indent="1"/>
    </xf>
    <xf numFmtId="0" fontId="195" fillId="0" borderId="0" xfId="32" applyFont="1" applyFill="1" applyBorder="1" applyAlignment="1" applyProtection="1">
      <alignment vertical="center"/>
      <protection locked="0"/>
    </xf>
    <xf numFmtId="0" fontId="346" fillId="0" borderId="0" xfId="0" applyFont="1" applyBorder="1" applyAlignment="1" applyProtection="1">
      <alignment horizontal="center" vertical="center" wrapText="1"/>
      <protection hidden="1"/>
    </xf>
    <xf numFmtId="166" fontId="270" fillId="0" borderId="0" xfId="0" applyNumberFormat="1" applyFont="1" applyBorder="1" applyAlignment="1" applyProtection="1">
      <alignment horizontal="center"/>
      <protection locked="0"/>
    </xf>
    <xf numFmtId="166" fontId="346" fillId="0" borderId="0" xfId="0" applyNumberFormat="1" applyFont="1" applyBorder="1" applyAlignment="1" applyProtection="1">
      <alignment horizontal="center"/>
      <protection hidden="1"/>
    </xf>
    <xf numFmtId="2" fontId="186" fillId="0" borderId="0" xfId="0" applyNumberFormat="1" applyFont="1" applyFill="1" applyBorder="1" applyAlignment="1" applyProtection="1">
      <alignment horizontal="right" vertical="center"/>
      <protection hidden="1"/>
    </xf>
    <xf numFmtId="0" fontId="188" fillId="0" borderId="1" xfId="0" applyFont="1" applyAlignment="1" applyProtection="1">
      <protection locked="0"/>
    </xf>
    <xf numFmtId="0" fontId="232" fillId="0" borderId="0" xfId="0" applyFont="1" applyBorder="1" applyAlignment="1" applyProtection="1">
      <alignment horizontal="center" vertical="center"/>
      <protection locked="0"/>
    </xf>
    <xf numFmtId="0" fontId="188" fillId="0" borderId="1" xfId="0" applyFont="1" applyAlignment="1" applyProtection="1">
      <alignment vertical="center"/>
      <protection locked="0"/>
    </xf>
    <xf numFmtId="0" fontId="185" fillId="0" borderId="0" xfId="0" applyFont="1" applyBorder="1" applyAlignment="1" applyProtection="1">
      <alignment horizontal="center" vertical="center"/>
      <protection locked="0"/>
    </xf>
    <xf numFmtId="0" fontId="232" fillId="0" borderId="0" xfId="0" applyFont="1" applyBorder="1" applyAlignment="1" applyProtection="1">
      <alignment horizontal="centerContinuous" vertical="center"/>
      <protection locked="0"/>
    </xf>
    <xf numFmtId="187" fontId="188" fillId="0" borderId="161" xfId="0" applyNumberFormat="1" applyFont="1" applyBorder="1" applyAlignment="1" applyProtection="1">
      <alignment vertical="center"/>
      <protection hidden="1"/>
    </xf>
    <xf numFmtId="187" fontId="188" fillId="0" borderId="262" xfId="0" applyNumberFormat="1" applyFont="1" applyBorder="1" applyAlignment="1" applyProtection="1">
      <alignment vertical="center"/>
      <protection hidden="1"/>
    </xf>
    <xf numFmtId="187" fontId="188" fillId="0" borderId="263" xfId="0" applyNumberFormat="1" applyFont="1" applyBorder="1" applyAlignment="1" applyProtection="1">
      <alignment vertical="center"/>
      <protection hidden="1"/>
    </xf>
    <xf numFmtId="187" fontId="188" fillId="0" borderId="146" xfId="0" applyNumberFormat="1" applyFont="1" applyBorder="1" applyAlignment="1" applyProtection="1">
      <alignment vertical="center"/>
      <protection hidden="1"/>
    </xf>
    <xf numFmtId="0" fontId="191" fillId="0" borderId="0" xfId="0" applyFont="1" applyFill="1" applyBorder="1" applyAlignment="1" applyProtection="1">
      <alignment horizontal="center" vertical="center"/>
      <protection locked="0"/>
    </xf>
    <xf numFmtId="0" fontId="191" fillId="0" borderId="0" xfId="0" quotePrefix="1" applyFont="1" applyFill="1" applyBorder="1" applyAlignment="1" applyProtection="1">
      <alignment horizontal="center" vertical="center"/>
      <protection locked="0"/>
    </xf>
    <xf numFmtId="0" fontId="281" fillId="0" borderId="0" xfId="0" applyNumberFormat="1" applyFont="1" applyFill="1" applyBorder="1" applyAlignment="1" applyProtection="1">
      <alignment horizontal="center" vertical="center"/>
      <protection locked="0"/>
    </xf>
    <xf numFmtId="187" fontId="188" fillId="0" borderId="0" xfId="33" applyNumberFormat="1" applyFont="1" applyFill="1" applyBorder="1" applyAlignment="1" applyProtection="1">
      <alignment vertical="center"/>
      <protection locked="0"/>
    </xf>
    <xf numFmtId="187" fontId="188" fillId="0" borderId="0" xfId="0" applyNumberFormat="1" applyFont="1" applyBorder="1" applyAlignment="1" applyProtection="1">
      <alignment vertical="center"/>
      <protection locked="0"/>
    </xf>
    <xf numFmtId="187" fontId="283" fillId="0" borderId="0" xfId="0" applyNumberFormat="1" applyFont="1" applyFill="1" applyBorder="1" applyAlignment="1" applyProtection="1">
      <alignment horizontal="right" vertical="center" indent="1"/>
      <protection locked="0"/>
    </xf>
    <xf numFmtId="187" fontId="189" fillId="0" borderId="0" xfId="0" applyNumberFormat="1" applyFont="1" applyFill="1" applyBorder="1" applyAlignment="1" applyProtection="1">
      <alignment vertical="center"/>
      <protection locked="0"/>
    </xf>
    <xf numFmtId="187" fontId="188" fillId="0" borderId="0" xfId="0" applyNumberFormat="1" applyFont="1" applyFill="1" applyBorder="1" applyAlignment="1" applyProtection="1">
      <alignment vertical="center"/>
      <protection locked="0"/>
    </xf>
    <xf numFmtId="187" fontId="188" fillId="0" borderId="1" xfId="0" applyNumberFormat="1" applyFont="1" applyAlignment="1" applyProtection="1">
      <alignment vertical="center"/>
      <protection locked="0"/>
    </xf>
    <xf numFmtId="4" fontId="188" fillId="0" borderId="0" xfId="0" applyNumberFormat="1" applyFont="1" applyBorder="1" applyAlignment="1" applyProtection="1">
      <protection locked="0"/>
    </xf>
    <xf numFmtId="4" fontId="188" fillId="0" borderId="145" xfId="0" applyNumberFormat="1" applyFont="1" applyBorder="1" applyAlignment="1" applyProtection="1">
      <protection locked="0"/>
    </xf>
    <xf numFmtId="188" fontId="188" fillId="0" borderId="0" xfId="0" applyNumberFormat="1" applyFont="1" applyBorder="1" applyAlignment="1" applyProtection="1">
      <protection locked="0"/>
    </xf>
    <xf numFmtId="0" fontId="0" fillId="0" borderId="0" xfId="0" applyBorder="1" applyAlignment="1">
      <alignment horizontal="left" vertical="center"/>
    </xf>
    <xf numFmtId="0" fontId="62" fillId="0" borderId="0" xfId="0" applyNumberFormat="1" applyFont="1" applyFill="1" applyBorder="1" applyAlignment="1" applyProtection="1">
      <alignment horizontal="center" vertical="center"/>
      <protection locked="0"/>
    </xf>
    <xf numFmtId="1" fontId="190" fillId="65" borderId="85" xfId="23" applyNumberFormat="1" applyFont="1" applyFill="1" applyBorder="1" applyAlignment="1" applyProtection="1">
      <alignment horizontal="center"/>
      <protection hidden="1"/>
    </xf>
    <xf numFmtId="0" fontId="131" fillId="0" borderId="0" xfId="0" applyFont="1" applyFill="1" applyBorder="1" applyAlignment="1" applyProtection="1">
      <alignment horizontal="left" vertical="center"/>
      <protection locked="0"/>
    </xf>
    <xf numFmtId="0" fontId="141" fillId="0" borderId="0" xfId="0" applyFont="1" applyFill="1" applyBorder="1" applyAlignment="1" applyProtection="1">
      <alignment vertical="center"/>
      <protection hidden="1"/>
    </xf>
    <xf numFmtId="210" fontId="413" fillId="0" borderId="0" xfId="0" applyNumberFormat="1" applyFont="1" applyBorder="1" applyAlignment="1" applyProtection="1">
      <alignment horizontal="center" vertical="center"/>
      <protection locked="0"/>
    </xf>
    <xf numFmtId="0" fontId="124" fillId="0" borderId="0" xfId="0" applyFont="1" applyBorder="1" applyAlignment="1" applyProtection="1">
      <alignment horizontal="left" vertical="center" wrapText="1" indent="1"/>
      <protection locked="0"/>
    </xf>
    <xf numFmtId="0" fontId="151" fillId="0" borderId="0" xfId="0" applyFont="1" applyBorder="1" applyAlignment="1" applyProtection="1">
      <alignment horizontal="left" vertical="center" wrapText="1" indent="1"/>
      <protection locked="0"/>
    </xf>
    <xf numFmtId="0" fontId="0" fillId="0" borderId="0" xfId="0" applyBorder="1" applyAlignment="1"/>
    <xf numFmtId="0" fontId="15" fillId="0" borderId="0" xfId="0" applyFont="1" applyBorder="1" applyAlignment="1" applyProtection="1">
      <alignment vertical="center"/>
      <protection hidden="1"/>
    </xf>
    <xf numFmtId="0" fontId="0" fillId="0" borderId="0" xfId="0" applyBorder="1" applyAlignment="1">
      <alignment vertical="center"/>
    </xf>
    <xf numFmtId="0" fontId="124" fillId="0" borderId="0" xfId="0" applyFont="1" applyBorder="1" applyAlignment="1" applyProtection="1">
      <alignment vertical="center" wrapText="1"/>
      <protection locked="0"/>
    </xf>
    <xf numFmtId="0" fontId="151" fillId="0" borderId="0" xfId="0" applyFont="1" applyBorder="1" applyAlignment="1" applyProtection="1">
      <alignment vertical="center" wrapText="1"/>
      <protection locked="0"/>
    </xf>
    <xf numFmtId="0" fontId="16" fillId="56" borderId="0" xfId="0" applyFont="1" applyFill="1" applyBorder="1">
      <alignment horizontal="right"/>
    </xf>
    <xf numFmtId="0" fontId="16" fillId="56" borderId="79" xfId="0" applyFont="1" applyFill="1" applyBorder="1" applyProtection="1">
      <alignment horizontal="right"/>
      <protection hidden="1"/>
    </xf>
    <xf numFmtId="0" fontId="16" fillId="56" borderId="80" xfId="0" applyFont="1" applyFill="1" applyBorder="1" applyProtection="1">
      <alignment horizontal="right"/>
      <protection hidden="1"/>
    </xf>
    <xf numFmtId="0" fontId="16" fillId="56" borderId="0" xfId="0" applyFont="1" applyFill="1" applyBorder="1" applyAlignment="1">
      <alignment horizontal="right" vertical="center"/>
    </xf>
    <xf numFmtId="0" fontId="16" fillId="56" borderId="79" xfId="0" applyFont="1" applyFill="1" applyBorder="1" applyAlignment="1" applyProtection="1">
      <alignment horizontal="right" vertical="center"/>
      <protection hidden="1"/>
    </xf>
    <xf numFmtId="171" fontId="253" fillId="60" borderId="86" xfId="32" applyNumberFormat="1" applyFont="1" applyFill="1" applyBorder="1" applyAlignment="1" applyProtection="1">
      <alignment horizontal="left" vertical="top" indent="1"/>
      <protection locked="0"/>
    </xf>
    <xf numFmtId="0" fontId="185" fillId="0" borderId="0" xfId="0" applyFont="1" applyFill="1" applyBorder="1" applyAlignment="1" applyProtection="1">
      <alignment vertical="center" wrapText="1"/>
      <protection hidden="1"/>
    </xf>
    <xf numFmtId="0" fontId="147" fillId="0" borderId="0" xfId="0" applyFont="1" applyBorder="1" applyProtection="1">
      <alignment horizontal="right"/>
      <protection locked="0"/>
    </xf>
    <xf numFmtId="0" fontId="416" fillId="0" borderId="0" xfId="0" applyFont="1" applyFill="1" applyBorder="1" applyProtection="1">
      <alignment horizontal="right"/>
      <protection locked="0"/>
    </xf>
    <xf numFmtId="0" fontId="185" fillId="0" borderId="205" xfId="0" applyFont="1" applyFill="1" applyBorder="1" applyAlignment="1" applyProtection="1">
      <alignment vertical="center" wrapText="1"/>
      <protection hidden="1"/>
    </xf>
    <xf numFmtId="0" fontId="135" fillId="0" borderId="0" xfId="0" applyFont="1" applyBorder="1" applyAlignment="1" applyProtection="1">
      <alignment horizontal="right"/>
      <protection locked="0"/>
    </xf>
    <xf numFmtId="177" fontId="185" fillId="0" borderId="0" xfId="0" applyNumberFormat="1" applyFont="1" applyFill="1" applyBorder="1" applyAlignment="1" applyProtection="1">
      <alignment horizontal="right" vertical="center"/>
      <protection hidden="1"/>
    </xf>
    <xf numFmtId="177" fontId="185" fillId="0" borderId="23" xfId="0" applyNumberFormat="1" applyFont="1" applyFill="1" applyBorder="1" applyAlignment="1" applyProtection="1">
      <alignment horizontal="right" vertical="center"/>
      <protection hidden="1"/>
    </xf>
    <xf numFmtId="0" fontId="262" fillId="64" borderId="127" xfId="0" applyFont="1" applyFill="1" applyBorder="1" applyAlignment="1" applyProtection="1">
      <alignment horizontal="center" vertical="top"/>
      <protection hidden="1"/>
    </xf>
    <xf numFmtId="0" fontId="262" fillId="64" borderId="128" xfId="0" applyFont="1" applyFill="1" applyBorder="1" applyAlignment="1" applyProtection="1">
      <alignment horizontal="center" vertical="top"/>
      <protection hidden="1"/>
    </xf>
    <xf numFmtId="0" fontId="262" fillId="64" borderId="129" xfId="0" applyFont="1" applyFill="1" applyBorder="1" applyAlignment="1" applyProtection="1">
      <alignment horizontal="center" vertical="top"/>
      <protection hidden="1"/>
    </xf>
    <xf numFmtId="0" fontId="246" fillId="0" borderId="225" xfId="0" applyFont="1" applyFill="1" applyBorder="1" applyProtection="1">
      <alignment horizontal="right"/>
      <protection locked="0"/>
    </xf>
    <xf numFmtId="0" fontId="186" fillId="0" borderId="0" xfId="0" applyFont="1" applyFill="1" applyBorder="1" applyAlignment="1" applyProtection="1">
      <alignment horizontal="center" vertical="center"/>
      <protection hidden="1"/>
    </xf>
    <xf numFmtId="190" fontId="237" fillId="0" borderId="0" xfId="0" applyNumberFormat="1" applyFont="1" applyFill="1" applyBorder="1" applyAlignment="1" applyProtection="1">
      <alignment horizontal="center" vertical="top"/>
      <protection hidden="1"/>
    </xf>
    <xf numFmtId="0" fontId="19" fillId="0" borderId="0" xfId="0" applyFont="1" applyBorder="1" applyAlignment="1" applyProtection="1">
      <alignment horizontal="center"/>
      <protection locked="0"/>
    </xf>
    <xf numFmtId="2" fontId="16" fillId="0" borderId="0" xfId="0" applyNumberFormat="1" applyFont="1" applyFill="1" applyBorder="1" applyAlignment="1" applyProtection="1">
      <alignment horizontal="center"/>
      <protection locked="0" hidden="1"/>
    </xf>
    <xf numFmtId="2" fontId="16" fillId="0" borderId="0" xfId="0" applyNumberFormat="1" applyFont="1" applyFill="1" applyBorder="1" applyAlignment="1" applyProtection="1">
      <alignment horizontal="right" vertical="center"/>
      <protection locked="0" hidden="1"/>
    </xf>
    <xf numFmtId="1" fontId="18" fillId="0" borderId="0" xfId="0" applyNumberFormat="1" applyFont="1" applyFill="1" applyBorder="1" applyAlignment="1" applyProtection="1">
      <alignment horizontal="center"/>
      <protection locked="0"/>
    </xf>
    <xf numFmtId="168" fontId="312" fillId="40" borderId="234" xfId="0" applyNumberFormat="1" applyFont="1" applyFill="1" applyBorder="1" applyAlignment="1" applyProtection="1">
      <alignment horizontal="center" vertical="center" wrapText="1"/>
      <protection locked="0"/>
    </xf>
    <xf numFmtId="166" fontId="220" fillId="46" borderId="275" xfId="0" applyNumberFormat="1" applyFont="1" applyFill="1" applyBorder="1" applyAlignment="1" applyProtection="1">
      <alignment vertical="center"/>
      <protection hidden="1"/>
    </xf>
    <xf numFmtId="166" fontId="225" fillId="46" borderId="276" xfId="0" applyNumberFormat="1" applyFont="1" applyFill="1" applyBorder="1" applyAlignment="1" applyProtection="1">
      <alignment vertical="center"/>
      <protection hidden="1"/>
    </xf>
    <xf numFmtId="9" fontId="231" fillId="46" borderId="282" xfId="0" applyNumberFormat="1" applyFont="1" applyFill="1" applyBorder="1" applyAlignment="1" applyProtection="1">
      <alignment horizontal="center" vertical="center"/>
      <protection locked="0"/>
    </xf>
    <xf numFmtId="9" fontId="332" fillId="46" borderId="283" xfId="0" applyNumberFormat="1" applyFont="1" applyFill="1" applyBorder="1" applyAlignment="1" applyProtection="1">
      <alignment horizontal="center" vertical="center"/>
      <protection locked="0"/>
    </xf>
    <xf numFmtId="9" fontId="231" fillId="46" borderId="284" xfId="0" applyNumberFormat="1" applyFont="1" applyFill="1" applyBorder="1" applyAlignment="1" applyProtection="1">
      <alignment horizontal="center" vertical="center"/>
      <protection locked="0"/>
    </xf>
    <xf numFmtId="9" fontId="332" fillId="46" borderId="285" xfId="0" applyNumberFormat="1" applyFont="1" applyFill="1" applyBorder="1" applyAlignment="1" applyProtection="1">
      <alignment horizontal="center" vertical="center"/>
      <protection locked="0"/>
    </xf>
    <xf numFmtId="0" fontId="362" fillId="46" borderId="286" xfId="0" applyFont="1" applyFill="1" applyBorder="1" applyAlignment="1">
      <alignment horizontal="center" vertical="center"/>
    </xf>
    <xf numFmtId="9" fontId="231" fillId="46" borderId="287" xfId="0" applyNumberFormat="1" applyFont="1" applyFill="1" applyBorder="1" applyAlignment="1" applyProtection="1">
      <alignment horizontal="center" vertical="center"/>
      <protection locked="0"/>
    </xf>
    <xf numFmtId="11" fontId="220" fillId="46" borderId="288" xfId="0" applyNumberFormat="1" applyFont="1" applyFill="1" applyBorder="1" applyAlignment="1">
      <alignment horizontal="center" vertical="center"/>
    </xf>
    <xf numFmtId="9" fontId="231" fillId="46" borderId="289" xfId="0" applyNumberFormat="1" applyFont="1" applyFill="1" applyBorder="1" applyAlignment="1" applyProtection="1">
      <alignment horizontal="center" vertical="center"/>
      <protection locked="0"/>
    </xf>
    <xf numFmtId="166" fontId="16" fillId="46" borderId="0" xfId="0" applyNumberFormat="1" applyFont="1" applyFill="1" applyBorder="1" applyAlignment="1" applyProtection="1">
      <protection locked="0"/>
    </xf>
    <xf numFmtId="0" fontId="38" fillId="0" borderId="0" xfId="0" applyFont="1" applyBorder="1" applyAlignment="1" applyProtection="1">
      <alignment horizontal="right" vertical="top"/>
      <protection locked="0"/>
    </xf>
    <xf numFmtId="168" fontId="37" fillId="0" borderId="0" xfId="0" applyNumberFormat="1" applyFont="1" applyFill="1" applyBorder="1" applyAlignment="1" applyProtection="1">
      <alignment horizontal="center" vertical="top"/>
      <protection locked="0"/>
    </xf>
    <xf numFmtId="166" fontId="421" fillId="0" borderId="0" xfId="0" applyNumberFormat="1" applyFont="1" applyFill="1" applyBorder="1" applyAlignment="1" applyProtection="1">
      <alignment vertical="top"/>
      <protection locked="0"/>
    </xf>
    <xf numFmtId="0" fontId="38" fillId="0" borderId="0" xfId="0" applyFont="1" applyBorder="1" applyAlignment="1" applyProtection="1">
      <alignment horizontal="center" vertical="top"/>
      <protection locked="0"/>
    </xf>
    <xf numFmtId="0" fontId="52" fillId="0" borderId="0" xfId="0" applyFont="1" applyBorder="1" applyAlignment="1" applyProtection="1">
      <alignment horizontal="right" vertical="top"/>
      <protection locked="0"/>
    </xf>
    <xf numFmtId="168" fontId="38" fillId="0" borderId="0" xfId="0" applyNumberFormat="1" applyFont="1" applyFill="1" applyBorder="1" applyAlignment="1" applyProtection="1">
      <alignment horizontal="center" vertical="top"/>
      <protection locked="0"/>
    </xf>
    <xf numFmtId="169" fontId="38" fillId="0" borderId="0" xfId="0" applyNumberFormat="1" applyFont="1" applyFill="1" applyBorder="1" applyAlignment="1" applyProtection="1">
      <alignment horizontal="center" vertical="top"/>
      <protection locked="0"/>
    </xf>
    <xf numFmtId="0" fontId="274" fillId="0" borderId="0" xfId="0" applyFont="1" applyBorder="1" applyAlignment="1" applyProtection="1">
      <alignment horizontal="left" vertical="center" indent="1"/>
      <protection locked="0"/>
    </xf>
    <xf numFmtId="166" fontId="186" fillId="0" borderId="0" xfId="0" applyNumberFormat="1" applyFont="1" applyFill="1" applyBorder="1" applyProtection="1">
      <alignment horizontal="right"/>
      <protection locked="0"/>
    </xf>
    <xf numFmtId="166" fontId="346" fillId="0" borderId="0" xfId="0" applyNumberFormat="1" applyFont="1" applyBorder="1" applyAlignment="1" applyProtection="1">
      <alignment vertical="center"/>
      <protection hidden="1"/>
    </xf>
    <xf numFmtId="0" fontId="188" fillId="0" borderId="0" xfId="0" applyFont="1" applyBorder="1" applyAlignment="1" applyProtection="1">
      <alignment horizontal="left" indent="1"/>
      <protection locked="0"/>
    </xf>
    <xf numFmtId="0" fontId="188" fillId="0" borderId="0" xfId="0" applyFont="1" applyBorder="1" applyAlignment="1" applyProtection="1">
      <alignment horizontal="right"/>
      <protection locked="0"/>
    </xf>
    <xf numFmtId="0" fontId="189" fillId="0" borderId="0" xfId="0" applyFont="1" applyBorder="1" applyAlignment="1" applyProtection="1">
      <alignment horizontal="left"/>
      <protection locked="0"/>
    </xf>
    <xf numFmtId="168" fontId="188" fillId="0" borderId="0" xfId="0" applyNumberFormat="1" applyFont="1" applyFill="1" applyBorder="1" applyAlignment="1" applyProtection="1">
      <alignment horizontal="center" vertical="center"/>
      <protection locked="0"/>
    </xf>
    <xf numFmtId="166" fontId="188" fillId="0" borderId="0" xfId="0" applyNumberFormat="1" applyFont="1" applyBorder="1" applyProtection="1">
      <alignment horizontal="right"/>
      <protection locked="0"/>
    </xf>
    <xf numFmtId="168" fontId="188" fillId="0" borderId="0" xfId="0" applyNumberFormat="1" applyFont="1" applyBorder="1" applyAlignment="1" applyProtection="1">
      <alignment horizontal="center" vertical="center"/>
      <protection locked="0"/>
    </xf>
    <xf numFmtId="0" fontId="188" fillId="0" borderId="0" xfId="0" applyFont="1" applyBorder="1" applyAlignment="1" applyProtection="1">
      <alignment horizontal="center"/>
      <protection locked="0"/>
    </xf>
    <xf numFmtId="0" fontId="189" fillId="0" borderId="0" xfId="0" applyFont="1" applyBorder="1" applyAlignment="1" applyProtection="1">
      <alignment horizontal="left" indent="1"/>
      <protection locked="0"/>
    </xf>
    <xf numFmtId="0" fontId="188" fillId="0" borderId="0" xfId="0" applyFont="1" applyFill="1" applyBorder="1" applyAlignment="1" applyProtection="1">
      <alignment horizontal="center" vertical="center"/>
      <protection locked="0"/>
    </xf>
    <xf numFmtId="166" fontId="189" fillId="0" borderId="0" xfId="0" applyNumberFormat="1" applyFont="1" applyBorder="1" applyProtection="1">
      <alignment horizontal="right"/>
      <protection locked="0"/>
    </xf>
    <xf numFmtId="0" fontId="233" fillId="0" borderId="0" xfId="0" applyFont="1" applyBorder="1" applyAlignment="1" applyProtection="1">
      <alignment horizontal="right" vertical="center"/>
      <protection hidden="1"/>
    </xf>
    <xf numFmtId="0" fontId="233" fillId="0" borderId="0" xfId="0" applyFont="1" applyBorder="1" applyAlignment="1" applyProtection="1">
      <alignment horizontal="right" vertical="center"/>
      <protection locked="0"/>
    </xf>
    <xf numFmtId="0" fontId="369" fillId="0" borderId="0" xfId="0" applyFont="1" applyBorder="1" applyAlignment="1" applyProtection="1">
      <alignment horizontal="right" vertical="center"/>
      <protection locked="0"/>
    </xf>
    <xf numFmtId="0" fontId="233" fillId="0" borderId="0" xfId="0" applyFont="1" applyBorder="1" applyProtection="1">
      <alignment horizontal="right"/>
      <protection locked="0"/>
    </xf>
    <xf numFmtId="0" fontId="425" fillId="0" borderId="0" xfId="0" applyFont="1" applyBorder="1" applyAlignment="1" applyProtection="1">
      <alignment horizontal="left"/>
      <protection locked="0"/>
    </xf>
    <xf numFmtId="0" fontId="270" fillId="0" borderId="0" xfId="0" applyFont="1" applyBorder="1" applyAlignment="1" applyProtection="1">
      <alignment horizontal="center"/>
      <protection locked="0"/>
    </xf>
    <xf numFmtId="0" fontId="0" fillId="0" borderId="0" xfId="0" applyBorder="1" applyAlignment="1">
      <alignment vertical="center"/>
    </xf>
    <xf numFmtId="0" fontId="17" fillId="0" borderId="0" xfId="0" applyFont="1" applyFill="1" applyBorder="1" applyAlignment="1" applyProtection="1">
      <alignment horizontal="right" vertical="center"/>
      <protection locked="0"/>
    </xf>
    <xf numFmtId="0" fontId="132" fillId="0" borderId="22" xfId="0" applyFont="1" applyBorder="1" applyAlignment="1" applyProtection="1">
      <alignment horizontal="center" vertical="center"/>
      <protection locked="0" hidden="1"/>
    </xf>
    <xf numFmtId="171" fontId="132" fillId="0" borderId="254" xfId="0" applyNumberFormat="1" applyFont="1" applyBorder="1" applyAlignment="1" applyProtection="1">
      <alignment horizontal="center" vertical="center"/>
      <protection locked="0"/>
    </xf>
    <xf numFmtId="175" fontId="102" fillId="0" borderId="254" xfId="0" applyNumberFormat="1" applyFont="1" applyBorder="1" applyAlignment="1" applyProtection="1">
      <alignment horizontal="center" vertical="center"/>
      <protection locked="0"/>
    </xf>
    <xf numFmtId="0" fontId="102" fillId="0" borderId="295" xfId="0" applyFont="1" applyBorder="1" applyAlignment="1" applyProtection="1">
      <alignment horizontal="center" vertical="center"/>
      <protection locked="0" hidden="1"/>
    </xf>
    <xf numFmtId="0" fontId="22" fillId="0" borderId="297" xfId="0" applyFont="1" applyBorder="1" applyAlignment="1" applyProtection="1">
      <alignment vertical="center"/>
      <protection locked="0"/>
    </xf>
    <xf numFmtId="171" fontId="132" fillId="0" borderId="254" xfId="0" applyNumberFormat="1" applyFont="1" applyFill="1" applyBorder="1" applyAlignment="1" applyProtection="1">
      <alignment horizontal="center" vertical="center"/>
      <protection locked="0"/>
    </xf>
    <xf numFmtId="0" fontId="102" fillId="0" borderId="0" xfId="0" applyFont="1" applyFill="1" applyBorder="1" applyAlignment="1" applyProtection="1">
      <alignment vertical="center"/>
      <protection locked="0"/>
    </xf>
    <xf numFmtId="0" fontId="132" fillId="0" borderId="0" xfId="0" applyFont="1" applyFill="1" applyBorder="1" applyAlignment="1" applyProtection="1">
      <alignment vertical="center"/>
      <protection locked="0"/>
    </xf>
    <xf numFmtId="0" fontId="131" fillId="0" borderId="0" xfId="0" applyFont="1" applyFill="1" applyBorder="1" applyAlignment="1" applyProtection="1">
      <alignment vertical="center"/>
      <protection locked="0"/>
    </xf>
    <xf numFmtId="0" fontId="131" fillId="0" borderId="0" xfId="0" applyFont="1" applyBorder="1" applyAlignment="1" applyProtection="1">
      <alignment horizontal="center" vertical="center"/>
      <protection locked="0"/>
    </xf>
    <xf numFmtId="0" fontId="131" fillId="0" borderId="0" xfId="0" applyFont="1" applyFill="1" applyBorder="1" applyAlignment="1" applyProtection="1">
      <alignment horizontal="center" vertical="center"/>
      <protection locked="0"/>
    </xf>
    <xf numFmtId="0" fontId="132" fillId="0" borderId="0" xfId="0" applyFont="1" applyBorder="1" applyAlignment="1" applyProtection="1">
      <alignment horizontal="right" vertical="center"/>
      <protection locked="0"/>
    </xf>
    <xf numFmtId="0" fontId="131" fillId="0" borderId="0" xfId="0" applyFont="1" applyBorder="1" applyAlignment="1" applyProtection="1">
      <alignment horizontal="left" vertical="center"/>
      <protection locked="0"/>
    </xf>
    <xf numFmtId="0" fontId="263" fillId="0" borderId="0" xfId="0" applyFont="1" applyFill="1" applyBorder="1" applyAlignment="1" applyProtection="1">
      <alignment horizontal="center" vertical="center" wrapText="1"/>
      <protection hidden="1"/>
    </xf>
    <xf numFmtId="0" fontId="274" fillId="0" borderId="0" xfId="0" applyFont="1" applyBorder="1" applyAlignment="1" applyProtection="1">
      <alignment horizontal="right" vertical="center" indent="1"/>
      <protection locked="0"/>
    </xf>
    <xf numFmtId="180" fontId="131" fillId="0" borderId="299" xfId="0" applyNumberFormat="1" applyFont="1" applyBorder="1" applyAlignment="1" applyProtection="1">
      <alignment horizontal="center" vertical="center"/>
      <protection locked="0"/>
    </xf>
    <xf numFmtId="3" fontId="430" fillId="0" borderId="0" xfId="0" applyNumberFormat="1" applyFont="1" applyBorder="1" applyAlignment="1" applyProtection="1">
      <alignment horizontal="center" vertical="center"/>
      <protection hidden="1"/>
    </xf>
    <xf numFmtId="0" fontId="102" fillId="53" borderId="0" xfId="0" applyFont="1" applyFill="1" applyBorder="1" applyAlignment="1" applyProtection="1">
      <alignment horizontal="right" vertical="center"/>
      <protection locked="0"/>
    </xf>
    <xf numFmtId="0" fontId="191" fillId="0" borderId="0" xfId="0" applyFont="1" applyBorder="1" applyAlignment="1" applyProtection="1">
      <alignment horizontal="left"/>
      <protection hidden="1"/>
    </xf>
    <xf numFmtId="0" fontId="191" fillId="0" borderId="0" xfId="0" applyFont="1" applyBorder="1" applyProtection="1">
      <alignment horizontal="right"/>
      <protection hidden="1"/>
    </xf>
    <xf numFmtId="0" fontId="182" fillId="0" borderId="0" xfId="0" applyFont="1" applyFill="1" applyBorder="1" applyProtection="1">
      <alignment horizontal="right"/>
      <protection hidden="1"/>
    </xf>
    <xf numFmtId="3" fontId="182" fillId="0" borderId="0" xfId="0" applyNumberFormat="1" applyFont="1" applyBorder="1" applyAlignment="1" applyProtection="1">
      <alignment horizontal="right" vertical="center"/>
      <protection hidden="1"/>
    </xf>
    <xf numFmtId="3" fontId="182" fillId="0" borderId="0" xfId="0" applyNumberFormat="1" applyFont="1" applyFill="1" applyBorder="1" applyAlignment="1" applyProtection="1">
      <alignment horizontal="center" vertical="center"/>
      <protection hidden="1"/>
    </xf>
    <xf numFmtId="3" fontId="182" fillId="0" borderId="0" xfId="0" applyNumberFormat="1" applyFont="1" applyFill="1" applyBorder="1" applyAlignment="1" applyProtection="1">
      <alignment horizontal="right" vertical="center"/>
      <protection hidden="1"/>
    </xf>
    <xf numFmtId="3" fontId="182" fillId="0" borderId="0" xfId="0" applyNumberFormat="1" applyFont="1" applyBorder="1" applyAlignment="1" applyProtection="1">
      <alignment vertical="center"/>
      <protection hidden="1"/>
    </xf>
    <xf numFmtId="3" fontId="182" fillId="0" borderId="0" xfId="0" applyNumberFormat="1" applyFont="1" applyBorder="1" applyAlignment="1" applyProtection="1">
      <alignment horizontal="right" vertical="center"/>
      <protection locked="0"/>
    </xf>
    <xf numFmtId="3" fontId="182" fillId="0" borderId="0" xfId="0" applyNumberFormat="1" applyFont="1" applyFill="1" applyBorder="1" applyAlignment="1" applyProtection="1">
      <alignment horizontal="center" vertical="center"/>
      <protection locked="0"/>
    </xf>
    <xf numFmtId="3" fontId="182" fillId="0" borderId="0" xfId="0" applyNumberFormat="1" applyFont="1" applyFill="1" applyBorder="1" applyAlignment="1" applyProtection="1">
      <alignment horizontal="right" vertical="center"/>
      <protection locked="0"/>
    </xf>
    <xf numFmtId="0" fontId="186" fillId="0" borderId="0" xfId="0" applyFont="1" applyFill="1" applyBorder="1" applyAlignment="1" applyProtection="1">
      <alignment horizontal="center"/>
      <protection hidden="1"/>
    </xf>
    <xf numFmtId="0" fontId="186" fillId="0" borderId="0" xfId="0" applyFont="1" applyFill="1" applyBorder="1" applyProtection="1">
      <alignment horizontal="right"/>
      <protection hidden="1"/>
    </xf>
    <xf numFmtId="3" fontId="186" fillId="0" borderId="0" xfId="0" applyNumberFormat="1" applyFont="1" applyFill="1" applyBorder="1" applyAlignment="1" applyProtection="1">
      <alignment vertical="center"/>
      <protection hidden="1"/>
    </xf>
    <xf numFmtId="0" fontId="431" fillId="0" borderId="0" xfId="0" applyFont="1" applyFill="1" applyBorder="1" applyAlignment="1" applyProtection="1">
      <alignment horizontal="right" vertical="center"/>
      <protection hidden="1"/>
    </xf>
    <xf numFmtId="9" fontId="213" fillId="0" borderId="0" xfId="0" applyNumberFormat="1" applyFont="1" applyFill="1" applyBorder="1" applyAlignment="1" applyProtection="1">
      <alignment horizontal="center" vertical="center"/>
      <protection hidden="1"/>
    </xf>
    <xf numFmtId="166" fontId="186" fillId="0" borderId="0" xfId="0" applyNumberFormat="1" applyFont="1" applyFill="1" applyBorder="1" applyAlignment="1" applyProtection="1">
      <alignment horizontal="center"/>
      <protection hidden="1"/>
    </xf>
    <xf numFmtId="166" fontId="186" fillId="0" borderId="0" xfId="0" applyNumberFormat="1" applyFont="1" applyFill="1" applyBorder="1" applyProtection="1">
      <alignment horizontal="right"/>
      <protection hidden="1"/>
    </xf>
    <xf numFmtId="166" fontId="186" fillId="0" borderId="0" xfId="0" applyNumberFormat="1" applyFont="1" applyFill="1" applyBorder="1" applyAlignment="1" applyProtection="1">
      <alignment horizontal="left" vertical="center" indent="1"/>
      <protection hidden="1"/>
    </xf>
    <xf numFmtId="9" fontId="211" fillId="0" borderId="0" xfId="0" applyNumberFormat="1" applyFont="1" applyFill="1" applyBorder="1" applyAlignment="1" applyProtection="1">
      <alignment horizontal="center" vertical="center"/>
      <protection hidden="1"/>
    </xf>
    <xf numFmtId="166" fontId="211" fillId="0" borderId="0" xfId="0" applyNumberFormat="1" applyFont="1" applyBorder="1" applyAlignment="1" applyProtection="1">
      <alignment horizontal="right" vertical="center"/>
      <protection hidden="1"/>
    </xf>
    <xf numFmtId="9" fontId="211" fillId="0" borderId="0" xfId="0" applyNumberFormat="1" applyFont="1" applyBorder="1" applyAlignment="1" applyProtection="1">
      <alignment horizontal="center" vertical="center"/>
      <protection hidden="1"/>
    </xf>
    <xf numFmtId="0" fontId="211" fillId="0" borderId="0" xfId="0" applyFont="1" applyBorder="1" applyAlignment="1" applyProtection="1">
      <alignment horizontal="right" vertical="center"/>
      <protection hidden="1"/>
    </xf>
    <xf numFmtId="0" fontId="211" fillId="0" borderId="0" xfId="0" applyFont="1" applyBorder="1" applyAlignment="1" applyProtection="1">
      <alignment horizontal="center" vertical="center"/>
      <protection hidden="1"/>
    </xf>
    <xf numFmtId="0" fontId="432" fillId="0" borderId="0" xfId="0" applyFont="1" applyBorder="1" applyAlignment="1" applyProtection="1">
      <alignment horizontal="left" vertical="center"/>
      <protection hidden="1"/>
    </xf>
    <xf numFmtId="166" fontId="432" fillId="0" borderId="0" xfId="0" applyNumberFormat="1" applyFont="1" applyBorder="1" applyAlignment="1" applyProtection="1">
      <alignment horizontal="right" vertical="center"/>
      <protection hidden="1"/>
    </xf>
    <xf numFmtId="0" fontId="211" fillId="0" borderId="0" xfId="0" applyFont="1" applyFill="1" applyBorder="1" applyAlignment="1" applyProtection="1">
      <alignment horizontal="center" vertical="center"/>
      <protection hidden="1"/>
    </xf>
    <xf numFmtId="0" fontId="432" fillId="0" borderId="0" xfId="0" applyFont="1" applyBorder="1" applyAlignment="1" applyProtection="1">
      <alignment horizontal="center" vertical="center"/>
      <protection hidden="1"/>
    </xf>
    <xf numFmtId="0" fontId="432" fillId="0" borderId="0" xfId="0" applyFont="1" applyFill="1" applyBorder="1" applyAlignment="1" applyProtection="1">
      <alignment horizontal="center" vertical="center"/>
      <protection hidden="1"/>
    </xf>
    <xf numFmtId="0" fontId="211" fillId="0" borderId="0" xfId="0" applyFont="1" applyBorder="1" applyAlignment="1" applyProtection="1">
      <alignment horizontal="left" vertical="center"/>
      <protection hidden="1"/>
    </xf>
    <xf numFmtId="0" fontId="211" fillId="0" borderId="0" xfId="0" applyFont="1" applyBorder="1" applyAlignment="1" applyProtection="1">
      <alignment horizontal="center" vertical="center"/>
      <protection locked="0"/>
    </xf>
    <xf numFmtId="0" fontId="211" fillId="0" borderId="0" xfId="0" applyFont="1" applyBorder="1" applyAlignment="1" applyProtection="1">
      <alignment horizontal="right" vertical="center"/>
      <protection locked="0"/>
    </xf>
    <xf numFmtId="166" fontId="211" fillId="0" borderId="0" xfId="0" applyNumberFormat="1" applyFont="1" applyBorder="1" applyAlignment="1" applyProtection="1">
      <alignment horizontal="right" vertical="center"/>
      <protection locked="0"/>
    </xf>
    <xf numFmtId="0" fontId="432" fillId="0" borderId="0" xfId="0" applyFont="1" applyBorder="1" applyAlignment="1" applyProtection="1">
      <alignment horizontal="center" vertical="center"/>
      <protection locked="0"/>
    </xf>
    <xf numFmtId="0" fontId="432" fillId="0" borderId="0" xfId="0" applyFont="1" applyBorder="1" applyAlignment="1" applyProtection="1">
      <alignment horizontal="right" vertical="center"/>
      <protection locked="0"/>
    </xf>
    <xf numFmtId="166" fontId="432" fillId="0" borderId="0" xfId="0" applyNumberFormat="1" applyFont="1" applyBorder="1" applyAlignment="1" applyProtection="1">
      <alignment horizontal="right" vertical="center"/>
      <protection locked="0"/>
    </xf>
    <xf numFmtId="10" fontId="211" fillId="0" borderId="0" xfId="0" applyNumberFormat="1" applyFont="1" applyBorder="1" applyAlignment="1" applyProtection="1">
      <alignment horizontal="right" vertical="center"/>
      <protection hidden="1"/>
    </xf>
    <xf numFmtId="168" fontId="211" fillId="0" borderId="0" xfId="0" applyNumberFormat="1" applyFont="1" applyBorder="1" applyAlignment="1" applyProtection="1">
      <alignment horizontal="center" vertical="center"/>
      <protection hidden="1"/>
    </xf>
    <xf numFmtId="0" fontId="432" fillId="0" borderId="0" xfId="0" applyFont="1" applyBorder="1" applyAlignment="1" applyProtection="1">
      <alignment horizontal="right"/>
      <protection hidden="1"/>
    </xf>
    <xf numFmtId="0" fontId="211" fillId="0" borderId="0" xfId="0" applyFont="1" applyBorder="1" applyProtection="1">
      <alignment horizontal="right"/>
      <protection hidden="1"/>
    </xf>
    <xf numFmtId="166" fontId="211" fillId="0" borderId="0" xfId="0" applyNumberFormat="1" applyFont="1" applyBorder="1" applyProtection="1">
      <alignment horizontal="right"/>
      <protection hidden="1"/>
    </xf>
    <xf numFmtId="0" fontId="211" fillId="0" borderId="0" xfId="0" applyFont="1" applyBorder="1" applyProtection="1">
      <alignment horizontal="right"/>
      <protection locked="0"/>
    </xf>
    <xf numFmtId="0" fontId="211" fillId="0" borderId="0" xfId="0" applyFont="1" applyBorder="1" applyAlignment="1" applyProtection="1">
      <alignment horizontal="center"/>
      <protection locked="0"/>
    </xf>
    <xf numFmtId="0" fontId="191" fillId="0" borderId="0" xfId="0" applyFont="1" applyBorder="1" applyAlignment="1" applyProtection="1">
      <alignment horizontal="right"/>
      <protection locked="0"/>
    </xf>
    <xf numFmtId="0" fontId="293" fillId="0" borderId="0" xfId="0" applyFont="1" applyBorder="1" applyAlignment="1" applyProtection="1">
      <alignment horizontal="left"/>
      <protection locked="0"/>
    </xf>
    <xf numFmtId="166" fontId="191" fillId="0" borderId="0" xfId="0" applyNumberFormat="1" applyFont="1" applyBorder="1" applyProtection="1">
      <alignment horizontal="right"/>
      <protection locked="0"/>
    </xf>
    <xf numFmtId="0" fontId="191" fillId="0" borderId="0" xfId="0" applyFont="1" applyBorder="1" applyAlignment="1" applyProtection="1">
      <alignment horizontal="center" vertical="center"/>
      <protection locked="0"/>
    </xf>
    <xf numFmtId="0" fontId="346" fillId="0" borderId="0" xfId="0" applyFont="1" applyBorder="1" applyAlignment="1" applyProtection="1">
      <alignment horizontal="center"/>
      <protection locked="0"/>
    </xf>
    <xf numFmtId="0" fontId="282" fillId="0" borderId="114" xfId="0" applyFont="1" applyBorder="1" applyAlignment="1" applyProtection="1">
      <alignment horizontal="center" vertical="center"/>
      <protection locked="0" hidden="1"/>
    </xf>
    <xf numFmtId="0" fontId="182" fillId="0" borderId="0" xfId="0" applyFont="1" applyBorder="1" applyAlignment="1" applyProtection="1">
      <alignment horizontal="right" vertical="center"/>
      <protection hidden="1"/>
    </xf>
    <xf numFmtId="0" fontId="102" fillId="0" borderId="0" xfId="0" applyFont="1" applyBorder="1" applyAlignment="1" applyProtection="1">
      <alignment horizontal="left" vertical="center"/>
      <protection hidden="1"/>
    </xf>
    <xf numFmtId="0" fontId="0" fillId="0" borderId="0" xfId="0" applyBorder="1" applyAlignment="1">
      <alignment horizontal="left" vertical="center" indent="1"/>
    </xf>
    <xf numFmtId="178" fontId="102" fillId="53" borderId="15" xfId="0" applyNumberFormat="1" applyFont="1" applyFill="1" applyBorder="1" applyAlignment="1" applyProtection="1">
      <alignment horizontal="right" vertical="center"/>
      <protection locked="0" hidden="1"/>
    </xf>
    <xf numFmtId="178" fontId="102" fillId="53" borderId="15" xfId="0" applyNumberFormat="1" applyFont="1" applyFill="1" applyBorder="1" applyAlignment="1" applyProtection="1">
      <alignment horizontal="right" vertical="center"/>
      <protection locked="0"/>
    </xf>
    <xf numFmtId="3" fontId="102" fillId="0" borderId="15" xfId="0" applyNumberFormat="1" applyFont="1" applyBorder="1" applyAlignment="1" applyProtection="1">
      <alignment horizontal="center" vertical="center"/>
      <protection locked="0"/>
    </xf>
    <xf numFmtId="188" fontId="102" fillId="0" borderId="15" xfId="0" applyNumberFormat="1" applyFont="1" applyBorder="1" applyAlignment="1" applyProtection="1">
      <alignment horizontal="center" vertical="center"/>
      <protection hidden="1"/>
    </xf>
    <xf numFmtId="0" fontId="102" fillId="53" borderId="15" xfId="0" applyFont="1" applyFill="1" applyBorder="1" applyAlignment="1" applyProtection="1">
      <alignment horizontal="center" vertical="center"/>
      <protection locked="0" hidden="1"/>
    </xf>
    <xf numFmtId="16" fontId="22" fillId="0" borderId="15" xfId="0" applyNumberFormat="1" applyFont="1" applyBorder="1" applyAlignment="1" applyProtection="1">
      <alignment horizontal="center" vertical="center"/>
      <protection locked="0"/>
    </xf>
    <xf numFmtId="0" fontId="278" fillId="0" borderId="0" xfId="0" applyFont="1" applyBorder="1" applyAlignment="1" applyProtection="1">
      <alignment horizontal="left" vertical="center" indent="1"/>
      <protection locked="0"/>
    </xf>
    <xf numFmtId="171" fontId="257" fillId="60" borderId="85" xfId="32" applyNumberFormat="1" applyFont="1" applyFill="1" applyBorder="1" applyAlignment="1" applyProtection="1">
      <alignment horizontal="left" vertical="center" indent="1"/>
      <protection locked="0"/>
    </xf>
    <xf numFmtId="0" fontId="275" fillId="0" borderId="262" xfId="0" applyFont="1" applyBorder="1" applyAlignment="1" applyProtection="1">
      <alignment horizontal="left" vertical="center"/>
      <protection hidden="1"/>
    </xf>
    <xf numFmtId="3" fontId="306" fillId="0" borderId="0" xfId="0" applyNumberFormat="1" applyFont="1" applyFill="1" applyBorder="1" applyAlignment="1" applyProtection="1">
      <alignment horizontal="left" vertical="center"/>
      <protection hidden="1"/>
    </xf>
    <xf numFmtId="0" fontId="253" fillId="55" borderId="18" xfId="0" applyFont="1" applyFill="1" applyBorder="1" applyAlignment="1" applyProtection="1">
      <alignment horizontal="left" vertical="center" indent="1"/>
      <protection hidden="1"/>
    </xf>
    <xf numFmtId="0" fontId="0" fillId="0" borderId="203" xfId="0" applyBorder="1" applyAlignment="1">
      <alignment horizontal="left" vertical="center"/>
    </xf>
    <xf numFmtId="0" fontId="279" fillId="0" borderId="0" xfId="0" applyFont="1" applyBorder="1" applyAlignment="1" applyProtection="1">
      <alignment vertical="center"/>
      <protection locked="0"/>
    </xf>
    <xf numFmtId="0" fontId="279" fillId="0" borderId="0" xfId="0" applyFont="1" applyBorder="1" applyAlignment="1" applyProtection="1">
      <alignment horizontal="center" vertical="center"/>
      <protection locked="0"/>
    </xf>
    <xf numFmtId="0" fontId="190" fillId="59" borderId="218" xfId="0" applyFont="1" applyFill="1" applyBorder="1" applyAlignment="1" applyProtection="1">
      <alignment horizontal="center" vertical="center" wrapText="1"/>
      <protection hidden="1"/>
    </xf>
    <xf numFmtId="0" fontId="252" fillId="83" borderId="137" xfId="0" applyFont="1" applyFill="1" applyBorder="1" applyAlignment="1" applyProtection="1">
      <alignment horizontal="center" vertical="center" wrapText="1"/>
      <protection hidden="1"/>
    </xf>
    <xf numFmtId="0" fontId="252" fillId="85" borderId="218" xfId="24" applyFont="1" applyFill="1" applyBorder="1" applyAlignment="1" applyProtection="1">
      <alignment horizontal="center" vertical="center" wrapText="1"/>
      <protection hidden="1"/>
    </xf>
    <xf numFmtId="0" fontId="252" fillId="63" borderId="246" xfId="0" applyFont="1" applyFill="1" applyBorder="1" applyAlignment="1" applyProtection="1">
      <alignment horizontal="center" vertical="center" wrapText="1"/>
      <protection hidden="1"/>
    </xf>
    <xf numFmtId="0" fontId="20" fillId="86" borderId="314" xfId="0" applyFont="1" applyFill="1" applyBorder="1" applyAlignment="1" applyProtection="1">
      <alignment horizontal="center" vertical="center"/>
      <protection hidden="1"/>
    </xf>
    <xf numFmtId="0" fontId="426" fillId="0" borderId="0" xfId="0" applyFont="1" applyFill="1" applyBorder="1" applyAlignment="1" applyProtection="1">
      <alignment horizontal="center" vertical="center"/>
      <protection locked="0"/>
    </xf>
    <xf numFmtId="0" fontId="426" fillId="0" borderId="0" xfId="0" applyFont="1" applyBorder="1" applyAlignment="1" applyProtection="1">
      <alignment vertical="center"/>
      <protection locked="0"/>
    </xf>
    <xf numFmtId="0" fontId="267" fillId="0" borderId="151" xfId="0" applyFont="1" applyBorder="1" applyAlignment="1" applyProtection="1">
      <alignment horizontal="center" vertical="center" wrapText="1"/>
      <protection locked="0" hidden="1"/>
    </xf>
    <xf numFmtId="0" fontId="427" fillId="0" borderId="147" xfId="0" applyNumberFormat="1" applyFont="1" applyBorder="1" applyAlignment="1" applyProtection="1">
      <alignment horizontal="center" vertical="center"/>
      <protection locked="0"/>
    </xf>
    <xf numFmtId="0" fontId="427" fillId="0" borderId="151" xfId="0" applyNumberFormat="1" applyFont="1" applyBorder="1" applyAlignment="1" applyProtection="1">
      <alignment horizontal="center" vertical="center"/>
      <protection locked="0"/>
    </xf>
    <xf numFmtId="0" fontId="427" fillId="40" borderId="131" xfId="0" applyNumberFormat="1" applyFont="1" applyFill="1" applyBorder="1" applyAlignment="1" applyProtection="1">
      <alignment horizontal="center" vertical="center"/>
      <protection locked="0"/>
    </xf>
    <xf numFmtId="0" fontId="252" fillId="53" borderId="225" xfId="0" applyFont="1" applyFill="1" applyBorder="1" applyAlignment="1" applyProtection="1">
      <alignment horizontal="center" vertical="center"/>
      <protection hidden="1"/>
    </xf>
    <xf numFmtId="0" fontId="267" fillId="0" borderId="162" xfId="0" applyFont="1" applyBorder="1" applyAlignment="1" applyProtection="1">
      <alignment horizontal="center" vertical="center" wrapText="1"/>
      <protection locked="0" hidden="1"/>
    </xf>
    <xf numFmtId="0" fontId="427" fillId="0" borderId="262" xfId="0" applyNumberFormat="1" applyFont="1" applyBorder="1" applyAlignment="1" applyProtection="1">
      <alignment horizontal="center" vertical="center"/>
      <protection locked="0"/>
    </xf>
    <xf numFmtId="0" fontId="427" fillId="0" borderId="162" xfId="0" applyNumberFormat="1" applyFont="1" applyBorder="1" applyAlignment="1" applyProtection="1">
      <alignment horizontal="center" vertical="center"/>
      <protection locked="0"/>
    </xf>
    <xf numFmtId="0" fontId="427" fillId="40" borderId="221" xfId="0" applyNumberFormat="1" applyFont="1" applyFill="1" applyBorder="1" applyAlignment="1" applyProtection="1">
      <alignment horizontal="center" vertical="center"/>
      <protection locked="0"/>
    </xf>
    <xf numFmtId="0" fontId="252" fillId="53" borderId="68" xfId="0" applyFont="1" applyFill="1" applyBorder="1" applyAlignment="1" applyProtection="1">
      <alignment horizontal="center" vertical="center"/>
      <protection hidden="1"/>
    </xf>
    <xf numFmtId="0" fontId="267" fillId="0" borderId="319" xfId="0" applyFont="1" applyBorder="1" applyAlignment="1" applyProtection="1">
      <alignment horizontal="center" vertical="center" wrapText="1"/>
      <protection locked="0" hidden="1"/>
    </xf>
    <xf numFmtId="0" fontId="427" fillId="0" borderId="309" xfId="0" applyNumberFormat="1" applyFont="1" applyBorder="1" applyAlignment="1" applyProtection="1">
      <alignment horizontal="center" vertical="center"/>
      <protection locked="0"/>
    </xf>
    <xf numFmtId="0" fontId="427" fillId="0" borderId="319" xfId="0" applyNumberFormat="1" applyFont="1" applyBorder="1" applyAlignment="1" applyProtection="1">
      <alignment horizontal="center" vertical="center"/>
      <protection locked="0"/>
    </xf>
    <xf numFmtId="0" fontId="427" fillId="40" borderId="231" xfId="0" applyNumberFormat="1" applyFont="1" applyFill="1" applyBorder="1" applyAlignment="1" applyProtection="1">
      <alignment horizontal="center" vertical="center"/>
      <protection locked="0"/>
    </xf>
    <xf numFmtId="0" fontId="279" fillId="0" borderId="0" xfId="0" applyFont="1" applyBorder="1" applyAlignment="1" applyProtection="1">
      <alignment horizontal="left" vertical="center"/>
      <protection locked="0"/>
    </xf>
    <xf numFmtId="0" fontId="279" fillId="0" borderId="59" xfId="0" applyFont="1" applyBorder="1" applyAlignment="1" applyProtection="1">
      <alignment horizontal="center" vertical="center"/>
      <protection locked="0"/>
    </xf>
    <xf numFmtId="0" fontId="283" fillId="0" borderId="0" xfId="0" applyFont="1" applyBorder="1" applyAlignment="1" applyProtection="1">
      <alignment horizontal="center" vertical="center"/>
      <protection locked="0"/>
    </xf>
    <xf numFmtId="0" fontId="279" fillId="0" borderId="0" xfId="0" applyNumberFormat="1" applyFont="1" applyFill="1" applyBorder="1" applyAlignment="1" applyProtection="1">
      <alignment vertical="center"/>
      <protection locked="0"/>
    </xf>
    <xf numFmtId="0" fontId="191" fillId="0" borderId="0" xfId="0" applyNumberFormat="1" applyFont="1" applyBorder="1" applyAlignment="1" applyProtection="1">
      <alignment horizontal="center" vertical="center"/>
      <protection locked="0" hidden="1"/>
    </xf>
    <xf numFmtId="0" fontId="283" fillId="0" borderId="0" xfId="0" applyFont="1" applyBorder="1" applyAlignment="1" applyProtection="1">
      <alignment vertical="center"/>
      <protection locked="0"/>
    </xf>
    <xf numFmtId="0" fontId="279" fillId="0" borderId="0" xfId="0" applyFont="1" applyBorder="1" applyAlignment="1" applyProtection="1">
      <alignment horizontal="right" vertical="center"/>
      <protection locked="0"/>
    </xf>
    <xf numFmtId="0" fontId="279" fillId="0" borderId="0" xfId="0" applyNumberFormat="1" applyFont="1" applyBorder="1" applyAlignment="1" applyProtection="1">
      <alignment vertical="center"/>
      <protection locked="0"/>
    </xf>
    <xf numFmtId="0" fontId="427" fillId="0" borderId="0" xfId="0" applyFont="1" applyBorder="1" applyAlignment="1" applyProtection="1">
      <alignment vertical="center"/>
      <protection locked="0"/>
    </xf>
    <xf numFmtId="0" fontId="439" fillId="0" borderId="0" xfId="0" applyFont="1" applyBorder="1" applyAlignment="1" applyProtection="1">
      <alignment vertical="center"/>
      <protection locked="0"/>
    </xf>
    <xf numFmtId="0" fontId="439" fillId="0" borderId="0" xfId="0" applyFont="1" applyBorder="1" applyAlignment="1" applyProtection="1">
      <alignment horizontal="center" vertical="center"/>
      <protection locked="0"/>
    </xf>
    <xf numFmtId="0" fontId="439" fillId="0" borderId="0" xfId="0" applyFont="1" applyBorder="1" applyAlignment="1" applyProtection="1">
      <alignment horizontal="right" vertical="center"/>
      <protection locked="0"/>
    </xf>
    <xf numFmtId="0" fontId="252" fillId="63" borderId="218" xfId="0" applyFont="1" applyFill="1" applyBorder="1" applyAlignment="1" applyProtection="1">
      <alignment horizontal="center" vertical="center" wrapText="1"/>
      <protection hidden="1"/>
    </xf>
    <xf numFmtId="0" fontId="267" fillId="0" borderId="321" xfId="0" applyFont="1" applyBorder="1" applyAlignment="1" applyProtection="1">
      <alignment horizontal="center" vertical="center" wrapText="1"/>
      <protection locked="0" hidden="1"/>
    </xf>
    <xf numFmtId="0" fontId="427" fillId="0" borderId="320" xfId="0" applyNumberFormat="1" applyFont="1" applyBorder="1" applyAlignment="1" applyProtection="1">
      <alignment horizontal="center" vertical="center"/>
      <protection locked="0"/>
    </xf>
    <xf numFmtId="0" fontId="427" fillId="0" borderId="321" xfId="0" applyNumberFormat="1" applyFont="1" applyBorder="1" applyAlignment="1" applyProtection="1">
      <alignment horizontal="center" vertical="center"/>
      <protection locked="0"/>
    </xf>
    <xf numFmtId="0" fontId="427" fillId="40" borderId="322" xfId="0" applyNumberFormat="1" applyFont="1" applyFill="1" applyBorder="1" applyAlignment="1" applyProtection="1">
      <alignment horizontal="center" vertical="center"/>
      <protection locked="0"/>
    </xf>
    <xf numFmtId="0" fontId="252" fillId="53" borderId="67" xfId="0" applyFont="1" applyFill="1" applyBorder="1" applyAlignment="1" applyProtection="1">
      <alignment horizontal="center" vertical="center"/>
      <protection hidden="1"/>
    </xf>
    <xf numFmtId="0" fontId="279" fillId="0" borderId="0" xfId="0" applyFont="1" applyBorder="1" applyAlignment="1" applyProtection="1">
      <alignment horizontal="left" vertical="center" indent="1"/>
      <protection locked="0" hidden="1"/>
    </xf>
    <xf numFmtId="2" fontId="191" fillId="0" borderId="0" xfId="0" applyNumberFormat="1" applyFont="1" applyBorder="1" applyAlignment="1" applyProtection="1">
      <alignment horizontal="center" vertical="center"/>
      <protection locked="0" hidden="1"/>
    </xf>
    <xf numFmtId="0" fontId="440" fillId="0" borderId="0" xfId="0" applyFont="1" applyBorder="1" applyAlignment="1" applyProtection="1">
      <alignment horizontal="center" vertical="center"/>
      <protection locked="0"/>
    </xf>
    <xf numFmtId="2" fontId="213" fillId="59" borderId="218" xfId="0" applyNumberFormat="1" applyFont="1" applyFill="1" applyBorder="1" applyAlignment="1" applyProtection="1">
      <alignment horizontal="center" vertical="center"/>
      <protection hidden="1"/>
    </xf>
    <xf numFmtId="2" fontId="185" fillId="52" borderId="218" xfId="0" applyNumberFormat="1" applyFont="1" applyFill="1" applyBorder="1" applyAlignment="1" applyProtection="1">
      <alignment horizontal="center" vertical="center"/>
      <protection hidden="1"/>
    </xf>
    <xf numFmtId="2" fontId="427" fillId="0" borderId="151" xfId="0" applyNumberFormat="1" applyFont="1" applyBorder="1" applyAlignment="1" applyProtection="1">
      <alignment horizontal="center" vertical="center"/>
      <protection hidden="1"/>
    </xf>
    <xf numFmtId="0" fontId="427" fillId="40" borderId="151" xfId="0" applyNumberFormat="1" applyFont="1" applyFill="1" applyBorder="1" applyAlignment="1" applyProtection="1">
      <alignment horizontal="center" vertical="center"/>
      <protection locked="0"/>
    </xf>
    <xf numFmtId="2" fontId="427" fillId="46" borderId="225" xfId="0" applyNumberFormat="1" applyFont="1" applyFill="1" applyBorder="1" applyAlignment="1" applyProtection="1">
      <alignment horizontal="center" vertical="center"/>
      <protection hidden="1"/>
    </xf>
    <xf numFmtId="0" fontId="279" fillId="0" borderId="0" xfId="0" applyFont="1" applyBorder="1" applyAlignment="1" applyProtection="1">
      <alignment vertical="center"/>
      <protection locked="0" hidden="1"/>
    </xf>
    <xf numFmtId="2" fontId="427" fillId="0" borderId="162" xfId="0" applyNumberFormat="1" applyFont="1" applyBorder="1" applyAlignment="1" applyProtection="1">
      <alignment horizontal="center" vertical="center"/>
      <protection hidden="1"/>
    </xf>
    <xf numFmtId="0" fontId="427" fillId="40" borderId="162" xfId="0" applyNumberFormat="1" applyFont="1" applyFill="1" applyBorder="1" applyAlignment="1" applyProtection="1">
      <alignment horizontal="center" vertical="center"/>
      <protection locked="0"/>
    </xf>
    <xf numFmtId="2" fontId="427" fillId="46" borderId="68" xfId="0" applyNumberFormat="1" applyFont="1" applyFill="1" applyBorder="1" applyAlignment="1" applyProtection="1">
      <alignment horizontal="center" vertical="center"/>
      <protection hidden="1"/>
    </xf>
    <xf numFmtId="2" fontId="427" fillId="0" borderId="321" xfId="0" applyNumberFormat="1" applyFont="1" applyBorder="1" applyAlignment="1" applyProtection="1">
      <alignment horizontal="center" vertical="center"/>
      <protection hidden="1"/>
    </xf>
    <xf numFmtId="0" fontId="427" fillId="40" borderId="321" xfId="0" applyNumberFormat="1" applyFont="1" applyFill="1" applyBorder="1" applyAlignment="1" applyProtection="1">
      <alignment horizontal="center" vertical="center"/>
      <protection locked="0"/>
    </xf>
    <xf numFmtId="2" fontId="427" fillId="46" borderId="67" xfId="0" applyNumberFormat="1" applyFont="1" applyFill="1" applyBorder="1" applyAlignment="1" applyProtection="1">
      <alignment horizontal="center" vertical="center"/>
      <protection hidden="1"/>
    </xf>
    <xf numFmtId="0" fontId="279" fillId="46" borderId="72" xfId="0" applyFont="1" applyFill="1" applyBorder="1" applyAlignment="1" applyProtection="1">
      <alignment vertical="center"/>
      <protection locked="0"/>
    </xf>
    <xf numFmtId="0" fontId="279" fillId="0" borderId="137" xfId="0" applyFont="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0" fontId="279" fillId="0" borderId="203" xfId="0" applyFont="1" applyBorder="1" applyAlignment="1" applyProtection="1">
      <alignment vertical="center"/>
      <protection locked="0"/>
    </xf>
    <xf numFmtId="2" fontId="279" fillId="0" borderId="0" xfId="0" applyNumberFormat="1" applyFont="1" applyBorder="1" applyAlignment="1" applyProtection="1">
      <alignment vertical="center"/>
      <protection locked="0"/>
    </xf>
    <xf numFmtId="0" fontId="370" fillId="0" borderId="0" xfId="0" applyFont="1" applyBorder="1" applyAlignment="1" applyProtection="1">
      <alignment vertical="center"/>
      <protection hidden="1"/>
    </xf>
    <xf numFmtId="211" fontId="253" fillId="53" borderId="243" xfId="0" applyNumberFormat="1" applyFont="1" applyFill="1" applyBorder="1" applyAlignment="1" applyProtection="1">
      <alignment horizontal="center" vertical="center"/>
      <protection hidden="1"/>
    </xf>
    <xf numFmtId="0" fontId="253" fillId="53" borderId="244" xfId="0" applyFont="1" applyFill="1" applyBorder="1" applyAlignment="1" applyProtection="1">
      <alignment horizontal="center" vertical="center"/>
      <protection hidden="1"/>
    </xf>
    <xf numFmtId="0" fontId="16" fillId="0" borderId="203" xfId="0" applyFont="1" applyFill="1" applyBorder="1" applyAlignment="1" applyProtection="1">
      <alignment horizontal="left" vertical="center"/>
      <protection locked="0"/>
    </xf>
    <xf numFmtId="0" fontId="287" fillId="0" borderId="0" xfId="0" applyFont="1" applyBorder="1" applyAlignment="1" applyProtection="1">
      <alignment horizontal="right" vertical="center"/>
      <protection locked="0"/>
    </xf>
    <xf numFmtId="186" fontId="185" fillId="59" borderId="222" xfId="0" applyNumberFormat="1" applyFont="1" applyFill="1" applyBorder="1" applyAlignment="1" applyProtection="1">
      <alignment horizontal="center"/>
      <protection hidden="1"/>
    </xf>
    <xf numFmtId="0" fontId="62" fillId="59" borderId="223" xfId="0" applyFont="1" applyFill="1" applyBorder="1" applyAlignment="1" applyProtection="1">
      <alignment horizontal="center"/>
      <protection hidden="1"/>
    </xf>
    <xf numFmtId="0" fontId="20" fillId="59" borderId="247" xfId="0" applyFont="1" applyFill="1" applyBorder="1" applyAlignment="1" applyProtection="1">
      <alignment horizontal="center" vertical="top"/>
      <protection hidden="1"/>
    </xf>
    <xf numFmtId="0" fontId="20" fillId="59" borderId="248" xfId="0" applyFont="1" applyFill="1" applyBorder="1" applyAlignment="1" applyProtection="1">
      <alignment horizontal="center" vertical="top"/>
      <protection hidden="1"/>
    </xf>
    <xf numFmtId="0" fontId="275" fillId="0" borderId="167" xfId="0" applyFont="1" applyFill="1" applyBorder="1" applyAlignment="1" applyProtection="1">
      <alignment vertical="center" wrapText="1"/>
      <protection hidden="1"/>
    </xf>
    <xf numFmtId="0" fontId="274" fillId="0" borderId="0" xfId="0" applyFont="1" applyFill="1" applyBorder="1" applyAlignment="1" applyProtection="1">
      <alignment horizontal="right" vertical="center" indent="1"/>
      <protection hidden="1"/>
    </xf>
    <xf numFmtId="0" fontId="22" fillId="0" borderId="299" xfId="0" applyFont="1" applyBorder="1" applyAlignment="1" applyProtection="1">
      <alignment horizontal="center" vertical="center"/>
      <protection locked="0" hidden="1"/>
    </xf>
    <xf numFmtId="3" fontId="210" fillId="0" borderId="0" xfId="13" applyNumberFormat="1" applyFont="1" applyFill="1" applyBorder="1" applyAlignment="1" applyProtection="1">
      <alignment horizontal="center" vertical="center"/>
      <protection hidden="1"/>
    </xf>
    <xf numFmtId="0" fontId="0" fillId="0" borderId="0" xfId="0" applyBorder="1">
      <alignment horizontal="right"/>
    </xf>
    <xf numFmtId="3" fontId="443" fillId="0" borderId="0" xfId="0" applyNumberFormat="1" applyFont="1" applyFill="1" applyBorder="1" applyAlignment="1" applyProtection="1">
      <alignment vertical="center"/>
      <protection hidden="1"/>
    </xf>
    <xf numFmtId="3" fontId="443" fillId="0" borderId="0" xfId="13" applyNumberFormat="1" applyFont="1" applyFill="1" applyBorder="1" applyAlignment="1" applyProtection="1">
      <alignment horizontal="center" vertical="center"/>
      <protection hidden="1"/>
    </xf>
    <xf numFmtId="0" fontId="350" fillId="0" borderId="0" xfId="0" applyFont="1" applyBorder="1" applyAlignment="1">
      <alignment vertical="center"/>
    </xf>
    <xf numFmtId="3" fontId="350" fillId="0" borderId="0" xfId="0" applyNumberFormat="1" applyFont="1" applyBorder="1" applyAlignment="1">
      <alignment vertical="center"/>
    </xf>
    <xf numFmtId="0" fontId="267" fillId="0" borderId="0" xfId="0" applyFont="1" applyBorder="1" applyAlignment="1">
      <alignment vertical="center"/>
    </xf>
    <xf numFmtId="0" fontId="267" fillId="0" borderId="0" xfId="0" applyFont="1" applyFill="1" applyBorder="1" applyAlignment="1">
      <alignment vertical="center"/>
    </xf>
    <xf numFmtId="180" fontId="226" fillId="46" borderId="35" xfId="0" applyNumberFormat="1" applyFont="1" applyFill="1" applyBorder="1" applyAlignment="1" applyProtection="1">
      <alignment horizontal="center" vertical="center"/>
      <protection hidden="1"/>
    </xf>
    <xf numFmtId="166" fontId="191" fillId="59" borderId="330" xfId="0" applyNumberFormat="1" applyFont="1" applyFill="1" applyBorder="1" applyAlignment="1" applyProtection="1">
      <alignment horizontal="center" vertical="center"/>
      <protection locked="0"/>
    </xf>
    <xf numFmtId="170" fontId="191" fillId="59" borderId="330" xfId="0" applyNumberFormat="1" applyFont="1" applyFill="1" applyBorder="1" applyAlignment="1" applyProtection="1">
      <alignment horizontal="centerContinuous" vertical="center"/>
      <protection locked="0"/>
    </xf>
    <xf numFmtId="0" fontId="52" fillId="59" borderId="331" xfId="0" applyFont="1" applyFill="1" applyBorder="1" applyAlignment="1" applyProtection="1">
      <alignment horizontal="center" vertical="center"/>
      <protection locked="0"/>
    </xf>
    <xf numFmtId="166" fontId="190" fillId="43" borderId="331" xfId="0" applyNumberFormat="1" applyFont="1" applyFill="1" applyBorder="1" applyAlignment="1" applyProtection="1">
      <alignment horizontal="center" vertical="center"/>
      <protection hidden="1"/>
    </xf>
    <xf numFmtId="166" fontId="190" fillId="43" borderId="336" xfId="0" applyNumberFormat="1" applyFont="1" applyFill="1" applyBorder="1" applyAlignment="1" applyProtection="1">
      <alignment horizontal="center" vertical="center"/>
      <protection hidden="1"/>
    </xf>
    <xf numFmtId="166" fontId="191" fillId="43" borderId="332" xfId="0" applyNumberFormat="1" applyFont="1" applyFill="1" applyBorder="1" applyAlignment="1" applyProtection="1">
      <alignment horizontal="right" vertical="center"/>
      <protection hidden="1"/>
    </xf>
    <xf numFmtId="166" fontId="191" fillId="43" borderId="333" xfId="0" quotePrefix="1" applyNumberFormat="1" applyFont="1" applyFill="1" applyBorder="1" applyAlignment="1" applyProtection="1">
      <alignment horizontal="right" vertical="center"/>
      <protection hidden="1"/>
    </xf>
    <xf numFmtId="166" fontId="191" fillId="43" borderId="332" xfId="0" quotePrefix="1" applyNumberFormat="1" applyFont="1" applyFill="1" applyBorder="1" applyAlignment="1" applyProtection="1">
      <alignment horizontal="right" vertical="center"/>
      <protection hidden="1"/>
    </xf>
    <xf numFmtId="166" fontId="191" fillId="43" borderId="0" xfId="0" quotePrefix="1" applyNumberFormat="1" applyFont="1" applyFill="1" applyBorder="1" applyAlignment="1" applyProtection="1">
      <alignment horizontal="right" vertical="center"/>
      <protection hidden="1"/>
    </xf>
    <xf numFmtId="170" fontId="182" fillId="43" borderId="334" xfId="0" applyNumberFormat="1" applyFont="1" applyFill="1" applyBorder="1" applyAlignment="1" applyProtection="1">
      <alignment horizontal="center" vertical="center"/>
      <protection hidden="1"/>
    </xf>
    <xf numFmtId="170" fontId="182" fillId="43" borderId="161" xfId="0" applyNumberFormat="1" applyFont="1" applyFill="1" applyBorder="1" applyAlignment="1" applyProtection="1">
      <alignment horizontal="center" vertical="center"/>
      <protection hidden="1"/>
    </xf>
    <xf numFmtId="10" fontId="191" fillId="43" borderId="335" xfId="0" applyNumberFormat="1" applyFont="1" applyFill="1" applyBorder="1" applyAlignment="1" applyProtection="1">
      <alignment horizontal="center" vertical="center"/>
      <protection hidden="1"/>
    </xf>
    <xf numFmtId="10" fontId="191" fillId="43" borderId="0" xfId="0" applyNumberFormat="1" applyFont="1" applyFill="1" applyBorder="1" applyAlignment="1" applyProtection="1">
      <alignment horizontal="center" vertical="center"/>
      <protection hidden="1"/>
    </xf>
    <xf numFmtId="0" fontId="102" fillId="0" borderId="0" xfId="0" applyFont="1" applyBorder="1" applyAlignment="1" applyProtection="1">
      <alignment vertical="center" wrapText="1"/>
      <protection hidden="1"/>
    </xf>
    <xf numFmtId="0" fontId="102" fillId="0" borderId="0" xfId="0" applyFont="1" applyBorder="1" applyAlignment="1" applyProtection="1">
      <alignment horizontal="right" vertical="center" indent="1"/>
      <protection hidden="1"/>
    </xf>
    <xf numFmtId="0" fontId="22" fillId="0" borderId="0" xfId="35" applyFont="1" applyBorder="1" applyAlignment="1" applyProtection="1">
      <alignment horizontal="left" vertical="center"/>
      <protection hidden="1"/>
    </xf>
    <xf numFmtId="0" fontId="102" fillId="0" borderId="0" xfId="0" applyFont="1" applyBorder="1" applyAlignment="1" applyProtection="1">
      <alignment horizontal="left" vertical="center" indent="4"/>
      <protection locked="0"/>
    </xf>
    <xf numFmtId="14" fontId="102" fillId="0" borderId="0" xfId="0" applyNumberFormat="1" applyFont="1" applyBorder="1" applyAlignment="1" applyProtection="1">
      <alignment horizontal="left" vertical="center" indent="4"/>
      <protection locked="0"/>
    </xf>
    <xf numFmtId="0" fontId="0" fillId="0" borderId="0" xfId="0" applyBorder="1" applyAlignment="1">
      <alignment horizontal="left"/>
    </xf>
    <xf numFmtId="0" fontId="102" fillId="0" borderId="0" xfId="0" applyFont="1" applyBorder="1" applyAlignment="1" applyProtection="1">
      <alignment horizontal="left" vertical="center" indent="3"/>
      <protection hidden="1"/>
    </xf>
    <xf numFmtId="0" fontId="0" fillId="0" borderId="0" xfId="0" applyBorder="1" applyAlignment="1">
      <alignment horizontal="left" vertical="center" indent="3"/>
    </xf>
    <xf numFmtId="0" fontId="0" fillId="0" borderId="29" xfId="0" applyBorder="1" applyAlignment="1">
      <alignment horizontal="left" vertical="center" indent="3"/>
    </xf>
    <xf numFmtId="0" fontId="103" fillId="0" borderId="27" xfId="0" applyFont="1" applyBorder="1" applyAlignment="1" applyProtection="1">
      <alignment horizontal="left" vertical="center" indent="1"/>
      <protection locked="0"/>
    </xf>
    <xf numFmtId="0" fontId="103" fillId="0" borderId="28" xfId="0" applyFont="1" applyBorder="1" applyAlignment="1" applyProtection="1">
      <alignment horizontal="left" vertical="center" indent="1"/>
      <protection locked="0"/>
    </xf>
    <xf numFmtId="0" fontId="102" fillId="0" borderId="22" xfId="0" applyFont="1" applyBorder="1" applyAlignment="1" applyProtection="1">
      <alignment horizontal="left" vertical="center" indent="1"/>
      <protection locked="0"/>
    </xf>
    <xf numFmtId="0" fontId="139" fillId="0" borderId="22" xfId="0" applyFont="1" applyBorder="1" applyAlignment="1" applyProtection="1">
      <alignment horizontal="left" vertical="center" indent="1"/>
      <protection locked="0"/>
    </xf>
    <xf numFmtId="0" fontId="147" fillId="0" borderId="27" xfId="0" applyFont="1" applyBorder="1" applyAlignment="1" applyProtection="1">
      <alignment horizontal="left" vertical="center" indent="1"/>
      <protection locked="0"/>
    </xf>
    <xf numFmtId="0" fontId="147" fillId="0" borderId="28" xfId="0" applyFont="1" applyBorder="1" applyAlignment="1" applyProtection="1">
      <alignment horizontal="left" vertical="center" indent="1"/>
      <protection locked="0"/>
    </xf>
    <xf numFmtId="0" fontId="198" fillId="0" borderId="0" xfId="32" applyFont="1" applyBorder="1" applyAlignment="1" applyProtection="1">
      <alignment vertical="center"/>
      <protection locked="0"/>
    </xf>
    <xf numFmtId="0" fontId="198" fillId="0" borderId="0" xfId="32" applyFont="1" applyBorder="1" applyAlignment="1" applyProtection="1">
      <alignment vertical="center"/>
    </xf>
    <xf numFmtId="0" fontId="0" fillId="0" borderId="0" xfId="0" applyBorder="1" applyAlignment="1"/>
    <xf numFmtId="0" fontId="131" fillId="0" borderId="0" xfId="35" quotePrefix="1" applyFont="1" applyBorder="1" applyAlignment="1" applyProtection="1">
      <alignment vertical="center" wrapText="1"/>
      <protection hidden="1"/>
    </xf>
    <xf numFmtId="9" fontId="361" fillId="0" borderId="211" xfId="0" applyNumberFormat="1" applyFont="1" applyBorder="1" applyAlignment="1" applyProtection="1">
      <alignment horizontal="center" vertical="center"/>
      <protection locked="0" hidden="1"/>
    </xf>
    <xf numFmtId="171" fontId="361" fillId="0" borderId="211" xfId="0" applyNumberFormat="1" applyFont="1" applyBorder="1" applyAlignment="1" applyProtection="1">
      <alignment horizontal="center" vertical="center"/>
      <protection locked="0" hidden="1"/>
    </xf>
    <xf numFmtId="203" fontId="186" fillId="0" borderId="0" xfId="0" applyNumberFormat="1" applyFont="1" applyBorder="1" applyAlignment="1" applyProtection="1">
      <alignment horizontal="center" vertical="center"/>
      <protection hidden="1"/>
    </xf>
    <xf numFmtId="202" fontId="186" fillId="0" borderId="0" xfId="0" applyNumberFormat="1" applyFont="1" applyBorder="1" applyAlignment="1" applyProtection="1">
      <alignment horizontal="center" vertical="center"/>
      <protection hidden="1"/>
    </xf>
    <xf numFmtId="3" fontId="186" fillId="0" borderId="0" xfId="0" applyNumberFormat="1" applyFont="1" applyBorder="1" applyAlignment="1" applyProtection="1">
      <alignment horizontal="right" vertical="center"/>
      <protection hidden="1"/>
    </xf>
    <xf numFmtId="3" fontId="186" fillId="0" borderId="0" xfId="0" applyNumberFormat="1" applyFont="1" applyFill="1" applyBorder="1" applyAlignment="1" applyProtection="1">
      <alignment horizontal="right" vertical="center"/>
      <protection hidden="1"/>
    </xf>
    <xf numFmtId="3" fontId="186" fillId="0" borderId="0" xfId="0" applyNumberFormat="1" applyFont="1" applyBorder="1" applyProtection="1">
      <alignment horizontal="right"/>
      <protection hidden="1"/>
    </xf>
    <xf numFmtId="3" fontId="186" fillId="0" borderId="0" xfId="0" applyNumberFormat="1" applyFont="1" applyBorder="1" applyProtection="1">
      <alignment horizontal="right"/>
      <protection locked="0"/>
    </xf>
    <xf numFmtId="3" fontId="186" fillId="0" borderId="0" xfId="0" applyNumberFormat="1" applyFont="1" applyBorder="1" applyAlignment="1" applyProtection="1">
      <alignment vertical="center"/>
      <protection hidden="1"/>
    </xf>
    <xf numFmtId="0" fontId="181" fillId="0" borderId="0" xfId="0" applyFont="1" applyBorder="1" applyProtection="1">
      <alignment horizontal="right"/>
      <protection hidden="1"/>
    </xf>
    <xf numFmtId="188" fontId="102" fillId="0" borderId="300" xfId="0" applyNumberFormat="1" applyFont="1" applyBorder="1" applyAlignment="1" applyProtection="1">
      <alignment horizontal="center" vertical="center"/>
      <protection locked="0"/>
    </xf>
    <xf numFmtId="166" fontId="181" fillId="0" borderId="0" xfId="0" applyNumberFormat="1" applyFont="1" applyFill="1" applyBorder="1" applyAlignment="1" applyProtection="1">
      <alignment horizontal="right" vertical="center"/>
      <protection hidden="1"/>
    </xf>
    <xf numFmtId="0" fontId="182" fillId="31" borderId="0" xfId="0" applyFont="1" applyFill="1" applyBorder="1" applyAlignment="1" applyProtection="1">
      <alignment horizontal="right" vertical="center"/>
      <protection hidden="1"/>
    </xf>
    <xf numFmtId="0" fontId="201" fillId="0" borderId="0" xfId="0" applyFont="1" applyFill="1" applyBorder="1" applyAlignment="1" applyProtection="1">
      <alignment vertical="center"/>
      <protection hidden="1"/>
    </xf>
    <xf numFmtId="166" fontId="182" fillId="0" borderId="0" xfId="0" applyNumberFormat="1" applyFont="1" applyFill="1" applyBorder="1" applyAlignment="1" applyProtection="1">
      <alignment horizontal="right" vertical="center"/>
      <protection hidden="1"/>
    </xf>
    <xf numFmtId="166" fontId="182" fillId="0" borderId="0" xfId="0" applyNumberFormat="1" applyFont="1" applyFill="1" applyBorder="1" applyAlignment="1" applyProtection="1">
      <alignment horizontal="center" vertical="center"/>
      <protection hidden="1"/>
    </xf>
    <xf numFmtId="9" fontId="185" fillId="0" borderId="0" xfId="0" applyNumberFormat="1" applyFont="1" applyFill="1" applyBorder="1" applyAlignment="1" applyProtection="1">
      <alignment horizontal="center" vertical="center"/>
      <protection hidden="1"/>
    </xf>
    <xf numFmtId="2" fontId="185" fillId="59" borderId="246" xfId="0" applyNumberFormat="1" applyFont="1" applyFill="1" applyBorder="1" applyAlignment="1" applyProtection="1">
      <alignment horizontal="center" vertical="center" wrapText="1"/>
      <protection hidden="1"/>
    </xf>
    <xf numFmtId="0" fontId="252" fillId="59" borderId="136" xfId="0" applyFont="1" applyFill="1" applyBorder="1" applyAlignment="1" applyProtection="1">
      <alignment horizontal="center" vertical="center"/>
      <protection hidden="1"/>
    </xf>
    <xf numFmtId="0" fontId="427" fillId="0" borderId="298" xfId="0" applyFont="1" applyBorder="1" applyAlignment="1" applyProtection="1">
      <alignment horizontal="left" vertical="center"/>
      <protection locked="0" hidden="1"/>
    </xf>
    <xf numFmtId="0" fontId="427" fillId="0" borderId="167" xfId="0" applyFont="1" applyBorder="1" applyAlignment="1" applyProtection="1">
      <alignment horizontal="left" vertical="center"/>
      <protection locked="0" hidden="1"/>
    </xf>
    <xf numFmtId="0" fontId="427" fillId="0" borderId="258" xfId="0" applyFont="1" applyBorder="1" applyAlignment="1" applyProtection="1">
      <alignment horizontal="left" vertical="center"/>
      <protection locked="0" hidden="1"/>
    </xf>
    <xf numFmtId="0" fontId="270" fillId="0" borderId="0" xfId="0" applyFont="1" applyBorder="1" applyAlignment="1" applyProtection="1">
      <alignment vertical="center"/>
      <protection locked="0"/>
    </xf>
    <xf numFmtId="0" fontId="449" fillId="0" borderId="0" xfId="0" applyFont="1" applyBorder="1" applyAlignment="1" applyProtection="1">
      <alignment vertical="center"/>
      <protection locked="0"/>
    </xf>
    <xf numFmtId="0" fontId="252" fillId="87" borderId="244" xfId="0" applyFont="1" applyFill="1" applyBorder="1" applyAlignment="1" applyProtection="1">
      <alignment horizontal="center" vertical="center"/>
      <protection hidden="1"/>
    </xf>
    <xf numFmtId="0" fontId="270" fillId="0" borderId="0" xfId="0" applyFont="1" applyBorder="1" applyAlignment="1" applyProtection="1">
      <alignment vertical="center"/>
      <protection locked="0" hidden="1"/>
    </xf>
    <xf numFmtId="0" fontId="252" fillId="46" borderId="225" xfId="0" applyFont="1" applyFill="1" applyBorder="1" applyAlignment="1" applyProtection="1">
      <alignment horizontal="center" vertical="center"/>
      <protection hidden="1"/>
    </xf>
    <xf numFmtId="0" fontId="252" fillId="46" borderId="68" xfId="0" applyFont="1" applyFill="1" applyBorder="1" applyAlignment="1" applyProtection="1">
      <alignment horizontal="center" vertical="center"/>
      <protection hidden="1"/>
    </xf>
    <xf numFmtId="0" fontId="252" fillId="46" borderId="257" xfId="0" applyFont="1" applyFill="1" applyBorder="1" applyAlignment="1" applyProtection="1">
      <alignment horizontal="center" vertical="center"/>
      <protection hidden="1"/>
    </xf>
    <xf numFmtId="0" fontId="252" fillId="53" borderId="244" xfId="0" applyFont="1" applyFill="1" applyBorder="1" applyAlignment="1" applyProtection="1">
      <alignment horizontal="center" vertical="center"/>
      <protection hidden="1"/>
    </xf>
    <xf numFmtId="0" fontId="350" fillId="0" borderId="0" xfId="0" applyFont="1" applyBorder="1" applyAlignment="1" applyProtection="1">
      <alignment vertical="center"/>
      <protection locked="0"/>
    </xf>
    <xf numFmtId="0" fontId="450" fillId="0" borderId="151" xfId="0" applyNumberFormat="1" applyFont="1" applyBorder="1" applyAlignment="1" applyProtection="1">
      <alignment horizontal="center" vertical="center"/>
      <protection locked="0"/>
    </xf>
    <xf numFmtId="9" fontId="450" fillId="0" borderId="293" xfId="0" applyNumberFormat="1" applyFont="1" applyBorder="1" applyAlignment="1" applyProtection="1">
      <alignment horizontal="center" vertical="center"/>
      <protection hidden="1"/>
    </xf>
    <xf numFmtId="0" fontId="451" fillId="0" borderId="162" xfId="0" applyNumberFormat="1" applyFont="1" applyBorder="1" applyAlignment="1" applyProtection="1">
      <alignment horizontal="center" vertical="center"/>
      <protection locked="0"/>
    </xf>
    <xf numFmtId="9" fontId="451" fillId="0" borderId="245" xfId="0" applyNumberFormat="1" applyFont="1" applyBorder="1" applyAlignment="1" applyProtection="1">
      <alignment horizontal="center" vertical="center"/>
      <protection hidden="1"/>
    </xf>
    <xf numFmtId="0" fontId="452" fillId="0" borderId="151" xfId="0" applyNumberFormat="1" applyFont="1" applyBorder="1" applyAlignment="1" applyProtection="1">
      <alignment horizontal="center" vertical="center"/>
      <protection locked="0"/>
    </xf>
    <xf numFmtId="9" fontId="452" fillId="0" borderId="293" xfId="0" applyNumberFormat="1" applyFont="1" applyBorder="1" applyAlignment="1" applyProtection="1">
      <alignment horizontal="center" vertical="center"/>
      <protection hidden="1"/>
    </xf>
    <xf numFmtId="212" fontId="226" fillId="46" borderId="137" xfId="0" applyNumberFormat="1" applyFont="1" applyFill="1" applyBorder="1" applyAlignment="1" applyProtection="1">
      <alignment horizontal="right" vertical="center"/>
      <protection hidden="1"/>
    </xf>
    <xf numFmtId="0" fontId="226" fillId="46" borderId="135" xfId="0" applyFont="1" applyFill="1" applyBorder="1" applyAlignment="1" applyProtection="1">
      <alignment vertical="center"/>
      <protection hidden="1"/>
    </xf>
    <xf numFmtId="0" fontId="4" fillId="0" borderId="0" xfId="0" applyFont="1" applyBorder="1">
      <alignment horizontal="right"/>
    </xf>
    <xf numFmtId="0" fontId="36" fillId="0" borderId="0" xfId="0" applyFont="1" applyFill="1" applyBorder="1" applyAlignment="1" applyProtection="1">
      <alignment horizontal="center"/>
      <protection locked="0"/>
    </xf>
    <xf numFmtId="0" fontId="135" fillId="0" borderId="0" xfId="0" quotePrefix="1" applyFont="1" applyBorder="1" applyProtection="1">
      <alignment horizontal="right"/>
      <protection locked="0"/>
    </xf>
    <xf numFmtId="0" fontId="55" fillId="0" borderId="0" xfId="0" quotePrefix="1" applyFont="1" applyBorder="1" applyProtection="1">
      <alignment horizontal="right"/>
      <protection locked="0"/>
    </xf>
    <xf numFmtId="0" fontId="16" fillId="0" borderId="0" xfId="0" quotePrefix="1" applyFont="1" applyFill="1" applyBorder="1" applyProtection="1">
      <alignment horizontal="right"/>
      <protection locked="0"/>
    </xf>
    <xf numFmtId="0" fontId="55" fillId="0" borderId="0" xfId="0" applyFont="1" applyBorder="1" applyAlignment="1" applyProtection="1">
      <alignment horizontal="left"/>
      <protection locked="0"/>
    </xf>
    <xf numFmtId="0" fontId="135" fillId="0" borderId="0" xfId="0" applyFont="1" applyBorder="1" applyAlignment="1" applyProtection="1">
      <alignment horizontal="left"/>
      <protection locked="0"/>
    </xf>
    <xf numFmtId="0" fontId="135" fillId="0" borderId="0" xfId="0" applyFont="1" applyBorder="1" applyAlignment="1" applyProtection="1">
      <alignment horizontal="left" vertical="top" wrapText="1" indent="1"/>
      <protection locked="0"/>
    </xf>
    <xf numFmtId="0" fontId="0" fillId="0" borderId="0" xfId="0" applyBorder="1" applyAlignment="1">
      <alignment horizontal="left" vertical="center" indent="1"/>
    </xf>
    <xf numFmtId="0" fontId="0" fillId="0" borderId="0" xfId="0" applyBorder="1" applyAlignment="1">
      <alignment vertical="center"/>
    </xf>
    <xf numFmtId="166" fontId="104" fillId="0" borderId="0" xfId="0" applyNumberFormat="1" applyFont="1" applyFill="1" applyBorder="1" applyAlignment="1" applyProtection="1">
      <alignment horizontal="center" vertical="center" wrapText="1"/>
      <protection hidden="1"/>
    </xf>
    <xf numFmtId="166" fontId="92" fillId="0" borderId="351" xfId="0" applyNumberFormat="1" applyFont="1" applyBorder="1" applyAlignment="1" applyProtection="1">
      <alignment vertical="center"/>
      <protection locked="0"/>
    </xf>
    <xf numFmtId="166" fontId="92" fillId="0" borderId="68" xfId="0" applyNumberFormat="1" applyFont="1" applyBorder="1" applyAlignment="1" applyProtection="1">
      <alignment vertical="center"/>
      <protection locked="0"/>
    </xf>
    <xf numFmtId="166" fontId="92" fillId="0" borderId="225" xfId="0" applyNumberFormat="1" applyFont="1" applyBorder="1" applyAlignment="1" applyProtection="1">
      <alignment vertical="center"/>
      <protection locked="0"/>
    </xf>
    <xf numFmtId="166" fontId="92" fillId="0" borderId="352" xfId="0" applyNumberFormat="1" applyFont="1" applyBorder="1" applyAlignment="1" applyProtection="1">
      <alignment vertical="center"/>
      <protection locked="0"/>
    </xf>
    <xf numFmtId="166" fontId="16" fillId="0" borderId="225" xfId="0" applyNumberFormat="1" applyFont="1" applyBorder="1" applyAlignment="1" applyProtection="1">
      <alignment vertical="center"/>
      <protection locked="0"/>
    </xf>
    <xf numFmtId="166" fontId="239" fillId="40" borderId="179" xfId="0" applyNumberFormat="1" applyFont="1" applyFill="1" applyBorder="1" applyAlignment="1" applyProtection="1">
      <alignment horizontal="center" vertical="center"/>
      <protection hidden="1"/>
    </xf>
    <xf numFmtId="0" fontId="20" fillId="51" borderId="230" xfId="0" applyFont="1" applyFill="1" applyBorder="1" applyAlignment="1" applyProtection="1">
      <alignment horizontal="left" vertical="center" indent="1"/>
      <protection hidden="1"/>
    </xf>
    <xf numFmtId="166" fontId="20" fillId="26" borderId="85" xfId="0" applyNumberFormat="1" applyFont="1" applyFill="1" applyBorder="1" applyAlignment="1" applyProtection="1">
      <alignment vertical="center"/>
      <protection hidden="1"/>
    </xf>
    <xf numFmtId="166" fontId="246" fillId="71" borderId="167" xfId="0" applyNumberFormat="1" applyFont="1" applyFill="1" applyBorder="1" applyAlignment="1" applyProtection="1">
      <alignment vertical="center"/>
      <protection hidden="1"/>
    </xf>
    <xf numFmtId="166" fontId="246" fillId="71" borderId="72" xfId="0" applyNumberFormat="1" applyFont="1" applyFill="1" applyBorder="1" applyAlignment="1" applyProtection="1">
      <alignment vertical="center"/>
      <protection hidden="1"/>
    </xf>
    <xf numFmtId="0" fontId="246" fillId="0" borderId="293" xfId="0" applyFont="1" applyFill="1" applyBorder="1" applyProtection="1">
      <alignment horizontal="right"/>
      <protection locked="0"/>
    </xf>
    <xf numFmtId="166" fontId="104" fillId="0" borderId="0" xfId="0" applyNumberFormat="1" applyFont="1" applyFill="1" applyBorder="1" applyAlignment="1" applyProtection="1">
      <alignment vertical="center" wrapText="1"/>
      <protection hidden="1"/>
    </xf>
    <xf numFmtId="0" fontId="151" fillId="0" borderId="0" xfId="0" applyFont="1" applyBorder="1" applyProtection="1">
      <alignment horizontal="right"/>
      <protection locked="0"/>
    </xf>
    <xf numFmtId="0" fontId="4" fillId="0" borderId="0" xfId="0" applyFont="1" applyBorder="1" applyAlignment="1">
      <alignment vertical="center" wrapText="1"/>
    </xf>
    <xf numFmtId="0" fontId="4" fillId="0" borderId="0" xfId="0" applyFont="1" applyFill="1" applyBorder="1" applyProtection="1">
      <alignment horizontal="right"/>
      <protection locked="0"/>
    </xf>
    <xf numFmtId="0" fontId="4" fillId="0" borderId="0" xfId="0" applyFont="1" applyBorder="1" applyAlignment="1" applyProtection="1">
      <alignment horizontal="left"/>
      <protection locked="0"/>
    </xf>
    <xf numFmtId="0" fontId="104" fillId="65" borderId="190" xfId="17" applyFont="1" applyFill="1" applyBorder="1" applyAlignment="1" applyProtection="1">
      <alignment horizontal="center"/>
      <protection hidden="1"/>
    </xf>
    <xf numFmtId="0" fontId="104" fillId="65" borderId="85" xfId="17" applyFont="1" applyFill="1" applyBorder="1" applyAlignment="1" applyProtection="1">
      <alignment horizontal="center"/>
      <protection hidden="1"/>
    </xf>
    <xf numFmtId="0" fontId="185" fillId="65" borderId="218" xfId="0" applyFont="1" applyFill="1" applyBorder="1" applyAlignment="1" applyProtection="1">
      <alignment horizontal="center" vertical="center"/>
      <protection hidden="1"/>
    </xf>
    <xf numFmtId="0" fontId="455" fillId="0" borderId="0" xfId="0" applyFont="1" applyFill="1" applyBorder="1" applyAlignment="1" applyProtection="1">
      <alignment vertical="center"/>
      <protection hidden="1"/>
    </xf>
    <xf numFmtId="0" fontId="185" fillId="65" borderId="85" xfId="19" applyNumberFormat="1" applyFont="1" applyFill="1" applyBorder="1" applyAlignment="1" applyProtection="1">
      <alignment horizontal="center"/>
      <protection hidden="1"/>
    </xf>
    <xf numFmtId="0" fontId="455" fillId="46" borderId="353" xfId="0" applyFont="1" applyFill="1" applyBorder="1" applyAlignment="1" applyProtection="1">
      <alignment vertical="center"/>
      <protection hidden="1"/>
    </xf>
    <xf numFmtId="168" fontId="456" fillId="0" borderId="353" xfId="0" applyNumberFormat="1" applyFont="1" applyFill="1" applyBorder="1" applyAlignment="1" applyProtection="1">
      <alignment horizontal="center" vertical="center"/>
      <protection hidden="1"/>
    </xf>
    <xf numFmtId="168" fontId="456" fillId="0" borderId="256" xfId="0" applyNumberFormat="1" applyFont="1" applyFill="1" applyBorder="1" applyAlignment="1" applyProtection="1">
      <alignment horizontal="center" vertical="center"/>
      <protection hidden="1"/>
    </xf>
    <xf numFmtId="166" fontId="455" fillId="46" borderId="257" xfId="0" applyNumberFormat="1" applyFont="1" applyFill="1" applyBorder="1" applyAlignment="1" applyProtection="1">
      <alignment vertical="center"/>
      <protection hidden="1"/>
    </xf>
    <xf numFmtId="166" fontId="455" fillId="46" borderId="258" xfId="0" applyNumberFormat="1" applyFont="1" applyFill="1" applyBorder="1" applyAlignment="1" applyProtection="1">
      <alignment vertical="center"/>
      <protection hidden="1"/>
    </xf>
    <xf numFmtId="0" fontId="279" fillId="0" borderId="0" xfId="0" applyFont="1" applyFill="1" applyBorder="1" applyAlignment="1" applyProtection="1">
      <alignment horizontal="left" vertical="center" indent="1"/>
      <protection hidden="1"/>
    </xf>
    <xf numFmtId="0" fontId="455" fillId="0" borderId="0" xfId="0" applyFont="1" applyFill="1" applyBorder="1" applyAlignment="1" applyProtection="1">
      <alignment horizontal="center" vertical="center"/>
      <protection hidden="1"/>
    </xf>
    <xf numFmtId="168" fontId="456" fillId="0" borderId="0" xfId="0" applyNumberFormat="1" applyFont="1" applyFill="1" applyBorder="1" applyAlignment="1" applyProtection="1">
      <alignment horizontal="center" vertical="center"/>
      <protection hidden="1"/>
    </xf>
    <xf numFmtId="166" fontId="16" fillId="0" borderId="257" xfId="0" applyNumberFormat="1" applyFont="1" applyFill="1" applyBorder="1" applyAlignment="1" applyProtection="1">
      <alignment horizontal="right" vertical="center"/>
      <protection locked="0"/>
    </xf>
    <xf numFmtId="0" fontId="285" fillId="0" borderId="206" xfId="0" applyFont="1" applyBorder="1" applyAlignment="1" applyProtection="1">
      <alignment vertical="center"/>
      <protection hidden="1"/>
    </xf>
    <xf numFmtId="0" fontId="278" fillId="0" borderId="0" xfId="0" applyFont="1" applyFill="1" applyBorder="1" applyAlignment="1" applyProtection="1">
      <alignment vertical="center"/>
      <protection hidden="1"/>
    </xf>
    <xf numFmtId="166" fontId="16" fillId="46" borderId="367" xfId="0" applyNumberFormat="1" applyFont="1" applyFill="1" applyBorder="1" applyAlignment="1" applyProtection="1">
      <alignment vertical="center"/>
      <protection hidden="1"/>
    </xf>
    <xf numFmtId="166" fontId="16" fillId="46" borderId="369" xfId="0" applyNumberFormat="1" applyFont="1" applyFill="1" applyBorder="1" applyAlignment="1" applyProtection="1">
      <alignment vertical="center"/>
      <protection hidden="1"/>
    </xf>
    <xf numFmtId="166" fontId="16" fillId="47" borderId="72"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center" vertical="center" wrapText="1"/>
      <protection hidden="1"/>
    </xf>
    <xf numFmtId="194" fontId="19" fillId="0" borderId="0" xfId="0" applyNumberFormat="1" applyFont="1" applyFill="1" applyBorder="1" applyAlignment="1" applyProtection="1">
      <alignment horizontal="center" vertical="center"/>
      <protection hidden="1"/>
    </xf>
    <xf numFmtId="0" fontId="455" fillId="0" borderId="0" xfId="0" applyFont="1" applyBorder="1" applyAlignment="1" applyProtection="1">
      <alignment vertical="center"/>
      <protection hidden="1"/>
    </xf>
    <xf numFmtId="0" fontId="279" fillId="0" borderId="0" xfId="0" applyFont="1" applyBorder="1" applyAlignment="1" applyProtection="1">
      <alignment horizontal="left" vertical="center" indent="1"/>
      <protection hidden="1"/>
    </xf>
    <xf numFmtId="0" fontId="455" fillId="0" borderId="0" xfId="0" applyFont="1" applyBorder="1" applyAlignment="1" applyProtection="1">
      <protection hidden="1"/>
    </xf>
    <xf numFmtId="0" fontId="285" fillId="0" borderId="0" xfId="0" applyFont="1" applyBorder="1" applyAlignment="1" applyProtection="1">
      <alignment vertical="center"/>
      <protection hidden="1"/>
    </xf>
    <xf numFmtId="0" fontId="455" fillId="0" borderId="0" xfId="0" applyFont="1" applyBorder="1" applyAlignment="1" applyProtection="1">
      <alignment horizontal="center"/>
      <protection hidden="1"/>
    </xf>
    <xf numFmtId="0" fontId="190" fillId="65" borderId="218" xfId="0" applyFont="1" applyFill="1" applyBorder="1" applyAlignment="1" applyProtection="1">
      <alignment horizontal="center" vertical="center"/>
      <protection hidden="1"/>
    </xf>
    <xf numFmtId="168" fontId="456" fillId="0" borderId="360" xfId="0" applyNumberFormat="1" applyFont="1" applyFill="1" applyBorder="1" applyAlignment="1" applyProtection="1">
      <alignment horizontal="center" vertical="center"/>
      <protection hidden="1"/>
    </xf>
    <xf numFmtId="0" fontId="455" fillId="0" borderId="361" xfId="0" applyFont="1" applyFill="1" applyBorder="1" applyAlignment="1" applyProtection="1">
      <alignment horizontal="center" vertical="center"/>
      <protection hidden="1"/>
    </xf>
    <xf numFmtId="168" fontId="456" fillId="0" borderId="233" xfId="0" applyNumberFormat="1" applyFont="1" applyFill="1" applyBorder="1" applyAlignment="1" applyProtection="1">
      <alignment horizontal="center" vertical="center"/>
      <protection hidden="1"/>
    </xf>
    <xf numFmtId="0" fontId="185" fillId="59" borderId="190" xfId="19" applyNumberFormat="1" applyFont="1" applyFill="1" applyBorder="1" applyAlignment="1" applyProtection="1">
      <alignment horizontal="center"/>
      <protection hidden="1"/>
    </xf>
    <xf numFmtId="0" fontId="185" fillId="59" borderId="85" xfId="19" applyNumberFormat="1" applyFont="1" applyFill="1" applyBorder="1" applyAlignment="1" applyProtection="1">
      <alignment horizontal="center"/>
      <protection hidden="1"/>
    </xf>
    <xf numFmtId="174" fontId="201" fillId="59" borderId="307" xfId="19" applyNumberFormat="1" applyFont="1" applyFill="1" applyBorder="1" applyAlignment="1" applyProtection="1">
      <alignment horizontal="center" vertical="top"/>
      <protection hidden="1"/>
    </xf>
    <xf numFmtId="174" fontId="201" fillId="59" borderId="355" xfId="19" applyNumberFormat="1" applyFont="1" applyFill="1" applyBorder="1" applyAlignment="1" applyProtection="1">
      <alignment horizontal="center" vertical="top"/>
      <protection hidden="1"/>
    </xf>
    <xf numFmtId="0" fontId="292" fillId="0" borderId="224" xfId="0" applyFont="1" applyFill="1" applyBorder="1" applyAlignment="1" applyProtection="1">
      <alignment vertical="center"/>
      <protection hidden="1"/>
    </xf>
    <xf numFmtId="0" fontId="292" fillId="0" borderId="0" xfId="0" applyFont="1" applyFill="1" applyBorder="1" applyAlignment="1" applyProtection="1">
      <alignment vertical="top"/>
      <protection hidden="1"/>
    </xf>
    <xf numFmtId="0" fontId="292" fillId="0" borderId="258" xfId="0" applyFont="1" applyFill="1" applyBorder="1" applyAlignment="1" applyProtection="1">
      <alignment vertical="center"/>
      <protection hidden="1"/>
    </xf>
    <xf numFmtId="0" fontId="0" fillId="0" borderId="206" xfId="0" applyFill="1" applyBorder="1" applyAlignment="1" applyProtection="1">
      <protection hidden="1"/>
    </xf>
    <xf numFmtId="166" fontId="16" fillId="46" borderId="351" xfId="0" applyNumberFormat="1" applyFont="1" applyFill="1" applyBorder="1" applyAlignment="1" applyProtection="1">
      <alignment vertical="center"/>
      <protection hidden="1"/>
    </xf>
    <xf numFmtId="166" fontId="16" fillId="46" borderId="225" xfId="0" applyNumberFormat="1" applyFont="1" applyFill="1" applyBorder="1" applyAlignment="1" applyProtection="1">
      <alignment vertical="center"/>
      <protection hidden="1"/>
    </xf>
    <xf numFmtId="166" fontId="16" fillId="71" borderId="351" xfId="0" applyNumberFormat="1" applyFont="1" applyFill="1" applyBorder="1" applyAlignment="1" applyProtection="1">
      <alignment vertical="center"/>
      <protection hidden="1"/>
    </xf>
    <xf numFmtId="166" fontId="16" fillId="47" borderId="67" xfId="0" applyNumberFormat="1" applyFont="1" applyFill="1" applyBorder="1" applyAlignment="1" applyProtection="1">
      <alignment horizontal="right" vertical="center"/>
      <protection hidden="1"/>
    </xf>
    <xf numFmtId="166" fontId="16" fillId="0" borderId="225" xfId="0" applyNumberFormat="1" applyFont="1" applyFill="1" applyBorder="1" applyAlignment="1" applyProtection="1">
      <alignment horizontal="right" vertical="center"/>
      <protection locked="0"/>
    </xf>
    <xf numFmtId="0" fontId="285" fillId="0" borderId="161" xfId="0" applyFont="1" applyBorder="1" applyAlignment="1" applyProtection="1">
      <alignment vertical="center"/>
      <protection hidden="1"/>
    </xf>
    <xf numFmtId="166" fontId="16" fillId="0" borderId="68" xfId="0" applyNumberFormat="1" applyFont="1" applyFill="1" applyBorder="1" applyAlignment="1" applyProtection="1">
      <alignment horizontal="right" vertical="center"/>
      <protection locked="0"/>
    </xf>
    <xf numFmtId="0" fontId="285" fillId="0" borderId="245" xfId="0" applyFont="1" applyBorder="1" applyAlignment="1" applyProtection="1">
      <alignment vertical="center"/>
      <protection hidden="1"/>
    </xf>
    <xf numFmtId="166" fontId="182" fillId="0" borderId="371" xfId="0" applyNumberFormat="1" applyFont="1" applyFill="1" applyBorder="1" applyAlignment="1" applyProtection="1">
      <alignment vertical="center"/>
      <protection hidden="1"/>
    </xf>
    <xf numFmtId="166" fontId="182" fillId="0" borderId="361" xfId="0" applyNumberFormat="1" applyFont="1" applyFill="1" applyBorder="1" applyAlignment="1" applyProtection="1">
      <alignment vertical="center"/>
      <protection hidden="1"/>
    </xf>
    <xf numFmtId="0" fontId="465" fillId="0" borderId="0" xfId="0" applyFont="1" applyFill="1" applyBorder="1" applyAlignment="1" applyProtection="1">
      <alignment vertical="center"/>
      <protection hidden="1"/>
    </xf>
    <xf numFmtId="166" fontId="465" fillId="0" borderId="0" xfId="0" applyNumberFormat="1" applyFont="1" applyFill="1" applyBorder="1" applyAlignment="1" applyProtection="1">
      <alignment vertical="center"/>
      <protection hidden="1"/>
    </xf>
    <xf numFmtId="0" fontId="147" fillId="0" borderId="0" xfId="0" applyFont="1" applyBorder="1" applyAlignment="1" applyProtection="1">
      <protection hidden="1"/>
    </xf>
    <xf numFmtId="166" fontId="370" fillId="0" borderId="0" xfId="0" applyNumberFormat="1" applyFont="1" applyFill="1" applyBorder="1" applyAlignment="1" applyProtection="1">
      <alignment horizontal="center" vertical="center"/>
      <protection hidden="1"/>
    </xf>
    <xf numFmtId="0" fontId="465" fillId="0" borderId="0" xfId="0" applyFont="1" applyBorder="1" applyAlignment="1" applyProtection="1">
      <protection hidden="1"/>
    </xf>
    <xf numFmtId="0" fontId="465" fillId="0" borderId="0" xfId="0" applyFont="1" applyBorder="1" applyAlignment="1" applyProtection="1">
      <alignment horizontal="center"/>
      <protection hidden="1"/>
    </xf>
    <xf numFmtId="0" fontId="190" fillId="0" borderId="0" xfId="0" applyFont="1" applyFill="1" applyBorder="1" applyAlignment="1" applyProtection="1">
      <alignment vertical="center"/>
      <protection hidden="1"/>
    </xf>
    <xf numFmtId="217" fontId="462" fillId="0" borderId="0" xfId="0" applyNumberFormat="1" applyFont="1" applyFill="1" applyBorder="1" applyAlignment="1" applyProtection="1">
      <alignment vertical="center"/>
      <protection hidden="1"/>
    </xf>
    <xf numFmtId="190" fontId="462" fillId="0" borderId="0" xfId="0" applyNumberFormat="1" applyFont="1" applyFill="1" applyBorder="1" applyAlignment="1" applyProtection="1">
      <alignment vertical="center"/>
      <protection hidden="1"/>
    </xf>
    <xf numFmtId="218" fontId="462" fillId="0" borderId="0" xfId="0" applyNumberFormat="1" applyFont="1" applyFill="1" applyBorder="1" applyAlignment="1" applyProtection="1">
      <alignment vertical="center"/>
      <protection hidden="1"/>
    </xf>
    <xf numFmtId="166" fontId="16" fillId="71" borderId="381" xfId="0" applyNumberFormat="1" applyFont="1" applyFill="1" applyBorder="1" applyAlignment="1" applyProtection="1">
      <alignment vertical="center"/>
      <protection hidden="1"/>
    </xf>
    <xf numFmtId="166" fontId="279" fillId="46" borderId="257" xfId="0" applyNumberFormat="1" applyFont="1" applyFill="1" applyBorder="1" applyAlignment="1" applyProtection="1">
      <alignment vertical="center"/>
      <protection hidden="1"/>
    </xf>
    <xf numFmtId="166" fontId="279" fillId="46" borderId="172" xfId="0" applyNumberFormat="1" applyFont="1" applyFill="1" applyBorder="1" applyAlignment="1" applyProtection="1">
      <alignment vertical="center"/>
      <protection hidden="1"/>
    </xf>
    <xf numFmtId="0" fontId="455" fillId="46" borderId="71" xfId="0" applyFont="1" applyFill="1" applyBorder="1" applyAlignment="1" applyProtection="1">
      <alignment vertical="center"/>
      <protection hidden="1"/>
    </xf>
    <xf numFmtId="0" fontId="200" fillId="89" borderId="357" xfId="0" applyFont="1" applyFill="1" applyBorder="1" applyAlignment="1" applyProtection="1">
      <alignment horizontal="right" vertical="center"/>
      <protection hidden="1"/>
    </xf>
    <xf numFmtId="168" fontId="266" fillId="89" borderId="382" xfId="0" applyNumberFormat="1" applyFont="1" applyFill="1" applyBorder="1" applyAlignment="1" applyProtection="1">
      <alignment horizontal="left" vertical="center"/>
      <protection locked="0"/>
    </xf>
    <xf numFmtId="0" fontId="191" fillId="0" borderId="0" xfId="0" applyFont="1" applyBorder="1" applyAlignment="1" applyProtection="1">
      <alignment horizontal="left" vertical="center" indent="1"/>
      <protection hidden="1"/>
    </xf>
    <xf numFmtId="0" fontId="191" fillId="0" borderId="0" xfId="0" applyFont="1" applyBorder="1" applyAlignment="1" applyProtection="1">
      <alignment horizontal="center"/>
      <protection hidden="1"/>
    </xf>
    <xf numFmtId="0" fontId="191" fillId="0" borderId="0" xfId="0" applyFont="1" applyBorder="1" applyAlignment="1" applyProtection="1">
      <protection hidden="1"/>
    </xf>
    <xf numFmtId="0" fontId="186" fillId="0" borderId="0" xfId="0" applyFont="1" applyBorder="1" applyAlignment="1" applyProtection="1">
      <alignment horizontal="center" vertical="center" wrapText="1"/>
      <protection hidden="1"/>
    </xf>
    <xf numFmtId="0" fontId="186" fillId="0" borderId="0" xfId="0" applyFont="1" applyFill="1" applyBorder="1" applyAlignment="1" applyProtection="1">
      <alignment horizontal="center" vertical="center" wrapText="1"/>
      <protection hidden="1"/>
    </xf>
    <xf numFmtId="194" fontId="186" fillId="0" borderId="0" xfId="0" applyNumberFormat="1" applyFont="1" applyBorder="1" applyAlignment="1" applyProtection="1">
      <alignment horizontal="center" vertical="center"/>
      <protection hidden="1"/>
    </xf>
    <xf numFmtId="194" fontId="186" fillId="0" borderId="0" xfId="0" applyNumberFormat="1" applyFont="1" applyFill="1" applyBorder="1" applyAlignment="1" applyProtection="1">
      <alignment horizontal="center" vertical="center"/>
      <protection hidden="1"/>
    </xf>
    <xf numFmtId="0" fontId="455" fillId="46" borderId="316" xfId="0" applyFont="1" applyFill="1" applyBorder="1" applyAlignment="1" applyProtection="1">
      <alignment vertical="center"/>
      <protection hidden="1"/>
    </xf>
    <xf numFmtId="166" fontId="279" fillId="46" borderId="258" xfId="0" applyNumberFormat="1" applyFont="1" applyFill="1" applyBorder="1" applyAlignment="1" applyProtection="1">
      <alignment vertical="center"/>
      <protection hidden="1"/>
    </xf>
    <xf numFmtId="168" fontId="456" fillId="0" borderId="384" xfId="0" applyNumberFormat="1" applyFont="1" applyFill="1" applyBorder="1" applyAlignment="1" applyProtection="1">
      <alignment horizontal="center" vertical="center"/>
      <protection hidden="1"/>
    </xf>
    <xf numFmtId="0" fontId="185" fillId="90" borderId="387" xfId="19" applyNumberFormat="1" applyFont="1" applyFill="1" applyBorder="1" applyAlignment="1" applyProtection="1">
      <alignment horizontal="center"/>
      <protection hidden="1"/>
    </xf>
    <xf numFmtId="0" fontId="185" fillId="90" borderId="85" xfId="19" applyNumberFormat="1" applyFont="1" applyFill="1" applyBorder="1" applyAlignment="1" applyProtection="1">
      <alignment horizontal="center"/>
      <protection hidden="1"/>
    </xf>
    <xf numFmtId="0" fontId="185" fillId="90" borderId="373" xfId="19" applyNumberFormat="1" applyFont="1" applyFill="1" applyBorder="1" applyAlignment="1" applyProtection="1">
      <alignment horizontal="center"/>
      <protection hidden="1"/>
    </xf>
    <xf numFmtId="174" fontId="201" fillId="90" borderId="388" xfId="19" applyNumberFormat="1" applyFont="1" applyFill="1" applyBorder="1" applyAlignment="1" applyProtection="1">
      <alignment horizontal="center" vertical="top"/>
      <protection hidden="1"/>
    </xf>
    <xf numFmtId="174" fontId="201" fillId="90" borderId="355" xfId="19" applyNumberFormat="1" applyFont="1" applyFill="1" applyBorder="1" applyAlignment="1" applyProtection="1">
      <alignment horizontal="center" vertical="top"/>
      <protection hidden="1"/>
    </xf>
    <xf numFmtId="174" fontId="201" fillId="90" borderId="372" xfId="19" applyNumberFormat="1" applyFont="1" applyFill="1" applyBorder="1" applyAlignment="1" applyProtection="1">
      <alignment horizontal="center" vertical="top"/>
      <protection hidden="1"/>
    </xf>
    <xf numFmtId="0" fontId="455" fillId="90" borderId="389" xfId="0" applyFont="1" applyFill="1" applyBorder="1" applyAlignment="1" applyProtection="1">
      <alignment vertical="center"/>
      <protection hidden="1"/>
    </xf>
    <xf numFmtId="0" fontId="455" fillId="90" borderId="247" xfId="0" applyFont="1" applyFill="1" applyBorder="1" applyAlignment="1" applyProtection="1">
      <alignment vertical="center"/>
      <protection hidden="1"/>
    </xf>
    <xf numFmtId="0" fontId="455" fillId="90" borderId="248" xfId="0" applyFont="1" applyFill="1" applyBorder="1" applyAlignment="1" applyProtection="1">
      <alignment vertical="center"/>
      <protection hidden="1"/>
    </xf>
    <xf numFmtId="0" fontId="279" fillId="0" borderId="70" xfId="0" applyFont="1" applyBorder="1" applyAlignment="1" applyProtection="1">
      <alignment vertical="center"/>
      <protection hidden="1"/>
    </xf>
    <xf numFmtId="166" fontId="455" fillId="0" borderId="70" xfId="0" applyNumberFormat="1" applyFont="1" applyBorder="1" applyAlignment="1" applyProtection="1">
      <alignment vertical="center"/>
      <protection hidden="1"/>
    </xf>
    <xf numFmtId="10" fontId="322" fillId="40" borderId="70" xfId="0" applyNumberFormat="1" applyFont="1" applyFill="1" applyBorder="1" applyAlignment="1" applyProtection="1">
      <alignment horizontal="center" vertical="center"/>
      <protection hidden="1"/>
    </xf>
    <xf numFmtId="0" fontId="191" fillId="90" borderId="222" xfId="0" applyFont="1" applyFill="1" applyBorder="1" applyAlignment="1" applyProtection="1">
      <alignment horizontal="center"/>
      <protection hidden="1"/>
    </xf>
    <xf numFmtId="0" fontId="191" fillId="90" borderId="223" xfId="0" applyFont="1" applyFill="1" applyBorder="1" applyAlignment="1" applyProtection="1">
      <alignment horizontal="center"/>
      <protection hidden="1"/>
    </xf>
    <xf numFmtId="223" fontId="191" fillId="90" borderId="247" xfId="0" applyNumberFormat="1" applyFont="1" applyFill="1" applyBorder="1" applyAlignment="1" applyProtection="1">
      <alignment horizontal="center" vertical="top"/>
      <protection hidden="1"/>
    </xf>
    <xf numFmtId="170" fontId="191" fillId="90" borderId="247" xfId="0" applyNumberFormat="1" applyFont="1" applyFill="1" applyBorder="1" applyAlignment="1" applyProtection="1">
      <alignment horizontal="center" vertical="top"/>
      <protection hidden="1"/>
    </xf>
    <xf numFmtId="170" fontId="191" fillId="90" borderId="248" xfId="0" applyNumberFormat="1" applyFont="1" applyFill="1" applyBorder="1" applyAlignment="1" applyProtection="1">
      <alignment horizontal="center" vertical="top"/>
      <protection hidden="1"/>
    </xf>
    <xf numFmtId="0" fontId="279" fillId="0" borderId="363" xfId="0" applyFont="1" applyBorder="1" applyAlignment="1" applyProtection="1">
      <alignment vertical="center" wrapText="1"/>
      <protection hidden="1"/>
    </xf>
    <xf numFmtId="166" fontId="455" fillId="0" borderId="363" xfId="0" applyNumberFormat="1" applyFont="1" applyBorder="1" applyAlignment="1" applyProtection="1">
      <alignment vertical="center"/>
      <protection hidden="1"/>
    </xf>
    <xf numFmtId="0" fontId="279" fillId="46" borderId="184" xfId="0" applyFont="1" applyFill="1" applyBorder="1" applyAlignment="1" applyProtection="1">
      <alignment vertical="center" wrapText="1"/>
      <protection hidden="1"/>
    </xf>
    <xf numFmtId="166" fontId="455" fillId="46" borderId="184" xfId="0" applyNumberFormat="1" applyFont="1" applyFill="1" applyBorder="1" applyAlignment="1" applyProtection="1">
      <alignment vertical="center"/>
      <protection hidden="1"/>
    </xf>
    <xf numFmtId="0" fontId="283" fillId="0" borderId="0" xfId="0" applyFont="1" applyBorder="1" applyAlignment="1" applyProtection="1">
      <alignment vertical="center"/>
      <protection hidden="1"/>
    </xf>
    <xf numFmtId="0" fontId="279" fillId="46" borderId="391" xfId="0" applyFont="1" applyFill="1" applyBorder="1" applyAlignment="1" applyProtection="1">
      <alignment vertical="center" wrapText="1"/>
      <protection hidden="1"/>
    </xf>
    <xf numFmtId="166" fontId="455" fillId="46" borderId="391" xfId="0" applyNumberFormat="1" applyFont="1" applyFill="1" applyBorder="1" applyAlignment="1" applyProtection="1">
      <alignment vertical="center"/>
      <protection hidden="1"/>
    </xf>
    <xf numFmtId="166" fontId="455" fillId="46" borderId="136" xfId="0" applyNumberFormat="1" applyFont="1" applyFill="1" applyBorder="1" applyAlignment="1" applyProtection="1">
      <alignment horizontal="right" vertical="center" indent="1"/>
      <protection hidden="1"/>
    </xf>
    <xf numFmtId="168" fontId="281" fillId="46" borderId="135" xfId="0" applyNumberFormat="1" applyFont="1" applyFill="1" applyBorder="1" applyAlignment="1" applyProtection="1">
      <alignment horizontal="left" vertical="center"/>
      <protection hidden="1"/>
    </xf>
    <xf numFmtId="168" fontId="456" fillId="0" borderId="353" xfId="0" applyNumberFormat="1" applyFont="1" applyFill="1" applyBorder="1" applyAlignment="1" applyProtection="1">
      <alignment horizontal="center" vertical="center"/>
      <protection locked="0"/>
    </xf>
    <xf numFmtId="168" fontId="456" fillId="0" borderId="316" xfId="0" applyNumberFormat="1" applyFont="1" applyFill="1" applyBorder="1" applyAlignment="1" applyProtection="1">
      <alignment horizontal="center" vertical="center"/>
      <protection locked="0"/>
    </xf>
    <xf numFmtId="166" fontId="16" fillId="0" borderId="353" xfId="0" applyNumberFormat="1" applyFont="1" applyFill="1" applyBorder="1" applyAlignment="1" applyProtection="1">
      <alignment horizontal="right" vertical="center"/>
      <protection hidden="1"/>
    </xf>
    <xf numFmtId="166" fontId="16" fillId="0" borderId="225" xfId="0" applyNumberFormat="1" applyFont="1" applyFill="1" applyBorder="1" applyAlignment="1" applyProtection="1">
      <alignment horizontal="right" vertical="center"/>
      <protection hidden="1"/>
    </xf>
    <xf numFmtId="166" fontId="16" fillId="0" borderId="363" xfId="0" applyNumberFormat="1" applyFont="1" applyFill="1" applyBorder="1" applyAlignment="1" applyProtection="1">
      <alignment horizontal="right" vertical="center"/>
      <protection hidden="1"/>
    </xf>
    <xf numFmtId="0" fontId="0" fillId="0" borderId="0" xfId="0" applyBorder="1" applyAlignment="1"/>
    <xf numFmtId="0" fontId="18" fillId="0" borderId="0" xfId="0" applyFont="1" applyFill="1" applyBorder="1" applyAlignment="1" applyProtection="1">
      <alignment vertical="center" wrapText="1"/>
      <protection hidden="1"/>
    </xf>
    <xf numFmtId="189" fontId="18" fillId="0" borderId="0" xfId="0" applyNumberFormat="1" applyFont="1" applyFill="1" applyBorder="1" applyAlignment="1" applyProtection="1">
      <alignment vertical="center"/>
      <protection locked="0"/>
    </xf>
    <xf numFmtId="0" fontId="468" fillId="0" borderId="0" xfId="0" applyFont="1" applyBorder="1" applyProtection="1">
      <alignment horizontal="right"/>
      <protection locked="0"/>
    </xf>
    <xf numFmtId="0" fontId="469" fillId="0" borderId="0" xfId="0" applyFont="1" applyBorder="1" applyProtection="1">
      <alignment horizontal="right"/>
      <protection locked="0"/>
    </xf>
    <xf numFmtId="0" fontId="236" fillId="0" borderId="0" xfId="0" applyFont="1" applyBorder="1" applyProtection="1">
      <alignment horizontal="right"/>
      <protection locked="0"/>
    </xf>
    <xf numFmtId="0" fontId="470" fillId="0" borderId="0" xfId="0" applyFont="1" applyBorder="1" applyProtection="1">
      <alignment horizontal="right"/>
      <protection locked="0"/>
    </xf>
    <xf numFmtId="0" fontId="471" fillId="0" borderId="0" xfId="0" applyFont="1" applyBorder="1" applyProtection="1">
      <alignment horizontal="right"/>
      <protection locked="0"/>
    </xf>
    <xf numFmtId="0" fontId="472" fillId="0" borderId="0" xfId="0" applyFont="1" applyBorder="1" applyProtection="1">
      <alignment horizontal="right"/>
      <protection locked="0"/>
    </xf>
    <xf numFmtId="0" fontId="267" fillId="0" borderId="0" xfId="0" applyFont="1" applyBorder="1" applyProtection="1">
      <alignment horizontal="right"/>
      <protection locked="0"/>
    </xf>
    <xf numFmtId="0" fontId="268" fillId="0" borderId="0" xfId="0" applyFont="1" applyFill="1" applyBorder="1" applyProtection="1">
      <alignment horizontal="right"/>
      <protection locked="0"/>
    </xf>
    <xf numFmtId="0" fontId="355" fillId="0" borderId="0" xfId="0" applyFont="1" applyFill="1" applyBorder="1" applyProtection="1">
      <alignment horizontal="right"/>
      <protection locked="0"/>
    </xf>
    <xf numFmtId="0" fontId="191" fillId="0" borderId="0" xfId="0" applyFont="1" applyFill="1" applyBorder="1" applyProtection="1">
      <alignment horizontal="right"/>
      <protection locked="0"/>
    </xf>
    <xf numFmtId="0" fontId="181" fillId="0" borderId="0" xfId="0" applyFont="1" applyFill="1" applyBorder="1" applyProtection="1">
      <alignment horizontal="right"/>
      <protection locked="0"/>
    </xf>
    <xf numFmtId="0" fontId="211" fillId="0" borderId="0" xfId="0" applyFont="1" applyFill="1" applyBorder="1" applyProtection="1">
      <alignment horizontal="right"/>
      <protection locked="0"/>
    </xf>
    <xf numFmtId="0" fontId="236" fillId="0" borderId="0" xfId="0" applyFont="1" applyBorder="1" applyAlignment="1">
      <alignment vertical="center" wrapText="1"/>
    </xf>
    <xf numFmtId="0" fontId="191" fillId="0" borderId="0" xfId="0" applyFont="1" applyBorder="1" applyAlignment="1">
      <alignment vertical="center" wrapText="1"/>
    </xf>
    <xf numFmtId="0" fontId="236" fillId="0" borderId="0" xfId="0" applyFont="1" applyFill="1" applyBorder="1" applyProtection="1">
      <alignment horizontal="right"/>
      <protection locked="0"/>
    </xf>
    <xf numFmtId="0" fontId="474" fillId="0" borderId="0" xfId="0" applyFont="1" applyFill="1" applyBorder="1" applyProtection="1">
      <alignment horizontal="right"/>
      <protection locked="0"/>
    </xf>
    <xf numFmtId="0" fontId="343" fillId="0" borderId="0" xfId="0" applyFont="1" applyFill="1" applyBorder="1" applyProtection="1">
      <alignment horizontal="right"/>
      <protection locked="0"/>
    </xf>
    <xf numFmtId="0" fontId="236" fillId="0" borderId="0" xfId="0" applyFont="1" applyFill="1" applyBorder="1" applyAlignment="1" applyProtection="1">
      <alignment horizontal="left"/>
      <protection locked="0"/>
    </xf>
    <xf numFmtId="0" fontId="191" fillId="0" borderId="0" xfId="0" applyFont="1" applyFill="1" applyBorder="1" applyAlignment="1" applyProtection="1">
      <alignment horizontal="left"/>
      <protection locked="0"/>
    </xf>
    <xf numFmtId="0" fontId="236" fillId="0" borderId="0" xfId="0" applyFont="1" applyBorder="1" applyAlignment="1" applyProtection="1">
      <alignment horizontal="left"/>
      <protection locked="0"/>
    </xf>
    <xf numFmtId="0" fontId="475" fillId="0" borderId="0" xfId="0" applyFont="1" applyBorder="1" applyProtection="1">
      <alignment horizontal="right"/>
      <protection locked="0"/>
    </xf>
    <xf numFmtId="0" fontId="330" fillId="0" borderId="0" xfId="0" applyFont="1" applyBorder="1" applyProtection="1">
      <alignment horizontal="right"/>
      <protection locked="0"/>
    </xf>
    <xf numFmtId="0" fontId="475" fillId="0" borderId="0" xfId="0" applyFont="1" applyFill="1" applyBorder="1" applyProtection="1">
      <alignment horizontal="right"/>
      <protection locked="0"/>
    </xf>
    <xf numFmtId="175" fontId="476" fillId="0" borderId="0" xfId="0" applyNumberFormat="1" applyFont="1" applyFill="1" applyBorder="1" applyAlignment="1" applyProtection="1">
      <alignment horizontal="left" vertical="center"/>
      <protection hidden="1"/>
    </xf>
    <xf numFmtId="165" fontId="28" fillId="0" borderId="0" xfId="0" applyNumberFormat="1" applyFont="1" applyFill="1" applyBorder="1" applyAlignment="1" applyProtection="1">
      <alignment horizontal="center" vertical="center"/>
      <protection locked="0"/>
    </xf>
    <xf numFmtId="168" fontId="477" fillId="0"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hidden="1"/>
    </xf>
    <xf numFmtId="0" fontId="430" fillId="0" borderId="0" xfId="0" applyFont="1" applyFill="1" applyBorder="1" applyAlignment="1" applyProtection="1">
      <alignment horizontal="left" vertical="center" wrapText="1" indent="1"/>
      <protection hidden="1"/>
    </xf>
    <xf numFmtId="0" fontId="270" fillId="0" borderId="0" xfId="0" applyFont="1" applyBorder="1" applyProtection="1">
      <alignment horizontal="right"/>
      <protection locked="0"/>
    </xf>
    <xf numFmtId="0" fontId="16" fillId="0" borderId="0" xfId="0" applyFont="1" applyBorder="1" applyAlignment="1" applyProtection="1">
      <protection locked="0"/>
    </xf>
    <xf numFmtId="0" fontId="191" fillId="90" borderId="222" xfId="0" applyFont="1" applyFill="1" applyBorder="1" applyAlignment="1" applyProtection="1">
      <alignment horizontal="center"/>
      <protection hidden="1"/>
    </xf>
    <xf numFmtId="166" fontId="455" fillId="46" borderId="137" xfId="0" applyNumberFormat="1" applyFont="1" applyFill="1" applyBorder="1" applyAlignment="1" applyProtection="1">
      <alignment horizontal="right" vertical="center" indent="1"/>
      <protection hidden="1"/>
    </xf>
    <xf numFmtId="0" fontId="188" fillId="0" borderId="0" xfId="0" applyFont="1" applyBorder="1" applyAlignment="1" applyProtection="1">
      <alignment horizontal="right" vertical="center"/>
      <protection locked="0"/>
    </xf>
    <xf numFmtId="0" fontId="16" fillId="0" borderId="203" xfId="0" applyFont="1" applyBorder="1" applyAlignment="1" applyProtection="1">
      <alignment horizontal="right" vertical="center"/>
      <protection locked="0"/>
    </xf>
    <xf numFmtId="171" fontId="185" fillId="61" borderId="86" xfId="0" applyNumberFormat="1" applyFont="1" applyFill="1" applyBorder="1" applyAlignment="1">
      <alignment horizontal="center" vertical="top" wrapText="1"/>
    </xf>
    <xf numFmtId="166" fontId="181" fillId="0" borderId="0" xfId="0" applyNumberFormat="1" applyFont="1" applyFill="1" applyBorder="1" applyAlignment="1" applyProtection="1">
      <alignment horizontal="center" vertical="center"/>
      <protection hidden="1"/>
    </xf>
    <xf numFmtId="166" fontId="183" fillId="0" borderId="0" xfId="0" applyNumberFormat="1" applyFont="1" applyFill="1" applyBorder="1" applyAlignment="1" applyProtection="1">
      <alignment horizontal="right" vertical="center"/>
      <protection hidden="1"/>
    </xf>
    <xf numFmtId="166" fontId="185" fillId="0" borderId="0" xfId="0" applyNumberFormat="1" applyFont="1" applyFill="1" applyBorder="1" applyAlignment="1" applyProtection="1">
      <alignment vertical="center"/>
      <protection hidden="1"/>
    </xf>
    <xf numFmtId="166" fontId="185" fillId="0" borderId="0" xfId="0" applyNumberFormat="1" applyFont="1" applyFill="1" applyBorder="1" applyAlignment="1" applyProtection="1">
      <alignment horizontal="right" vertical="center"/>
      <protection hidden="1"/>
    </xf>
    <xf numFmtId="166" fontId="235" fillId="0" borderId="136" xfId="0" applyNumberFormat="1" applyFont="1" applyFill="1" applyBorder="1" applyAlignment="1" applyProtection="1">
      <alignment vertical="center"/>
      <protection hidden="1"/>
    </xf>
    <xf numFmtId="9" fontId="235" fillId="0" borderId="395" xfId="0" applyNumberFormat="1" applyFont="1" applyFill="1" applyBorder="1" applyAlignment="1" applyProtection="1">
      <alignment horizontal="center" vertical="center"/>
      <protection hidden="1"/>
    </xf>
    <xf numFmtId="0" fontId="183" fillId="0" borderId="230" xfId="0" applyFont="1" applyFill="1" applyBorder="1" applyAlignment="1" applyProtection="1">
      <alignment horizontal="center" vertical="center"/>
      <protection locked="0"/>
    </xf>
    <xf numFmtId="4" fontId="338" fillId="0" borderId="0" xfId="0" applyNumberFormat="1" applyFont="1" applyFill="1" applyBorder="1" applyAlignment="1" applyProtection="1">
      <alignment horizontal="left" vertical="center"/>
      <protection hidden="1"/>
    </xf>
    <xf numFmtId="0" fontId="4" fillId="0" borderId="203" xfId="0" applyFont="1" applyBorder="1" applyProtection="1">
      <alignment horizontal="right"/>
      <protection locked="0"/>
    </xf>
    <xf numFmtId="0" fontId="292" fillId="0" borderId="203" xfId="0" applyFont="1" applyBorder="1" applyAlignment="1" applyProtection="1">
      <alignment horizontal="left" vertical="center" indent="1"/>
      <protection locked="0"/>
    </xf>
    <xf numFmtId="0" fontId="16" fillId="0" borderId="203" xfId="0" applyFont="1" applyBorder="1" applyAlignment="1" applyProtection="1">
      <alignment horizontal="left" indent="1"/>
      <protection locked="0"/>
    </xf>
    <xf numFmtId="0" fontId="16" fillId="0" borderId="203" xfId="0" applyFont="1" applyBorder="1" applyProtection="1">
      <alignment horizontal="right"/>
      <protection locked="0"/>
    </xf>
    <xf numFmtId="0" fontId="188" fillId="0" borderId="203" xfId="0" applyFont="1" applyBorder="1" applyProtection="1">
      <alignment horizontal="right"/>
      <protection locked="0"/>
    </xf>
    <xf numFmtId="3" fontId="16" fillId="0" borderId="203" xfId="0" applyNumberFormat="1" applyFont="1" applyBorder="1" applyAlignment="1" applyProtection="1">
      <alignment horizontal="right" vertical="center"/>
      <protection locked="0"/>
    </xf>
    <xf numFmtId="233" fontId="281" fillId="46" borderId="402" xfId="0" applyNumberFormat="1" applyFont="1" applyFill="1" applyBorder="1" applyAlignment="1" applyProtection="1">
      <alignment horizontal="left" vertical="center" indent="2"/>
      <protection locked="0"/>
    </xf>
    <xf numFmtId="0" fontId="226" fillId="0" borderId="0" xfId="0" applyFont="1" applyBorder="1" applyAlignment="1" applyProtection="1">
      <alignment vertical="center"/>
      <protection locked="0"/>
    </xf>
    <xf numFmtId="166" fontId="16" fillId="47" borderId="362" xfId="0" applyNumberFormat="1" applyFont="1" applyFill="1" applyBorder="1" applyAlignment="1" applyProtection="1">
      <alignment horizontal="right" vertical="center"/>
      <protection locked="0"/>
    </xf>
    <xf numFmtId="166" fontId="16" fillId="47" borderId="371" xfId="0" applyNumberFormat="1" applyFont="1" applyFill="1" applyBorder="1" applyAlignment="1" applyProtection="1">
      <alignment horizontal="right" vertical="center"/>
      <protection locked="0"/>
    </xf>
    <xf numFmtId="166" fontId="16" fillId="47" borderId="392" xfId="0" applyNumberFormat="1" applyFont="1" applyFill="1" applyBorder="1" applyAlignment="1" applyProtection="1">
      <alignment horizontal="right" vertical="center"/>
      <protection locked="0"/>
    </xf>
    <xf numFmtId="0" fontId="478" fillId="0" borderId="0" xfId="0" applyFont="1" applyBorder="1" applyAlignment="1" applyProtection="1">
      <alignment vertical="center"/>
      <protection hidden="1"/>
    </xf>
    <xf numFmtId="0" fontId="455" fillId="0" borderId="0" xfId="0" applyFont="1" applyBorder="1" applyAlignment="1" applyProtection="1">
      <alignment horizontal="center" vertical="center"/>
      <protection hidden="1"/>
    </xf>
    <xf numFmtId="0" fontId="455" fillId="0" borderId="0" xfId="0" applyFont="1" applyBorder="1" applyAlignment="1" applyProtection="1">
      <alignment horizontal="center" vertical="top"/>
      <protection hidden="1"/>
    </xf>
    <xf numFmtId="0" fontId="465" fillId="0" borderId="0" xfId="0" applyFont="1" applyFill="1" applyBorder="1" applyAlignment="1" applyProtection="1">
      <alignment horizontal="center" vertical="center"/>
      <protection hidden="1"/>
    </xf>
    <xf numFmtId="0" fontId="188" fillId="0" borderId="0" xfId="0" applyFont="1" applyBorder="1" applyAlignment="1" applyProtection="1">
      <alignment horizontal="center"/>
      <protection hidden="1"/>
    </xf>
    <xf numFmtId="166" fontId="455" fillId="0" borderId="365" xfId="0" applyNumberFormat="1" applyFont="1" applyBorder="1" applyAlignment="1" applyProtection="1">
      <alignment horizontal="center" vertical="center"/>
      <protection hidden="1"/>
    </xf>
    <xf numFmtId="0" fontId="346" fillId="0" borderId="0" xfId="0" applyFont="1" applyBorder="1" applyAlignment="1" applyProtection="1">
      <alignment horizontal="center" vertical="center"/>
      <protection hidden="1"/>
    </xf>
    <xf numFmtId="0" fontId="478" fillId="0" borderId="0" xfId="0" applyFont="1" applyBorder="1" applyAlignment="1" applyProtection="1">
      <alignment horizontal="right" vertical="center" indent="1"/>
      <protection hidden="1"/>
    </xf>
    <xf numFmtId="0" fontId="479" fillId="0" borderId="0" xfId="0" applyFont="1" applyBorder="1" applyAlignment="1" applyProtection="1">
      <alignment horizontal="right" vertical="center" indent="1"/>
      <protection hidden="1"/>
    </xf>
    <xf numFmtId="220" fontId="463" fillId="46" borderId="66" xfId="0" applyNumberFormat="1" applyFont="1" applyFill="1" applyBorder="1" applyAlignment="1" applyProtection="1">
      <alignment horizontal="center" vertical="center"/>
      <protection locked="0"/>
    </xf>
    <xf numFmtId="166" fontId="16" fillId="47" borderId="351" xfId="0" applyNumberFormat="1" applyFont="1" applyFill="1" applyBorder="1" applyAlignment="1" applyProtection="1">
      <alignment horizontal="right" vertical="center"/>
      <protection locked="0"/>
    </xf>
    <xf numFmtId="166" fontId="16" fillId="47" borderId="366" xfId="0" applyNumberFormat="1" applyFont="1" applyFill="1" applyBorder="1" applyAlignment="1" applyProtection="1">
      <alignment horizontal="right" vertical="center"/>
      <protection locked="0"/>
    </xf>
    <xf numFmtId="168" fontId="281" fillId="0" borderId="351" xfId="0" applyNumberFormat="1" applyFont="1" applyBorder="1" applyAlignment="1" applyProtection="1">
      <alignment horizontal="center" vertical="center"/>
      <protection locked="0"/>
    </xf>
    <xf numFmtId="168" fontId="281" fillId="0" borderId="353" xfId="0" applyNumberFormat="1" applyFont="1" applyBorder="1" applyAlignment="1" applyProtection="1">
      <alignment horizontal="center" vertical="center"/>
      <protection locked="0"/>
    </xf>
    <xf numFmtId="166" fontId="246" fillId="0" borderId="66" xfId="0" applyNumberFormat="1" applyFont="1" applyFill="1" applyBorder="1" applyAlignment="1" applyProtection="1">
      <alignment vertical="center"/>
      <protection hidden="1"/>
    </xf>
    <xf numFmtId="166" fontId="246" fillId="0" borderId="67" xfId="0" applyNumberFormat="1" applyFont="1" applyFill="1" applyBorder="1" applyAlignment="1" applyProtection="1">
      <alignment vertical="center"/>
      <protection hidden="1"/>
    </xf>
    <xf numFmtId="234" fontId="204" fillId="0" borderId="401" xfId="0" applyNumberFormat="1" applyFont="1" applyBorder="1" applyAlignment="1" applyProtection="1">
      <alignment horizontal="left" vertical="center" wrapText="1" indent="2"/>
      <protection hidden="1"/>
    </xf>
    <xf numFmtId="166" fontId="16" fillId="0" borderId="256" xfId="0" applyNumberFormat="1" applyFont="1" applyBorder="1" applyAlignment="1" applyProtection="1">
      <alignment horizontal="right" vertical="center"/>
      <protection hidden="1"/>
    </xf>
    <xf numFmtId="166" fontId="16" fillId="0" borderId="293" xfId="0" applyNumberFormat="1" applyFont="1" applyBorder="1" applyAlignment="1" applyProtection="1">
      <alignment horizontal="right" vertical="center"/>
      <protection hidden="1"/>
    </xf>
    <xf numFmtId="166" fontId="16" fillId="46" borderId="399" xfId="0" applyNumberFormat="1" applyFont="1" applyFill="1" applyBorder="1" applyAlignment="1" applyProtection="1">
      <alignment horizontal="right" vertical="center"/>
      <protection hidden="1"/>
    </xf>
    <xf numFmtId="166" fontId="16" fillId="0" borderId="323" xfId="0" applyNumberFormat="1" applyFont="1" applyBorder="1" applyAlignment="1" applyProtection="1">
      <alignment horizontal="right" vertical="center"/>
      <protection hidden="1"/>
    </xf>
    <xf numFmtId="166" fontId="16" fillId="46" borderId="400" xfId="0" applyNumberFormat="1" applyFont="1" applyFill="1" applyBorder="1" applyAlignment="1" applyProtection="1">
      <alignment horizontal="right" vertical="center"/>
      <protection hidden="1"/>
    </xf>
    <xf numFmtId="230" fontId="281" fillId="0" borderId="66" xfId="0" applyNumberFormat="1" applyFont="1" applyBorder="1" applyAlignment="1" applyProtection="1">
      <alignment horizontal="center" vertical="center"/>
      <protection hidden="1"/>
    </xf>
    <xf numFmtId="168" fontId="281" fillId="0" borderId="362" xfId="0" applyNumberFormat="1" applyFont="1" applyBorder="1" applyAlignment="1" applyProtection="1">
      <alignment horizontal="center" vertical="center"/>
      <protection hidden="1"/>
    </xf>
    <xf numFmtId="3" fontId="307" fillId="0" borderId="68" xfId="0" applyNumberFormat="1" applyFont="1" applyBorder="1" applyAlignment="1" applyProtection="1">
      <alignment horizontal="center" vertical="center"/>
      <protection hidden="1"/>
    </xf>
    <xf numFmtId="3" fontId="292" fillId="0" borderId="394" xfId="0" applyNumberFormat="1" applyFont="1" applyBorder="1" applyAlignment="1" applyProtection="1">
      <alignment horizontal="center" vertical="center"/>
      <protection hidden="1"/>
    </xf>
    <xf numFmtId="231" fontId="281" fillId="0" borderId="67" xfId="0" applyNumberFormat="1" applyFont="1" applyBorder="1" applyAlignment="1" applyProtection="1">
      <alignment horizontal="center" vertical="center"/>
      <protection hidden="1"/>
    </xf>
    <xf numFmtId="232" fontId="292" fillId="0" borderId="392" xfId="0" applyNumberFormat="1" applyFont="1" applyBorder="1" applyAlignment="1" applyProtection="1">
      <alignment horizontal="center" vertical="center"/>
      <protection hidden="1"/>
    </xf>
    <xf numFmtId="0" fontId="346" fillId="31" borderId="0" xfId="0" applyFont="1" applyFill="1" applyBorder="1" applyAlignment="1" applyProtection="1">
      <alignment vertical="center"/>
      <protection hidden="1"/>
    </xf>
    <xf numFmtId="3" fontId="346" fillId="0" borderId="0" xfId="0" applyNumberFormat="1" applyFont="1" applyBorder="1" applyAlignment="1" applyProtection="1">
      <alignment horizontal="right" vertical="center"/>
      <protection hidden="1"/>
    </xf>
    <xf numFmtId="0" fontId="346" fillId="0" borderId="0" xfId="0" applyFont="1" applyFill="1" applyBorder="1" applyAlignment="1" applyProtection="1">
      <alignment vertical="center"/>
      <protection hidden="1"/>
    </xf>
    <xf numFmtId="0" fontId="346" fillId="0" borderId="0" xfId="0" applyFont="1" applyBorder="1" applyAlignment="1" applyProtection="1">
      <alignment vertical="center"/>
      <protection hidden="1"/>
    </xf>
    <xf numFmtId="171" fontId="257" fillId="61" borderId="85" xfId="32" applyNumberFormat="1" applyFont="1" applyFill="1" applyBorder="1" applyAlignment="1" applyProtection="1">
      <alignment horizontal="center" wrapText="1"/>
      <protection locked="0"/>
    </xf>
    <xf numFmtId="171" fontId="480" fillId="61" borderId="355" xfId="32" applyNumberFormat="1" applyFont="1" applyFill="1" applyBorder="1" applyAlignment="1" applyProtection="1">
      <alignment horizontal="center" vertical="top" wrapText="1"/>
      <protection locked="0"/>
    </xf>
    <xf numFmtId="0" fontId="0" fillId="0" borderId="0" xfId="0" applyBorder="1" applyAlignment="1">
      <alignment horizontal="right"/>
    </xf>
    <xf numFmtId="166" fontId="135" fillId="0" borderId="409" xfId="0" applyNumberFormat="1" applyFont="1" applyBorder="1" applyAlignment="1" applyProtection="1">
      <alignment vertical="center"/>
      <protection locked="0"/>
    </xf>
    <xf numFmtId="166" fontId="135" fillId="0" borderId="410" xfId="0" applyNumberFormat="1" applyFont="1" applyBorder="1" applyAlignment="1" applyProtection="1">
      <alignment vertical="center"/>
      <protection locked="0"/>
    </xf>
    <xf numFmtId="166" fontId="135" fillId="0" borderId="411" xfId="0" applyNumberFormat="1" applyFont="1" applyBorder="1" applyAlignment="1" applyProtection="1">
      <alignment vertical="center"/>
      <protection locked="0"/>
    </xf>
    <xf numFmtId="166" fontId="135" fillId="0" borderId="0" xfId="0" applyNumberFormat="1" applyFont="1" applyBorder="1" applyAlignment="1" applyProtection="1">
      <alignment horizontal="right" vertical="center"/>
      <protection locked="0"/>
    </xf>
    <xf numFmtId="166" fontId="135" fillId="0" borderId="161" xfId="0" applyNumberFormat="1" applyFont="1" applyBorder="1" applyAlignment="1" applyProtection="1">
      <alignment horizontal="right" vertical="center"/>
      <protection locked="0"/>
    </xf>
    <xf numFmtId="166" fontId="135" fillId="0" borderId="160" xfId="0" applyNumberFormat="1" applyFont="1" applyBorder="1" applyAlignment="1" applyProtection="1">
      <alignment horizontal="right" vertical="center"/>
      <protection locked="0"/>
    </xf>
    <xf numFmtId="177" fontId="350" fillId="0" borderId="156" xfId="0" applyNumberFormat="1" applyFont="1" applyBorder="1" applyAlignment="1" applyProtection="1">
      <alignment horizontal="right" vertical="center"/>
      <protection locked="0"/>
    </xf>
    <xf numFmtId="177" fontId="350" fillId="0" borderId="413" xfId="16" applyNumberFormat="1" applyFont="1" applyFill="1" applyBorder="1" applyAlignment="1" applyProtection="1">
      <alignment vertical="center"/>
      <protection locked="0"/>
    </xf>
    <xf numFmtId="179" fontId="131" fillId="0" borderId="242" xfId="0" applyNumberFormat="1" applyFont="1" applyFill="1" applyBorder="1" applyAlignment="1" applyProtection="1">
      <alignment horizontal="right" vertical="center"/>
      <protection locked="0"/>
    </xf>
    <xf numFmtId="0" fontId="484" fillId="0" borderId="0" xfId="0" applyFont="1" applyBorder="1" applyAlignment="1" applyProtection="1">
      <alignment horizontal="right" vertical="center"/>
      <protection locked="0"/>
    </xf>
    <xf numFmtId="177" fontId="360" fillId="46" borderId="70" xfId="0" applyNumberFormat="1" applyFont="1" applyFill="1" applyBorder="1" applyAlignment="1" applyProtection="1">
      <alignment horizontal="right" vertical="center"/>
      <protection hidden="1"/>
    </xf>
    <xf numFmtId="177" fontId="360" fillId="46" borderId="70" xfId="0" applyNumberFormat="1" applyFont="1" applyFill="1" applyBorder="1" applyAlignment="1" applyProtection="1">
      <alignment vertical="center"/>
      <protection hidden="1"/>
    </xf>
    <xf numFmtId="0" fontId="102" fillId="0" borderId="428" xfId="0" applyFont="1" applyBorder="1" applyAlignment="1" applyProtection="1">
      <alignment horizontal="left" vertical="center" indent="1"/>
      <protection hidden="1"/>
    </xf>
    <xf numFmtId="178" fontId="102" fillId="0" borderId="429" xfId="0" applyNumberFormat="1" applyFont="1" applyBorder="1" applyAlignment="1" applyProtection="1">
      <alignment horizontal="right" vertical="center"/>
      <protection locked="0" hidden="1"/>
    </xf>
    <xf numFmtId="0" fontId="102" fillId="0" borderId="430" xfId="0" applyFont="1" applyBorder="1" applyAlignment="1" applyProtection="1">
      <alignment horizontal="left" vertical="center" indent="1"/>
      <protection hidden="1"/>
    </xf>
    <xf numFmtId="178" fontId="102" fillId="0" borderId="431" xfId="0" applyNumberFormat="1" applyFont="1" applyBorder="1" applyAlignment="1" applyProtection="1">
      <alignment horizontal="right" vertical="center"/>
      <protection locked="0"/>
    </xf>
    <xf numFmtId="0" fontId="102" fillId="0" borderId="432" xfId="0" applyFont="1" applyBorder="1" applyAlignment="1" applyProtection="1">
      <alignment horizontal="left" vertical="center" indent="1"/>
      <protection hidden="1"/>
    </xf>
    <xf numFmtId="178" fontId="102" fillId="0" borderId="433" xfId="0" applyNumberFormat="1" applyFont="1" applyBorder="1" applyAlignment="1" applyProtection="1">
      <alignment horizontal="right" vertical="center"/>
      <protection locked="0"/>
    </xf>
    <xf numFmtId="166" fontId="184" fillId="59" borderId="136" xfId="0" applyNumberFormat="1" applyFont="1" applyFill="1" applyBorder="1" applyAlignment="1" applyProtection="1">
      <alignment horizontal="center" vertical="center"/>
      <protection hidden="1"/>
    </xf>
    <xf numFmtId="11" fontId="184" fillId="59" borderId="136" xfId="0" applyNumberFormat="1" applyFont="1" applyFill="1" applyBorder="1" applyAlignment="1" applyProtection="1">
      <alignment horizontal="center" vertical="center"/>
      <protection hidden="1"/>
    </xf>
    <xf numFmtId="168" fontId="184" fillId="59" borderId="395" xfId="0" applyNumberFormat="1" applyFont="1" applyFill="1" applyBorder="1" applyAlignment="1" applyProtection="1">
      <alignment horizontal="center" vertical="center"/>
      <protection hidden="1"/>
    </xf>
    <xf numFmtId="0" fontId="182"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right" indent="1"/>
      <protection locked="0"/>
    </xf>
    <xf numFmtId="0" fontId="60" fillId="0" borderId="0" xfId="0" applyFont="1" applyFill="1" applyBorder="1" applyAlignment="1" applyProtection="1">
      <alignment horizontal="right" indent="1"/>
      <protection locked="0"/>
    </xf>
    <xf numFmtId="0" fontId="42" fillId="0" borderId="0" xfId="0" applyFont="1" applyFill="1" applyBorder="1" applyAlignment="1" applyProtection="1">
      <alignment horizontal="right" indent="1"/>
      <protection locked="0"/>
    </xf>
    <xf numFmtId="0" fontId="30" fillId="0" borderId="0" xfId="0" applyFont="1" applyFill="1" applyBorder="1" applyAlignment="1" applyProtection="1">
      <alignment horizontal="right" vertical="center" indent="1"/>
      <protection locked="0"/>
    </xf>
    <xf numFmtId="0" fontId="16" fillId="0" borderId="224" xfId="0" applyFont="1" applyBorder="1" applyProtection="1">
      <alignment horizontal="right"/>
      <protection hidden="1"/>
    </xf>
    <xf numFmtId="0" fontId="16" fillId="0" borderId="293" xfId="0" applyFont="1" applyBorder="1" applyProtection="1">
      <alignment horizontal="right"/>
      <protection locked="0"/>
    </xf>
    <xf numFmtId="0" fontId="60" fillId="0" borderId="442" xfId="0" applyFont="1" applyBorder="1" applyAlignment="1" applyProtection="1">
      <alignment horizontal="left" vertical="center" indent="1"/>
      <protection hidden="1"/>
    </xf>
    <xf numFmtId="0" fontId="0" fillId="0" borderId="323" xfId="0" applyBorder="1" applyAlignment="1">
      <alignment horizontal="left" vertical="center" indent="1"/>
    </xf>
    <xf numFmtId="0" fontId="244" fillId="0" borderId="224" xfId="0" applyFont="1" applyBorder="1" applyAlignment="1" applyProtection="1">
      <alignment horizontal="right" vertical="center"/>
      <protection hidden="1"/>
    </xf>
    <xf numFmtId="0" fontId="191" fillId="0" borderId="293" xfId="0" applyFont="1" applyBorder="1" applyProtection="1">
      <alignment horizontal="right"/>
      <protection locked="0"/>
    </xf>
    <xf numFmtId="0" fontId="182" fillId="0" borderId="224" xfId="0" applyFont="1" applyBorder="1" applyAlignment="1" applyProtection="1">
      <alignment horizontal="left" vertical="center" indent="1"/>
      <protection hidden="1"/>
    </xf>
    <xf numFmtId="166" fontId="16" fillId="0" borderId="71" xfId="0" applyNumberFormat="1" applyFont="1" applyBorder="1" applyAlignment="1" applyProtection="1">
      <alignment horizontal="right" vertical="center"/>
      <protection locked="0"/>
    </xf>
    <xf numFmtId="166" fontId="16" fillId="0" borderId="235" xfId="0" applyNumberFormat="1" applyFont="1" applyBorder="1" applyAlignment="1" applyProtection="1">
      <alignment horizontal="right" vertical="center"/>
      <protection locked="0"/>
    </xf>
    <xf numFmtId="166" fontId="16" fillId="0" borderId="236" xfId="0" applyNumberFormat="1" applyFont="1" applyBorder="1" applyAlignment="1" applyProtection="1">
      <alignment horizontal="right" vertical="center"/>
      <protection locked="0"/>
    </xf>
    <xf numFmtId="166" fontId="20" fillId="59" borderId="136" xfId="0" applyNumberFormat="1" applyFont="1" applyFill="1" applyBorder="1" applyAlignment="1" applyProtection="1">
      <alignment vertical="center"/>
      <protection hidden="1"/>
    </xf>
    <xf numFmtId="166" fontId="16" fillId="0" borderId="224" xfId="0" applyNumberFormat="1" applyFont="1" applyBorder="1" applyAlignment="1" applyProtection="1">
      <alignment horizontal="right" vertical="center"/>
      <protection locked="0"/>
    </xf>
    <xf numFmtId="166" fontId="20" fillId="59" borderId="224" xfId="0" applyNumberFormat="1" applyFont="1" applyFill="1" applyBorder="1" applyAlignment="1" applyProtection="1">
      <alignment vertical="center"/>
      <protection hidden="1"/>
    </xf>
    <xf numFmtId="166" fontId="20" fillId="59" borderId="357" xfId="0" applyNumberFormat="1" applyFont="1" applyFill="1" applyBorder="1" applyAlignment="1" applyProtection="1">
      <alignment vertical="center"/>
      <protection hidden="1"/>
    </xf>
    <xf numFmtId="166" fontId="16" fillId="0" borderId="298" xfId="0" applyNumberFormat="1" applyFont="1" applyBorder="1" applyAlignment="1" applyProtection="1">
      <alignment horizontal="right" vertical="center"/>
      <protection locked="0"/>
    </xf>
    <xf numFmtId="166" fontId="57" fillId="0" borderId="237" xfId="0" applyNumberFormat="1" applyFont="1" applyBorder="1" applyAlignment="1" applyProtection="1">
      <alignment horizontal="right" vertical="center"/>
      <protection locked="0"/>
    </xf>
    <xf numFmtId="166" fontId="57" fillId="0" borderId="235" xfId="0" applyNumberFormat="1" applyFont="1" applyBorder="1" applyAlignment="1" applyProtection="1">
      <alignment horizontal="right" vertical="center"/>
      <protection locked="0"/>
    </xf>
    <xf numFmtId="166" fontId="111" fillId="0" borderId="224" xfId="0" applyNumberFormat="1" applyFont="1" applyFill="1" applyBorder="1" applyAlignment="1" applyProtection="1">
      <alignment horizontal="right" vertical="center"/>
      <protection locked="0"/>
    </xf>
    <xf numFmtId="166" fontId="182" fillId="0" borderId="224" xfId="0" applyNumberFormat="1" applyFont="1" applyBorder="1" applyAlignment="1" applyProtection="1">
      <alignment horizontal="right" vertical="center"/>
      <protection locked="0"/>
    </xf>
    <xf numFmtId="166" fontId="60" fillId="0" borderId="224" xfId="0" applyNumberFormat="1" applyFont="1" applyBorder="1" applyAlignment="1" applyProtection="1">
      <alignment horizontal="right" vertical="center"/>
      <protection hidden="1"/>
    </xf>
    <xf numFmtId="166" fontId="16" fillId="0" borderId="237" xfId="0" applyNumberFormat="1" applyFont="1" applyBorder="1" applyAlignment="1" applyProtection="1">
      <alignment horizontal="right" vertical="center"/>
      <protection locked="0"/>
    </xf>
    <xf numFmtId="166" fontId="20" fillId="59" borderId="72" xfId="0" applyNumberFormat="1" applyFont="1" applyFill="1" applyBorder="1" applyAlignment="1" applyProtection="1">
      <alignment vertical="center"/>
      <protection hidden="1"/>
    </xf>
    <xf numFmtId="166" fontId="60" fillId="0" borderId="235" xfId="0" applyNumberFormat="1" applyFont="1" applyFill="1" applyBorder="1" applyAlignment="1" applyProtection="1">
      <alignment horizontal="right" vertical="center"/>
      <protection hidden="1"/>
    </xf>
    <xf numFmtId="166" fontId="60" fillId="0" borderId="235" xfId="0" applyNumberFormat="1" applyFont="1" applyBorder="1" applyAlignment="1" applyProtection="1">
      <alignment horizontal="right" vertical="center"/>
      <protection hidden="1"/>
    </xf>
    <xf numFmtId="166" fontId="16" fillId="0" borderId="229" xfId="0" applyNumberFormat="1" applyFont="1" applyBorder="1" applyAlignment="1" applyProtection="1">
      <alignment horizontal="right" vertical="center"/>
      <protection locked="0"/>
    </xf>
    <xf numFmtId="166" fontId="60" fillId="0" borderId="236" xfId="0" applyNumberFormat="1" applyFont="1" applyBorder="1" applyAlignment="1" applyProtection="1">
      <alignment horizontal="right" vertical="center"/>
      <protection hidden="1"/>
    </xf>
    <xf numFmtId="166" fontId="20" fillId="59" borderId="375" xfId="0" applyNumberFormat="1" applyFont="1" applyFill="1" applyBorder="1" applyAlignment="1" applyProtection="1">
      <alignment vertical="center"/>
      <protection hidden="1"/>
    </xf>
    <xf numFmtId="166" fontId="182" fillId="0" borderId="224" xfId="0" applyNumberFormat="1" applyFont="1" applyBorder="1" applyAlignment="1" applyProtection="1">
      <alignment horizontal="right" vertical="center"/>
      <protection hidden="1"/>
    </xf>
    <xf numFmtId="166" fontId="16" fillId="0" borderId="224" xfId="0" applyNumberFormat="1" applyFont="1" applyFill="1" applyBorder="1" applyAlignment="1" applyProtection="1">
      <alignment horizontal="right" vertical="center"/>
      <protection locked="0"/>
    </xf>
    <xf numFmtId="166" fontId="20" fillId="25" borderId="375" xfId="0" applyNumberFormat="1" applyFont="1" applyFill="1" applyBorder="1" applyAlignment="1" applyProtection="1">
      <alignment vertical="center"/>
      <protection hidden="1"/>
    </xf>
    <xf numFmtId="166" fontId="113" fillId="51" borderId="414" xfId="0" applyNumberFormat="1" applyFont="1" applyFill="1" applyBorder="1" applyAlignment="1" applyProtection="1">
      <alignment vertical="center"/>
      <protection hidden="1"/>
    </xf>
    <xf numFmtId="166" fontId="25" fillId="0" borderId="136" xfId="0" applyNumberFormat="1" applyFont="1" applyFill="1" applyBorder="1" applyAlignment="1" applyProtection="1">
      <alignment vertical="center"/>
      <protection hidden="1"/>
    </xf>
    <xf numFmtId="166" fontId="111" fillId="0" borderId="237" xfId="0" applyNumberFormat="1" applyFont="1" applyBorder="1" applyAlignment="1" applyProtection="1">
      <alignment horizontal="right" vertical="center"/>
      <protection locked="0"/>
    </xf>
    <xf numFmtId="166" fontId="111" fillId="0" borderId="235" xfId="0" applyNumberFormat="1" applyFont="1" applyBorder="1" applyAlignment="1" applyProtection="1">
      <alignment horizontal="right" vertical="center"/>
      <protection locked="0"/>
    </xf>
    <xf numFmtId="166" fontId="20" fillId="44" borderId="375" xfId="0" applyNumberFormat="1" applyFont="1" applyFill="1" applyBorder="1" applyAlignment="1" applyProtection="1">
      <alignment vertical="center"/>
      <protection hidden="1"/>
    </xf>
    <xf numFmtId="166" fontId="113" fillId="26" borderId="414" xfId="0" applyNumberFormat="1" applyFont="1" applyFill="1" applyBorder="1" applyAlignment="1" applyProtection="1">
      <alignment vertical="center"/>
      <protection hidden="1"/>
    </xf>
    <xf numFmtId="166" fontId="20" fillId="59" borderId="185" xfId="0" applyNumberFormat="1" applyFont="1" applyFill="1" applyBorder="1" applyAlignment="1" applyProtection="1">
      <alignment vertical="center"/>
      <protection hidden="1"/>
    </xf>
    <xf numFmtId="166" fontId="25" fillId="24" borderId="238" xfId="0" applyNumberFormat="1" applyFont="1" applyFill="1" applyBorder="1" applyAlignment="1" applyProtection="1">
      <alignment vertical="center"/>
      <protection hidden="1"/>
    </xf>
    <xf numFmtId="166" fontId="25" fillId="24" borderId="185" xfId="0" applyNumberFormat="1" applyFont="1" applyFill="1" applyBorder="1" applyAlignment="1" applyProtection="1">
      <alignment vertical="center"/>
      <protection hidden="1"/>
    </xf>
    <xf numFmtId="166" fontId="16" fillId="0" borderId="229" xfId="0" applyNumberFormat="1" applyFont="1" applyFill="1" applyBorder="1" applyAlignment="1" applyProtection="1">
      <alignment horizontal="right" vertical="center"/>
      <protection locked="0"/>
    </xf>
    <xf numFmtId="166" fontId="16" fillId="0" borderId="239" xfId="0" applyNumberFormat="1" applyFont="1" applyBorder="1" applyAlignment="1" applyProtection="1">
      <alignment horizontal="right" vertical="center"/>
      <protection locked="0"/>
    </xf>
    <xf numFmtId="166" fontId="25" fillId="37" borderId="185" xfId="0" applyNumberFormat="1" applyFont="1" applyFill="1" applyBorder="1" applyAlignment="1" applyProtection="1">
      <alignment horizontal="right" vertical="center"/>
      <protection hidden="1"/>
    </xf>
    <xf numFmtId="166" fontId="16" fillId="0" borderId="71" xfId="0" applyNumberFormat="1" applyFont="1" applyBorder="1" applyAlignment="1" applyProtection="1">
      <alignment horizontal="right" vertical="center"/>
      <protection hidden="1"/>
    </xf>
    <xf numFmtId="168" fontId="204" fillId="0" borderId="166" xfId="0" applyNumberFormat="1" applyFont="1" applyBorder="1" applyAlignment="1" applyProtection="1">
      <alignment horizontal="center" vertical="center"/>
      <protection hidden="1"/>
    </xf>
    <xf numFmtId="166" fontId="16" fillId="0" borderId="440" xfId="0" applyNumberFormat="1" applyFont="1" applyBorder="1" applyAlignment="1" applyProtection="1">
      <alignment horizontal="right" vertical="center"/>
      <protection hidden="1"/>
    </xf>
    <xf numFmtId="168" fontId="204" fillId="0" borderId="446" xfId="0" applyNumberFormat="1" applyFont="1" applyBorder="1" applyAlignment="1" applyProtection="1">
      <alignment horizontal="center" vertical="center"/>
      <protection hidden="1"/>
    </xf>
    <xf numFmtId="166" fontId="16" fillId="0" borderId="236" xfId="0" applyNumberFormat="1" applyFont="1" applyBorder="1" applyAlignment="1" applyProtection="1">
      <alignment horizontal="right" vertical="center"/>
      <protection hidden="1"/>
    </xf>
    <xf numFmtId="168" fontId="204" fillId="0" borderId="444" xfId="0" applyNumberFormat="1" applyFont="1" applyBorder="1" applyAlignment="1" applyProtection="1">
      <alignment horizontal="center" vertical="center"/>
      <protection hidden="1"/>
    </xf>
    <xf numFmtId="168" fontId="20" fillId="59" borderId="418" xfId="0" applyNumberFormat="1" applyFont="1" applyFill="1" applyBorder="1" applyAlignment="1" applyProtection="1">
      <alignment horizontal="center" vertical="center"/>
      <protection hidden="1"/>
    </xf>
    <xf numFmtId="166" fontId="20" fillId="59" borderId="238" xfId="0" applyNumberFormat="1" applyFont="1" applyFill="1" applyBorder="1" applyAlignment="1" applyProtection="1">
      <alignment vertical="center"/>
      <protection hidden="1"/>
    </xf>
    <xf numFmtId="168" fontId="20" fillId="25" borderId="451" xfId="0" applyNumberFormat="1" applyFont="1" applyFill="1" applyBorder="1" applyAlignment="1" applyProtection="1">
      <alignment horizontal="center" vertical="center"/>
      <protection hidden="1"/>
    </xf>
    <xf numFmtId="168" fontId="113" fillId="26" borderId="452" xfId="0" applyNumberFormat="1" applyFont="1" applyFill="1" applyBorder="1" applyAlignment="1" applyProtection="1">
      <alignment horizontal="center" vertical="center"/>
      <protection hidden="1"/>
    </xf>
    <xf numFmtId="166" fontId="16" fillId="0" borderId="371" xfId="0" applyNumberFormat="1" applyFont="1" applyBorder="1" applyAlignment="1" applyProtection="1">
      <alignment horizontal="right" vertical="center"/>
      <protection locked="0"/>
    </xf>
    <xf numFmtId="166" fontId="16" fillId="0" borderId="454" xfId="0" applyNumberFormat="1" applyFont="1" applyBorder="1" applyAlignment="1" applyProtection="1">
      <alignment horizontal="right" vertical="center"/>
      <protection locked="0"/>
    </xf>
    <xf numFmtId="9" fontId="20" fillId="59" borderId="400" xfId="0" applyNumberFormat="1" applyFont="1" applyFill="1" applyBorder="1" applyAlignment="1" applyProtection="1">
      <alignment horizontal="center" vertical="center"/>
      <protection hidden="1"/>
    </xf>
    <xf numFmtId="166" fontId="16" fillId="0" borderId="453" xfId="0" applyNumberFormat="1" applyFont="1" applyBorder="1" applyAlignment="1" applyProtection="1">
      <alignment horizontal="right" vertical="center"/>
      <protection locked="0"/>
    </xf>
    <xf numFmtId="168" fontId="53" fillId="24" borderId="294" xfId="0" applyNumberFormat="1" applyFont="1" applyFill="1" applyBorder="1" applyAlignment="1" applyProtection="1">
      <alignment horizontal="center" vertical="center"/>
      <protection hidden="1"/>
    </xf>
    <xf numFmtId="168" fontId="20" fillId="59" borderId="395" xfId="0" applyNumberFormat="1" applyFont="1" applyFill="1" applyBorder="1" applyAlignment="1" applyProtection="1">
      <alignment horizontal="center" vertical="center"/>
      <protection hidden="1"/>
    </xf>
    <xf numFmtId="168" fontId="20" fillId="59" borderId="371" xfId="0" applyNumberFormat="1" applyFont="1" applyFill="1" applyBorder="1" applyAlignment="1" applyProtection="1">
      <alignment horizontal="center" vertical="center"/>
      <protection hidden="1"/>
    </xf>
    <xf numFmtId="168" fontId="20" fillId="59" borderId="452" xfId="0" applyNumberFormat="1" applyFont="1" applyFill="1" applyBorder="1" applyAlignment="1" applyProtection="1">
      <alignment horizontal="center" vertical="center"/>
      <protection hidden="1"/>
    </xf>
    <xf numFmtId="168" fontId="60" fillId="0" borderId="455" xfId="0" applyNumberFormat="1" applyFont="1" applyBorder="1" applyAlignment="1" applyProtection="1">
      <alignment horizontal="center" vertical="center"/>
      <protection hidden="1"/>
    </xf>
    <xf numFmtId="166" fontId="111" fillId="0" borderId="456" xfId="0" applyNumberFormat="1" applyFont="1" applyBorder="1" applyAlignment="1" applyProtection="1">
      <alignment horizontal="right" vertical="center"/>
      <protection locked="0"/>
    </xf>
    <xf numFmtId="166" fontId="111" fillId="0" borderId="453" xfId="0" applyNumberFormat="1" applyFont="1" applyBorder="1" applyAlignment="1" applyProtection="1">
      <alignment horizontal="right" vertical="center"/>
      <protection locked="0"/>
    </xf>
    <xf numFmtId="166" fontId="111" fillId="0" borderId="371" xfId="0" applyNumberFormat="1" applyFont="1" applyFill="1" applyBorder="1" applyAlignment="1" applyProtection="1">
      <alignment horizontal="right" vertical="center"/>
      <protection locked="0"/>
    </xf>
    <xf numFmtId="166" fontId="182" fillId="0" borderId="371" xfId="0" applyNumberFormat="1" applyFont="1" applyBorder="1" applyAlignment="1" applyProtection="1">
      <alignment horizontal="right" vertical="center"/>
      <protection locked="0"/>
    </xf>
    <xf numFmtId="166" fontId="16" fillId="0" borderId="450" xfId="0" applyNumberFormat="1" applyFont="1" applyBorder="1" applyAlignment="1" applyProtection="1">
      <alignment horizontal="right" vertical="center"/>
      <protection locked="0"/>
    </xf>
    <xf numFmtId="166" fontId="60" fillId="0" borderId="371" xfId="0" applyNumberFormat="1" applyFont="1" applyBorder="1" applyAlignment="1" applyProtection="1">
      <alignment horizontal="right" vertical="center"/>
      <protection locked="0"/>
    </xf>
    <xf numFmtId="168" fontId="53" fillId="24" borderId="400" xfId="0" applyNumberFormat="1" applyFont="1" applyFill="1" applyBorder="1" applyAlignment="1" applyProtection="1">
      <alignment horizontal="center" vertical="center"/>
      <protection hidden="1"/>
    </xf>
    <xf numFmtId="166" fontId="16" fillId="0" borderId="456" xfId="0" applyNumberFormat="1" applyFont="1" applyBorder="1" applyAlignment="1" applyProtection="1">
      <alignment horizontal="right" vertical="center"/>
      <protection locked="0"/>
    </xf>
    <xf numFmtId="166" fontId="16" fillId="0" borderId="457" xfId="0" applyNumberFormat="1" applyFont="1" applyBorder="1" applyAlignment="1" applyProtection="1">
      <alignment horizontal="right" vertical="center"/>
      <protection locked="0"/>
    </xf>
    <xf numFmtId="168" fontId="20" fillId="59" borderId="392" xfId="0" applyNumberFormat="1" applyFont="1" applyFill="1" applyBorder="1" applyAlignment="1" applyProtection="1">
      <alignment horizontal="center" vertical="center"/>
      <protection hidden="1"/>
    </xf>
    <xf numFmtId="168" fontId="60" fillId="0" borderId="453" xfId="0" applyNumberFormat="1" applyFont="1" applyBorder="1" applyAlignment="1" applyProtection="1">
      <alignment horizontal="center" vertical="center"/>
      <protection locked="0"/>
    </xf>
    <xf numFmtId="168" fontId="25" fillId="37" borderId="400" xfId="0" applyNumberFormat="1" applyFont="1" applyFill="1" applyBorder="1" applyAlignment="1" applyProtection="1">
      <alignment horizontal="center" vertical="center"/>
      <protection hidden="1"/>
    </xf>
    <xf numFmtId="168" fontId="20" fillId="59" borderId="451" xfId="0" applyNumberFormat="1" applyFont="1" applyFill="1" applyBorder="1" applyAlignment="1" applyProtection="1">
      <alignment horizontal="center" vertical="center"/>
      <protection hidden="1"/>
    </xf>
    <xf numFmtId="168" fontId="20" fillId="59" borderId="294" xfId="0" applyNumberFormat="1" applyFont="1" applyFill="1" applyBorder="1" applyAlignment="1" applyProtection="1">
      <alignment horizontal="center" vertical="center"/>
      <protection hidden="1"/>
    </xf>
    <xf numFmtId="168" fontId="25" fillId="0" borderId="395" xfId="0" applyNumberFormat="1" applyFont="1" applyFill="1" applyBorder="1" applyAlignment="1" applyProtection="1">
      <alignment horizontal="center" vertical="center"/>
      <protection hidden="1"/>
    </xf>
    <xf numFmtId="168" fontId="204" fillId="0" borderId="362" xfId="0" applyNumberFormat="1" applyFont="1" applyBorder="1" applyAlignment="1" applyProtection="1">
      <alignment horizontal="center" vertical="center"/>
      <protection hidden="1"/>
    </xf>
    <xf numFmtId="168" fontId="204" fillId="0" borderId="458" xfId="0" applyNumberFormat="1" applyFont="1" applyBorder="1" applyAlignment="1" applyProtection="1">
      <alignment horizontal="center" vertical="center"/>
      <protection hidden="1"/>
    </xf>
    <xf numFmtId="168" fontId="204" fillId="0" borderId="454" xfId="0" applyNumberFormat="1" applyFont="1" applyBorder="1" applyAlignment="1" applyProtection="1">
      <alignment horizontal="center" vertical="center"/>
      <protection hidden="1"/>
    </xf>
    <xf numFmtId="0" fontId="4" fillId="68" borderId="209" xfId="0" applyFont="1" applyFill="1" applyBorder="1" applyAlignment="1" applyProtection="1">
      <alignment vertical="center"/>
      <protection hidden="1"/>
    </xf>
    <xf numFmtId="0" fontId="187" fillId="68" borderId="447" xfId="0" applyFont="1" applyFill="1" applyBorder="1" applyAlignment="1" applyProtection="1">
      <alignment horizontal="right" vertical="center"/>
    </xf>
    <xf numFmtId="166" fontId="73" fillId="35" borderId="238" xfId="0" applyNumberFormat="1" applyFont="1" applyFill="1" applyBorder="1" applyAlignment="1" applyProtection="1">
      <alignment vertical="center"/>
      <protection hidden="1"/>
    </xf>
    <xf numFmtId="168" fontId="73" fillId="35" borderId="155" xfId="0" applyNumberFormat="1" applyFont="1" applyFill="1" applyBorder="1" applyAlignment="1" applyProtection="1">
      <alignment horizontal="center" vertical="center"/>
      <protection hidden="1"/>
    </xf>
    <xf numFmtId="166" fontId="243" fillId="46" borderId="71" xfId="0" applyNumberFormat="1" applyFont="1" applyFill="1" applyBorder="1" applyAlignment="1" applyProtection="1">
      <alignment horizontal="right" vertical="center"/>
      <protection hidden="1"/>
    </xf>
    <xf numFmtId="168" fontId="204" fillId="46" borderId="166" xfId="0" applyNumberFormat="1" applyFont="1" applyFill="1" applyBorder="1" applyAlignment="1" applyProtection="1">
      <alignment horizontal="center" vertical="center"/>
      <protection hidden="1"/>
    </xf>
    <xf numFmtId="183" fontId="305" fillId="0" borderId="224" xfId="0" applyNumberFormat="1" applyFont="1" applyFill="1" applyBorder="1" applyAlignment="1" applyProtection="1">
      <alignment horizontal="center" vertical="center"/>
      <protection locked="0"/>
    </xf>
    <xf numFmtId="183" fontId="292" fillId="0" borderId="459" xfId="0" applyNumberFormat="1" applyFont="1" applyFill="1" applyBorder="1" applyAlignment="1" applyProtection="1">
      <alignment horizontal="center" vertical="center"/>
      <protection locked="0"/>
    </xf>
    <xf numFmtId="183" fontId="292" fillId="0" borderId="365" xfId="0" applyNumberFormat="1" applyFont="1" applyFill="1" applyBorder="1" applyAlignment="1" applyProtection="1">
      <alignment horizontal="center" vertical="center"/>
      <protection locked="0"/>
    </xf>
    <xf numFmtId="9" fontId="292" fillId="0" borderId="242" xfId="0" applyNumberFormat="1" applyFont="1" applyFill="1" applyBorder="1" applyAlignment="1" applyProtection="1">
      <alignment horizontal="center" vertical="center"/>
      <protection hidden="1"/>
    </xf>
    <xf numFmtId="9" fontId="305" fillId="0" borderId="413" xfId="0" applyNumberFormat="1" applyFont="1" applyFill="1" applyBorder="1" applyAlignment="1" applyProtection="1">
      <alignment horizontal="center" vertical="center"/>
      <protection hidden="1"/>
    </xf>
    <xf numFmtId="183" fontId="20" fillId="33" borderId="407" xfId="0" applyNumberFormat="1" applyFont="1" applyFill="1" applyBorder="1" applyAlignment="1" applyProtection="1">
      <alignment horizontal="center" vertical="center"/>
      <protection locked="0"/>
    </xf>
    <xf numFmtId="183" fontId="133" fillId="33" borderId="406" xfId="0" applyNumberFormat="1" applyFont="1" applyFill="1" applyBorder="1" applyAlignment="1" applyProtection="1">
      <alignment horizontal="center" vertical="center"/>
      <protection locked="0"/>
    </xf>
    <xf numFmtId="166" fontId="312" fillId="46" borderId="362" xfId="0" applyNumberFormat="1" applyFont="1" applyFill="1" applyBorder="1" applyAlignment="1" applyProtection="1">
      <alignment horizontal="center" vertical="center"/>
      <protection hidden="1"/>
    </xf>
    <xf numFmtId="166" fontId="334" fillId="46" borderId="294" xfId="0" applyNumberFormat="1" applyFont="1" applyFill="1" applyBorder="1" applyAlignment="1" applyProtection="1">
      <alignment horizontal="center" vertical="center"/>
      <protection hidden="1"/>
    </xf>
    <xf numFmtId="166" fontId="229" fillId="46" borderId="71" xfId="0" applyNumberFormat="1" applyFont="1" applyFill="1" applyBorder="1" applyAlignment="1" applyProtection="1">
      <alignment horizontal="right" vertical="center"/>
      <protection locked="0"/>
    </xf>
    <xf numFmtId="181" fontId="229" fillId="46" borderId="166" xfId="0" applyNumberFormat="1" applyFont="1" applyFill="1" applyBorder="1" applyAlignment="1" applyProtection="1">
      <alignment horizontal="center" vertical="center"/>
      <protection hidden="1"/>
    </xf>
    <xf numFmtId="166" fontId="334" fillId="46" borderId="238" xfId="0" applyNumberFormat="1" applyFont="1" applyFill="1" applyBorder="1" applyAlignment="1" applyProtection="1">
      <alignment horizontal="right" vertical="center"/>
      <protection locked="0"/>
    </xf>
    <xf numFmtId="181" fontId="216" fillId="46" borderId="155" xfId="0" applyNumberFormat="1" applyFont="1" applyFill="1" applyBorder="1" applyAlignment="1" applyProtection="1">
      <alignment horizontal="center" vertical="center"/>
      <protection hidden="1"/>
    </xf>
    <xf numFmtId="166" fontId="229" fillId="46" borderId="71" xfId="0" quotePrefix="1" applyNumberFormat="1" applyFont="1" applyFill="1" applyBorder="1" applyAlignment="1" applyProtection="1">
      <alignment horizontal="right" vertical="center"/>
      <protection locked="0"/>
    </xf>
    <xf numFmtId="0" fontId="274" fillId="0" borderId="0" xfId="0" applyFont="1" applyFill="1" applyBorder="1" applyAlignment="1" applyProtection="1">
      <alignment horizontal="right" vertical="center"/>
      <protection hidden="1"/>
    </xf>
    <xf numFmtId="0" fontId="274" fillId="0" borderId="307" xfId="0" applyNumberFormat="1" applyFont="1" applyFill="1" applyBorder="1" applyAlignment="1" applyProtection="1">
      <alignment horizontal="left" vertical="center"/>
      <protection hidden="1"/>
    </xf>
    <xf numFmtId="166" fontId="312" fillId="46" borderId="66" xfId="0" applyNumberFormat="1" applyFont="1" applyFill="1" applyBorder="1" applyAlignment="1" applyProtection="1">
      <alignment horizontal="center" vertical="center"/>
      <protection hidden="1"/>
    </xf>
    <xf numFmtId="166" fontId="334" fillId="46" borderId="391" xfId="0" applyNumberFormat="1" applyFont="1" applyFill="1" applyBorder="1" applyAlignment="1" applyProtection="1">
      <alignment horizontal="center" vertical="center"/>
      <protection hidden="1"/>
    </xf>
    <xf numFmtId="166" fontId="229" fillId="46" borderId="71" xfId="0" applyNumberFormat="1" applyFont="1" applyFill="1" applyBorder="1" applyAlignment="1" applyProtection="1">
      <alignment horizontal="right" vertical="center"/>
      <protection hidden="1"/>
    </xf>
    <xf numFmtId="166" fontId="334" fillId="46" borderId="238" xfId="0" applyNumberFormat="1" applyFont="1" applyFill="1" applyBorder="1" applyAlignment="1" applyProtection="1">
      <alignment horizontal="right" vertical="center"/>
      <protection hidden="1"/>
    </xf>
    <xf numFmtId="0" fontId="20" fillId="65" borderId="223" xfId="0" applyFont="1" applyFill="1" applyBorder="1" applyAlignment="1" applyProtection="1">
      <alignment horizontal="center"/>
      <protection hidden="1"/>
    </xf>
    <xf numFmtId="0" fontId="314" fillId="0" borderId="224" xfId="0" applyFont="1" applyBorder="1" applyAlignment="1" applyProtection="1">
      <alignment vertical="center"/>
      <protection hidden="1"/>
    </xf>
    <xf numFmtId="166" fontId="16" fillId="0" borderId="224" xfId="0" applyNumberFormat="1" applyFont="1" applyFill="1" applyBorder="1" applyAlignment="1" applyProtection="1">
      <alignment horizontal="right" vertical="center"/>
      <protection hidden="1"/>
    </xf>
    <xf numFmtId="166" fontId="23" fillId="0" borderId="394" xfId="0" applyNumberFormat="1" applyFont="1" applyFill="1" applyBorder="1" applyAlignment="1" applyProtection="1">
      <alignment horizontal="right" vertical="center"/>
      <protection hidden="1"/>
    </xf>
    <xf numFmtId="166" fontId="46" fillId="0" borderId="413" xfId="0" applyNumberFormat="1" applyFont="1" applyFill="1" applyBorder="1" applyAlignment="1" applyProtection="1">
      <alignment horizontal="right" vertical="center"/>
      <protection hidden="1"/>
    </xf>
    <xf numFmtId="169" fontId="23" fillId="0" borderId="316" xfId="0" applyNumberFormat="1" applyFont="1" applyFill="1" applyBorder="1" applyAlignment="1" applyProtection="1">
      <alignment horizontal="center" vertical="center"/>
      <protection locked="0"/>
    </xf>
    <xf numFmtId="169" fontId="60" fillId="0" borderId="460" xfId="0" applyNumberFormat="1" applyFont="1" applyBorder="1" applyAlignment="1" applyProtection="1">
      <alignment horizontal="center" vertical="center"/>
      <protection hidden="1"/>
    </xf>
    <xf numFmtId="169" fontId="23" fillId="0" borderId="224" xfId="0" applyNumberFormat="1" applyFont="1" applyFill="1" applyBorder="1" applyAlignment="1" applyProtection="1">
      <alignment horizontal="center" vertical="center"/>
      <protection locked="0"/>
    </xf>
    <xf numFmtId="169" fontId="60" fillId="0" borderId="413" xfId="0" applyNumberFormat="1" applyFont="1" applyBorder="1" applyAlignment="1" applyProtection="1">
      <alignment horizontal="center" vertical="center"/>
      <protection hidden="1"/>
    </xf>
    <xf numFmtId="166" fontId="314" fillId="0" borderId="180" xfId="0" applyNumberFormat="1" applyFont="1" applyFill="1" applyBorder="1" applyAlignment="1" applyProtection="1">
      <alignment horizontal="right" vertical="center"/>
      <protection hidden="1"/>
    </xf>
    <xf numFmtId="166" fontId="318" fillId="0" borderId="156" xfId="0" applyNumberFormat="1" applyFont="1" applyFill="1" applyBorder="1" applyAlignment="1" applyProtection="1">
      <alignment horizontal="right" vertical="center"/>
      <protection hidden="1"/>
    </xf>
    <xf numFmtId="169" fontId="314" fillId="0" borderId="185" xfId="0" applyNumberFormat="1" applyFont="1" applyFill="1" applyBorder="1" applyAlignment="1" applyProtection="1">
      <alignment horizontal="center" vertical="center"/>
      <protection locked="0"/>
    </xf>
    <xf numFmtId="169" fontId="314" fillId="0" borderId="153" xfId="0" applyNumberFormat="1" applyFont="1" applyBorder="1" applyAlignment="1" applyProtection="1">
      <alignment horizontal="center" vertical="center"/>
      <protection hidden="1"/>
    </xf>
    <xf numFmtId="166" fontId="314" fillId="0" borderId="224" xfId="0" applyNumberFormat="1" applyFont="1" applyFill="1" applyBorder="1" applyAlignment="1" applyProtection="1">
      <alignment horizontal="right" vertical="center"/>
      <protection hidden="1"/>
    </xf>
    <xf numFmtId="166" fontId="318" fillId="0" borderId="413" xfId="0" applyNumberFormat="1" applyFont="1" applyFill="1" applyBorder="1" applyAlignment="1" applyProtection="1">
      <alignment horizontal="right" vertical="center"/>
      <protection hidden="1"/>
    </xf>
    <xf numFmtId="169" fontId="314" fillId="0" borderId="180" xfId="0" applyNumberFormat="1" applyFont="1" applyFill="1" applyBorder="1" applyAlignment="1" applyProtection="1">
      <alignment horizontal="center" vertical="center"/>
      <protection locked="0"/>
    </xf>
    <xf numFmtId="169" fontId="314" fillId="0" borderId="156" xfId="0" applyNumberFormat="1" applyFont="1" applyBorder="1" applyAlignment="1" applyProtection="1">
      <alignment horizontal="center" vertical="center"/>
      <protection hidden="1"/>
    </xf>
    <xf numFmtId="166" fontId="23" fillId="0" borderId="413" xfId="0" applyNumberFormat="1" applyFont="1" applyFill="1" applyBorder="1" applyAlignment="1" applyProtection="1">
      <alignment horizontal="right" vertical="center"/>
      <protection hidden="1"/>
    </xf>
    <xf numFmtId="166" fontId="314" fillId="0" borderId="156" xfId="0" applyNumberFormat="1" applyFont="1" applyFill="1" applyBorder="1" applyAlignment="1" applyProtection="1">
      <alignment horizontal="right" vertical="center"/>
      <protection hidden="1"/>
    </xf>
    <xf numFmtId="166" fontId="314" fillId="0" borderId="413" xfId="0" applyNumberFormat="1" applyFont="1" applyFill="1" applyBorder="1" applyAlignment="1" applyProtection="1">
      <alignment horizontal="right" vertical="center"/>
      <protection hidden="1"/>
    </xf>
    <xf numFmtId="169" fontId="296" fillId="0" borderId="224" xfId="0" applyNumberFormat="1" applyFont="1" applyFill="1" applyBorder="1" applyAlignment="1" applyProtection="1">
      <alignment horizontal="center" vertical="center"/>
      <protection locked="0"/>
    </xf>
    <xf numFmtId="166" fontId="200" fillId="70" borderId="243" xfId="0" applyNumberFormat="1" applyFont="1" applyFill="1" applyBorder="1" applyAlignment="1" applyProtection="1">
      <alignment vertical="center"/>
      <protection hidden="1"/>
    </xf>
    <xf numFmtId="173" fontId="200" fillId="70" borderId="244" xfId="0" applyNumberFormat="1" applyFont="1" applyFill="1" applyBorder="1" applyAlignment="1" applyProtection="1">
      <alignment horizontal="center" vertical="center"/>
      <protection locked="0"/>
    </xf>
    <xf numFmtId="166" fontId="200" fillId="70" borderId="136" xfId="0" applyNumberFormat="1" applyFont="1" applyFill="1" applyBorder="1" applyAlignment="1" applyProtection="1">
      <alignment vertical="center"/>
      <protection hidden="1"/>
    </xf>
    <xf numFmtId="0" fontId="192" fillId="65" borderId="248" xfId="0" applyNumberFormat="1" applyFont="1" applyFill="1" applyBorder="1" applyAlignment="1" applyProtection="1">
      <alignment horizontal="center" vertical="top"/>
      <protection hidden="1"/>
    </xf>
    <xf numFmtId="0" fontId="184" fillId="69" borderId="243" xfId="0" applyNumberFormat="1" applyFont="1" applyFill="1" applyBorder="1" applyAlignment="1" applyProtection="1">
      <alignment horizontal="center" vertical="center"/>
      <protection hidden="1"/>
    </xf>
    <xf numFmtId="0" fontId="184" fillId="69" borderId="244" xfId="0" applyNumberFormat="1" applyFont="1" applyFill="1" applyBorder="1" applyAlignment="1" applyProtection="1">
      <alignment horizontal="center" vertical="center"/>
      <protection hidden="1"/>
    </xf>
    <xf numFmtId="166" fontId="62" fillId="44" borderId="135" xfId="0" applyNumberFormat="1" applyFont="1" applyFill="1" applyBorder="1" applyAlignment="1" applyProtection="1">
      <alignment vertical="center"/>
      <protection hidden="1"/>
    </xf>
    <xf numFmtId="166" fontId="62" fillId="44" borderId="243" xfId="0" applyNumberFormat="1" applyFont="1" applyFill="1" applyBorder="1" applyAlignment="1" applyProtection="1">
      <alignment vertical="center"/>
      <protection hidden="1"/>
    </xf>
    <xf numFmtId="192" fontId="185" fillId="25" borderId="244" xfId="0" applyNumberFormat="1" applyFont="1" applyFill="1" applyBorder="1" applyAlignment="1" applyProtection="1">
      <alignment horizontal="center" vertical="center"/>
      <protection hidden="1"/>
    </xf>
    <xf numFmtId="166" fontId="62" fillId="44" borderId="244" xfId="0" applyNumberFormat="1" applyFont="1" applyFill="1" applyBorder="1" applyAlignment="1" applyProtection="1">
      <alignment vertical="center"/>
      <protection hidden="1"/>
    </xf>
    <xf numFmtId="177" fontId="283" fillId="46" borderId="380" xfId="0" applyNumberFormat="1" applyFont="1" applyFill="1" applyBorder="1" applyAlignment="1" applyProtection="1">
      <alignment horizontal="left" vertical="center" indent="1"/>
      <protection hidden="1"/>
    </xf>
    <xf numFmtId="0" fontId="279" fillId="0" borderId="352" xfId="0" applyFont="1" applyBorder="1" applyAlignment="1" applyProtection="1">
      <alignment horizontal="left" vertical="center" wrapText="1" indent="1"/>
      <protection hidden="1"/>
    </xf>
    <xf numFmtId="0" fontId="279" fillId="0" borderId="225" xfId="0" applyFont="1" applyBorder="1" applyAlignment="1" applyProtection="1">
      <alignment horizontal="left" vertical="center" wrapText="1" indent="1"/>
      <protection hidden="1"/>
    </xf>
    <xf numFmtId="0" fontId="279" fillId="0" borderId="225" xfId="0" applyFont="1" applyBorder="1" applyAlignment="1" applyProtection="1">
      <alignment horizontal="left" vertical="center" indent="1"/>
      <protection hidden="1"/>
    </xf>
    <xf numFmtId="166" fontId="189" fillId="46" borderId="354" xfId="0" applyNumberFormat="1" applyFont="1" applyFill="1" applyBorder="1" applyAlignment="1" applyProtection="1">
      <alignment vertical="center"/>
      <protection hidden="1"/>
    </xf>
    <xf numFmtId="166" fontId="188" fillId="0" borderId="298" xfId="0" applyNumberFormat="1" applyFont="1" applyBorder="1" applyAlignment="1" applyProtection="1">
      <alignment horizontal="right" vertical="center"/>
      <protection hidden="1"/>
    </xf>
    <xf numFmtId="166" fontId="188" fillId="0" borderId="224" xfId="0" applyNumberFormat="1" applyFont="1" applyBorder="1" applyAlignment="1" applyProtection="1">
      <alignment horizontal="right" vertical="center"/>
      <protection hidden="1"/>
    </xf>
    <xf numFmtId="166" fontId="189" fillId="46" borderId="380" xfId="0" applyNumberFormat="1" applyFont="1" applyFill="1" applyBorder="1" applyAlignment="1" applyProtection="1">
      <alignment vertical="center"/>
      <protection hidden="1"/>
    </xf>
    <xf numFmtId="166" fontId="188" fillId="0" borderId="225" xfId="0" applyNumberFormat="1" applyFont="1" applyBorder="1" applyAlignment="1" applyProtection="1">
      <alignment vertical="center" wrapText="1"/>
      <protection hidden="1"/>
    </xf>
    <xf numFmtId="166" fontId="188" fillId="0" borderId="186" xfId="0" applyNumberFormat="1" applyFont="1" applyFill="1" applyBorder="1" applyAlignment="1" applyProtection="1">
      <alignment vertical="center"/>
      <protection hidden="1"/>
    </xf>
    <xf numFmtId="166" fontId="188" fillId="0" borderId="179" xfId="0" applyNumberFormat="1" applyFont="1" applyFill="1" applyBorder="1" applyAlignment="1" applyProtection="1">
      <alignment vertical="center"/>
      <protection hidden="1"/>
    </xf>
    <xf numFmtId="177" fontId="386" fillId="35" borderId="70" xfId="0" applyNumberFormat="1" applyFont="1" applyFill="1" applyBorder="1" applyAlignment="1" applyProtection="1">
      <alignment horizontal="left" vertical="center" indent="1"/>
      <protection hidden="1"/>
    </xf>
    <xf numFmtId="166" fontId="386" fillId="35" borderId="136" xfId="0" applyNumberFormat="1" applyFont="1" applyFill="1" applyBorder="1" applyAlignment="1" applyProtection="1">
      <alignment vertical="center"/>
      <protection hidden="1"/>
    </xf>
    <xf numFmtId="166" fontId="386" fillId="35" borderId="135" xfId="0" applyNumberFormat="1" applyFont="1" applyFill="1" applyBorder="1" applyAlignment="1" applyProtection="1">
      <alignment vertical="center"/>
      <protection hidden="1"/>
    </xf>
    <xf numFmtId="166" fontId="386" fillId="35" borderId="70" xfId="0" applyNumberFormat="1" applyFont="1" applyFill="1" applyBorder="1" applyAlignment="1" applyProtection="1">
      <alignment vertical="center"/>
      <protection hidden="1"/>
    </xf>
    <xf numFmtId="0" fontId="188" fillId="0" borderId="230" xfId="0" applyFont="1" applyBorder="1">
      <alignment horizontal="right"/>
    </xf>
    <xf numFmtId="0" fontId="279" fillId="0" borderId="66" xfId="0" quotePrefix="1" applyFont="1" applyFill="1" applyBorder="1" applyAlignment="1" applyProtection="1">
      <alignment horizontal="left" vertical="center" wrapText="1" indent="1"/>
      <protection hidden="1"/>
    </xf>
    <xf numFmtId="0" fontId="279" fillId="0" borderId="363" xfId="0" quotePrefix="1" applyFont="1" applyFill="1" applyBorder="1" applyAlignment="1" applyProtection="1">
      <alignment horizontal="left" vertical="center" wrapText="1" indent="1"/>
      <protection hidden="1"/>
    </xf>
    <xf numFmtId="0" fontId="20" fillId="25" borderId="415" xfId="0" applyFont="1" applyFill="1" applyBorder="1" applyAlignment="1" applyProtection="1">
      <alignment horizontal="left" vertical="center" indent="1"/>
      <protection hidden="1"/>
    </xf>
    <xf numFmtId="166" fontId="387" fillId="0" borderId="66" xfId="0" applyNumberFormat="1" applyFont="1" applyFill="1" applyBorder="1" applyAlignment="1" applyProtection="1">
      <alignment vertical="center"/>
      <protection hidden="1"/>
    </xf>
    <xf numFmtId="166" fontId="387" fillId="0" borderId="363" xfId="0" applyNumberFormat="1" applyFont="1" applyFill="1" applyBorder="1" applyAlignment="1" applyProtection="1">
      <alignment vertical="center"/>
      <protection hidden="1"/>
    </xf>
    <xf numFmtId="166" fontId="185" fillId="25" borderId="415" xfId="0" applyNumberFormat="1" applyFont="1" applyFill="1" applyBorder="1" applyAlignment="1" applyProtection="1">
      <alignment vertical="center"/>
      <protection hidden="1"/>
    </xf>
    <xf numFmtId="168" fontId="194" fillId="0" borderId="70" xfId="0" applyNumberFormat="1" applyFont="1" applyBorder="1" applyAlignment="1" applyProtection="1">
      <alignment horizontal="center" vertical="center"/>
      <protection hidden="1"/>
    </xf>
    <xf numFmtId="0" fontId="379" fillId="59" borderId="70" xfId="23" applyFont="1" applyFill="1" applyBorder="1" applyAlignment="1" applyProtection="1">
      <alignment horizontal="center" vertical="center" wrapText="1"/>
      <protection hidden="1"/>
    </xf>
    <xf numFmtId="0" fontId="135" fillId="0" borderId="177" xfId="0" applyFont="1" applyBorder="1" applyProtection="1">
      <alignment horizontal="right"/>
      <protection locked="0"/>
    </xf>
    <xf numFmtId="0" fontId="135" fillId="0" borderId="178" xfId="0" applyFont="1" applyBorder="1" applyProtection="1">
      <alignment horizontal="right"/>
      <protection locked="0"/>
    </xf>
    <xf numFmtId="0" fontId="135" fillId="0" borderId="346" xfId="0" applyFont="1" applyBorder="1" applyProtection="1">
      <alignment horizontal="right"/>
      <protection locked="0"/>
    </xf>
    <xf numFmtId="0" fontId="135" fillId="0" borderId="341" xfId="0" applyFont="1" applyBorder="1" applyProtection="1">
      <alignment horizontal="right"/>
      <protection locked="0"/>
    </xf>
    <xf numFmtId="0" fontId="135" fillId="0" borderId="342" xfId="0" applyFont="1" applyBorder="1" applyProtection="1">
      <alignment horizontal="right"/>
      <protection locked="0"/>
    </xf>
    <xf numFmtId="0" fontId="135" fillId="0" borderId="344" xfId="0" applyFont="1" applyBorder="1" applyProtection="1">
      <alignment horizontal="right"/>
      <protection locked="0"/>
    </xf>
    <xf numFmtId="0" fontId="135" fillId="0" borderId="202" xfId="0" applyFont="1" applyBorder="1" applyProtection="1">
      <alignment horizontal="right"/>
      <protection locked="0"/>
    </xf>
    <xf numFmtId="0" fontId="135" fillId="0" borderId="345" xfId="0" applyFont="1" applyBorder="1" applyProtection="1">
      <alignment horizontal="right"/>
      <protection locked="0"/>
    </xf>
    <xf numFmtId="9" fontId="137" fillId="0" borderId="399" xfId="0" applyNumberFormat="1" applyFont="1" applyBorder="1" applyAlignment="1" applyProtection="1">
      <alignment horizontal="center" vertical="center"/>
      <protection locked="0"/>
    </xf>
    <xf numFmtId="9" fontId="136" fillId="0" borderId="399" xfId="0" applyNumberFormat="1" applyFont="1" applyBorder="1" applyAlignment="1" applyProtection="1">
      <alignment horizontal="center" vertical="center"/>
      <protection locked="0"/>
    </xf>
    <xf numFmtId="9" fontId="136" fillId="0" borderId="323" xfId="0" applyNumberFormat="1" applyFont="1" applyBorder="1" applyAlignment="1" applyProtection="1">
      <alignment horizontal="center" vertical="center"/>
      <protection locked="0"/>
    </xf>
    <xf numFmtId="9" fontId="137" fillId="0" borderId="293" xfId="0" applyNumberFormat="1" applyFont="1" applyBorder="1" applyAlignment="1" applyProtection="1">
      <alignment horizontal="center" vertical="center"/>
      <protection locked="0"/>
    </xf>
    <xf numFmtId="0" fontId="135" fillId="0" borderId="401" xfId="0" applyFont="1" applyBorder="1" applyAlignment="1" applyProtection="1">
      <alignment horizontal="center" vertical="center"/>
      <protection locked="0"/>
    </xf>
    <xf numFmtId="0" fontId="135" fillId="0" borderId="402" xfId="0" applyFont="1" applyBorder="1" applyAlignment="1" applyProtection="1">
      <alignment horizontal="center" vertical="center"/>
      <protection locked="0"/>
    </xf>
    <xf numFmtId="0" fontId="135" fillId="0" borderId="411" xfId="0" applyFont="1" applyBorder="1" applyAlignment="1" applyProtection="1">
      <alignment horizontal="center" vertical="center"/>
      <protection locked="0"/>
    </xf>
    <xf numFmtId="0" fontId="434" fillId="0" borderId="0" xfId="0" applyFont="1" applyFill="1" applyBorder="1" applyAlignment="1" applyProtection="1">
      <protection hidden="1"/>
    </xf>
    <xf numFmtId="0" fontId="243" fillId="0" borderId="50" xfId="0" applyFont="1" applyBorder="1" applyAlignment="1" applyProtection="1">
      <alignment horizontal="left" vertical="center" indent="1"/>
      <protection hidden="1"/>
    </xf>
    <xf numFmtId="0" fontId="215" fillId="0" borderId="46" xfId="0" applyFont="1" applyBorder="1" applyAlignment="1" applyProtection="1">
      <alignment horizontal="center" vertical="center"/>
      <protection locked="0"/>
    </xf>
    <xf numFmtId="0" fontId="243" fillId="0" borderId="100" xfId="0" applyFont="1" applyBorder="1" applyAlignment="1" applyProtection="1">
      <alignment horizontal="left" vertical="center" indent="1"/>
      <protection hidden="1"/>
    </xf>
    <xf numFmtId="0" fontId="215" fillId="0" borderId="466" xfId="0" applyFont="1" applyBorder="1" applyAlignment="1" applyProtection="1">
      <alignment horizontal="center" vertical="center"/>
      <protection locked="0"/>
    </xf>
    <xf numFmtId="0" fontId="216" fillId="0" borderId="102" xfId="0" applyFont="1" applyFill="1" applyBorder="1" applyAlignment="1" applyProtection="1">
      <alignment horizontal="center" vertical="center"/>
      <protection locked="0"/>
    </xf>
    <xf numFmtId="172" fontId="255" fillId="31" borderId="53" xfId="0" applyNumberFormat="1" applyFont="1" applyFill="1" applyBorder="1" applyAlignment="1" applyProtection="1">
      <alignment horizontal="right" vertical="center"/>
      <protection locked="0"/>
    </xf>
    <xf numFmtId="172" fontId="255" fillId="31" borderId="102" xfId="0" applyNumberFormat="1" applyFont="1" applyFill="1" applyBorder="1" applyAlignment="1" applyProtection="1">
      <alignment horizontal="right" vertical="center"/>
      <protection locked="0"/>
    </xf>
    <xf numFmtId="172" fontId="255" fillId="31" borderId="467" xfId="0" applyNumberFormat="1" applyFont="1" applyFill="1" applyBorder="1" applyAlignment="1" applyProtection="1">
      <alignment horizontal="right" vertical="center" indent="1"/>
    </xf>
    <xf numFmtId="0" fontId="23" fillId="31" borderId="468" xfId="0" applyFont="1" applyFill="1" applyBorder="1" applyAlignment="1" applyProtection="1">
      <alignment horizontal="right" vertical="center" indent="1"/>
      <protection hidden="1"/>
    </xf>
    <xf numFmtId="0" fontId="19" fillId="0" borderId="0" xfId="0" applyFont="1" applyFill="1" applyBorder="1" applyAlignment="1" applyProtection="1">
      <alignment horizontal="center" textRotation="90"/>
      <protection hidden="1"/>
    </xf>
    <xf numFmtId="0" fontId="185" fillId="44" borderId="374" xfId="0" applyFont="1" applyFill="1" applyBorder="1" applyAlignment="1" applyProtection="1">
      <alignment horizontal="center" vertical="center"/>
      <protection hidden="1"/>
    </xf>
    <xf numFmtId="0" fontId="185" fillId="57" borderId="248" xfId="0" applyFont="1" applyFill="1" applyBorder="1" applyAlignment="1" applyProtection="1">
      <alignment horizontal="center" vertical="center"/>
      <protection hidden="1"/>
    </xf>
    <xf numFmtId="0" fontId="190" fillId="65" borderId="66" xfId="22" applyFont="1" applyFill="1" applyBorder="1" applyAlignment="1" applyProtection="1">
      <alignment horizontal="center"/>
      <protection hidden="1"/>
    </xf>
    <xf numFmtId="174" fontId="104" fillId="65" borderId="67" xfId="0" applyNumberFormat="1" applyFont="1" applyFill="1" applyBorder="1" applyAlignment="1" applyProtection="1">
      <alignment horizontal="center" vertical="top"/>
      <protection hidden="1"/>
    </xf>
    <xf numFmtId="0" fontId="20" fillId="69" borderId="66" xfId="0" applyNumberFormat="1" applyFont="1" applyFill="1" applyBorder="1" applyAlignment="1" applyProtection="1">
      <alignment horizontal="center"/>
      <protection hidden="1"/>
    </xf>
    <xf numFmtId="174" fontId="104" fillId="69" borderId="67" xfId="0" applyNumberFormat="1" applyFont="1" applyFill="1" applyBorder="1" applyAlignment="1" applyProtection="1">
      <alignment horizontal="center" vertical="top"/>
      <protection hidden="1"/>
    </xf>
    <xf numFmtId="3" fontId="16" fillId="68" borderId="380" xfId="0" applyNumberFormat="1" applyFont="1" applyFill="1" applyBorder="1" applyAlignment="1" applyProtection="1">
      <alignment horizontal="right" vertical="center" indent="1"/>
      <protection hidden="1"/>
    </xf>
    <xf numFmtId="3" fontId="274" fillId="0" borderId="391" xfId="0" applyNumberFormat="1" applyFont="1" applyBorder="1" applyAlignment="1" applyProtection="1">
      <alignment horizontal="right" vertical="center" indent="1"/>
      <protection hidden="1"/>
    </xf>
    <xf numFmtId="3" fontId="367" fillId="68" borderId="380" xfId="0" applyNumberFormat="1" applyFont="1" applyFill="1" applyBorder="1" applyAlignment="1" applyProtection="1">
      <alignment horizontal="right" vertical="center" wrapText="1" indent="1"/>
      <protection hidden="1"/>
    </xf>
    <xf numFmtId="3" fontId="419" fillId="0" borderId="391" xfId="0" applyNumberFormat="1" applyFont="1" applyBorder="1" applyAlignment="1" applyProtection="1">
      <alignment horizontal="right" vertical="center" indent="1"/>
      <protection hidden="1"/>
    </xf>
    <xf numFmtId="3" fontId="16" fillId="0" borderId="66" xfId="0" applyNumberFormat="1" applyFont="1" applyBorder="1" applyAlignment="1" applyProtection="1">
      <alignment horizontal="right" vertical="center" indent="1"/>
      <protection hidden="1"/>
    </xf>
    <xf numFmtId="3" fontId="129" fillId="0" borderId="66" xfId="0" applyNumberFormat="1" applyFont="1" applyBorder="1" applyAlignment="1" applyProtection="1">
      <alignment horizontal="right" vertical="center" wrapText="1" indent="1"/>
      <protection hidden="1"/>
    </xf>
    <xf numFmtId="0" fontId="16" fillId="0" borderId="133" xfId="0" applyFont="1" applyBorder="1" applyProtection="1">
      <alignment horizontal="right"/>
      <protection locked="0"/>
    </xf>
    <xf numFmtId="3" fontId="16" fillId="0" borderId="66" xfId="0" applyNumberFormat="1" applyFont="1" applyFill="1" applyBorder="1" applyAlignment="1" applyProtection="1">
      <alignment horizontal="right" vertical="center" indent="1"/>
      <protection hidden="1"/>
    </xf>
    <xf numFmtId="3" fontId="129" fillId="0" borderId="66" xfId="0" applyNumberFormat="1" applyFont="1" applyFill="1" applyBorder="1" applyAlignment="1" applyProtection="1">
      <alignment horizontal="right" vertical="center" indent="1"/>
      <protection hidden="1"/>
    </xf>
    <xf numFmtId="3" fontId="185" fillId="54" borderId="473" xfId="0" applyNumberFormat="1" applyFont="1" applyFill="1" applyBorder="1" applyAlignment="1" applyProtection="1">
      <alignment horizontal="right" vertical="center" indent="1"/>
      <protection hidden="1"/>
    </xf>
    <xf numFmtId="168" fontId="185" fillId="54" borderId="67" xfId="0" applyNumberFormat="1" applyFont="1" applyFill="1" applyBorder="1" applyAlignment="1" applyProtection="1">
      <alignment horizontal="center" vertical="center"/>
      <protection hidden="1"/>
    </xf>
    <xf numFmtId="3" fontId="200" fillId="54" borderId="473" xfId="0" applyNumberFormat="1" applyFont="1" applyFill="1" applyBorder="1" applyAlignment="1" applyProtection="1">
      <alignment horizontal="right" vertical="center" indent="1"/>
      <protection hidden="1"/>
    </xf>
    <xf numFmtId="168" fontId="200" fillId="54" borderId="67" xfId="0" applyNumberFormat="1" applyFont="1" applyFill="1" applyBorder="1" applyAlignment="1" applyProtection="1">
      <alignment horizontal="center" vertical="center"/>
      <protection hidden="1"/>
    </xf>
    <xf numFmtId="166" fontId="188" fillId="0" borderId="70" xfId="0" applyNumberFormat="1" applyFont="1" applyBorder="1" applyAlignment="1" applyProtection="1">
      <alignment vertical="center"/>
      <protection hidden="1"/>
    </xf>
    <xf numFmtId="1" fontId="191" fillId="0" borderId="0" xfId="23" applyNumberFormat="1" applyFont="1" applyFill="1" applyBorder="1" applyAlignment="1">
      <alignment horizontal="center" vertical="center"/>
    </xf>
    <xf numFmtId="0" fontId="190" fillId="65" borderId="70" xfId="22" applyFont="1" applyFill="1" applyBorder="1" applyAlignment="1" applyProtection="1">
      <alignment horizontal="center" vertical="center"/>
      <protection hidden="1"/>
    </xf>
    <xf numFmtId="1" fontId="190" fillId="69" borderId="70" xfId="23" applyNumberFormat="1" applyFont="1" applyFill="1" applyBorder="1" applyAlignment="1" applyProtection="1">
      <alignment horizontal="center" vertical="center"/>
      <protection hidden="1"/>
    </xf>
    <xf numFmtId="166" fontId="188" fillId="0" borderId="351" xfId="0" applyNumberFormat="1" applyFont="1" applyBorder="1" applyAlignment="1" applyProtection="1">
      <alignment vertical="center"/>
      <protection hidden="1"/>
    </xf>
    <xf numFmtId="166" fontId="188" fillId="0" borderId="67" xfId="0" applyNumberFormat="1" applyFont="1" applyFill="1" applyBorder="1" applyAlignment="1" applyProtection="1">
      <alignment vertical="center"/>
      <protection hidden="1"/>
    </xf>
    <xf numFmtId="0" fontId="189" fillId="46" borderId="350" xfId="0" applyFont="1" applyFill="1" applyBorder="1" applyAlignment="1">
      <alignment horizontal="left" vertical="center" indent="1"/>
    </xf>
    <xf numFmtId="0" fontId="282" fillId="46" borderId="149" xfId="0" quotePrefix="1" applyFont="1" applyFill="1" applyBorder="1" applyAlignment="1" applyProtection="1">
      <alignment horizontal="right" vertical="center"/>
      <protection hidden="1"/>
    </xf>
    <xf numFmtId="224" fontId="282" fillId="46" borderId="135" xfId="0" applyNumberFormat="1" applyFont="1" applyFill="1" applyBorder="1" applyAlignment="1" applyProtection="1">
      <alignment horizontal="left" vertical="center"/>
      <protection hidden="1"/>
    </xf>
    <xf numFmtId="9" fontId="282" fillId="0" borderId="70" xfId="0" applyNumberFormat="1" applyFont="1" applyBorder="1" applyAlignment="1" applyProtection="1">
      <alignment horizontal="center" vertical="center"/>
      <protection hidden="1"/>
    </xf>
    <xf numFmtId="2" fontId="190" fillId="54" borderId="70" xfId="0" applyNumberFormat="1" applyFont="1" applyFill="1" applyBorder="1" applyAlignment="1" applyProtection="1">
      <alignment horizontal="center" vertical="center"/>
      <protection hidden="1"/>
    </xf>
    <xf numFmtId="2" fontId="190" fillId="54" borderId="70" xfId="0" applyNumberFormat="1" applyFont="1" applyFill="1" applyBorder="1" applyAlignment="1">
      <alignment horizontal="center" vertical="center"/>
    </xf>
    <xf numFmtId="0" fontId="190" fillId="54" borderId="246" xfId="0" quotePrefix="1" applyFont="1" applyFill="1" applyBorder="1" applyAlignment="1" applyProtection="1">
      <alignment horizontal="right" vertical="center"/>
      <protection hidden="1"/>
    </xf>
    <xf numFmtId="225" fontId="190" fillId="54" borderId="135" xfId="0" applyNumberFormat="1" applyFont="1" applyFill="1" applyBorder="1" applyAlignment="1" applyProtection="1">
      <alignment horizontal="left" vertical="center"/>
      <protection hidden="1"/>
    </xf>
    <xf numFmtId="184" fontId="190" fillId="54" borderId="70" xfId="0" applyNumberFormat="1" applyFont="1" applyFill="1" applyBorder="1" applyAlignment="1" applyProtection="1">
      <alignment horizontal="center" vertical="center"/>
      <protection hidden="1"/>
    </xf>
    <xf numFmtId="9" fontId="190" fillId="54" borderId="70" xfId="0" applyNumberFormat="1" applyFont="1" applyFill="1" applyBorder="1" applyAlignment="1" applyProtection="1">
      <alignment horizontal="center" vertical="center"/>
      <protection hidden="1"/>
    </xf>
    <xf numFmtId="0" fontId="0" fillId="46" borderId="293" xfId="0" applyFill="1" applyBorder="1" applyAlignment="1">
      <alignment horizontal="center" vertical="center"/>
    </xf>
    <xf numFmtId="1" fontId="233" fillId="46" borderId="293" xfId="0" applyNumberFormat="1" applyFont="1" applyFill="1" applyBorder="1" applyAlignment="1" applyProtection="1">
      <alignment horizontal="center" vertical="center"/>
      <protection hidden="1"/>
    </xf>
    <xf numFmtId="166" fontId="188" fillId="0" borderId="66" xfId="0" applyNumberFormat="1" applyFont="1" applyBorder="1" applyAlignment="1" applyProtection="1">
      <alignment vertical="center"/>
      <protection hidden="1"/>
    </xf>
    <xf numFmtId="1" fontId="270" fillId="0" borderId="225" xfId="0" applyNumberFormat="1" applyFont="1" applyBorder="1" applyAlignment="1" applyProtection="1">
      <alignment horizontal="center" vertical="center"/>
      <protection hidden="1"/>
    </xf>
    <xf numFmtId="1" fontId="286" fillId="0" borderId="225" xfId="0" applyNumberFormat="1" applyFont="1" applyBorder="1" applyAlignment="1" applyProtection="1">
      <alignment horizontal="center" vertical="center"/>
      <protection hidden="1"/>
    </xf>
    <xf numFmtId="181" fontId="281" fillId="0" borderId="363" xfId="0" applyNumberFormat="1" applyFont="1" applyBorder="1" applyAlignment="1" applyProtection="1">
      <alignment horizontal="center" vertical="center"/>
      <protection hidden="1"/>
    </xf>
    <xf numFmtId="181" fontId="285" fillId="0" borderId="363" xfId="0" applyNumberFormat="1" applyFont="1" applyBorder="1" applyAlignment="1" applyProtection="1">
      <alignment horizontal="center" vertical="center"/>
      <protection hidden="1"/>
    </xf>
    <xf numFmtId="168" fontId="190" fillId="54" borderId="391" xfId="0" applyNumberFormat="1" applyFont="1" applyFill="1" applyBorder="1" applyAlignment="1" applyProtection="1">
      <alignment horizontal="center" vertical="center"/>
      <protection hidden="1"/>
    </xf>
    <xf numFmtId="166" fontId="190" fillId="54" borderId="70" xfId="0" applyNumberFormat="1" applyFont="1" applyFill="1" applyBorder="1" applyAlignment="1" applyProtection="1">
      <alignment horizontal="right" vertical="center"/>
      <protection hidden="1"/>
    </xf>
    <xf numFmtId="166" fontId="266" fillId="54" borderId="70" xfId="0" applyNumberFormat="1" applyFont="1" applyFill="1" applyBorder="1" applyAlignment="1" applyProtection="1">
      <alignment horizontal="center" vertical="center"/>
      <protection hidden="1"/>
    </xf>
    <xf numFmtId="166" fontId="266" fillId="54" borderId="70" xfId="0" applyNumberFormat="1" applyFont="1" applyFill="1" applyBorder="1" applyAlignment="1" applyProtection="1">
      <alignment horizontal="right" vertical="center"/>
      <protection hidden="1"/>
    </xf>
    <xf numFmtId="9" fontId="190" fillId="41" borderId="70" xfId="14" applyNumberFormat="1" applyFont="1" applyFill="1" applyBorder="1" applyAlignment="1" applyProtection="1">
      <alignment horizontal="center" vertical="center"/>
      <protection hidden="1"/>
    </xf>
    <xf numFmtId="1" fontId="68" fillId="0" borderId="293" xfId="0" applyNumberFormat="1" applyFont="1" applyBorder="1" applyAlignment="1" applyProtection="1">
      <alignment horizontal="center" vertical="center"/>
      <protection hidden="1"/>
    </xf>
    <xf numFmtId="0" fontId="344" fillId="0" borderId="293" xfId="0" applyFont="1" applyBorder="1" applyAlignment="1" applyProtection="1">
      <alignment horizontal="right" vertical="center"/>
      <protection hidden="1"/>
    </xf>
    <xf numFmtId="0" fontId="286" fillId="0" borderId="225" xfId="0" applyFont="1" applyBorder="1" applyAlignment="1" applyProtection="1">
      <alignment horizontal="center" vertical="center"/>
      <protection hidden="1"/>
    </xf>
    <xf numFmtId="0" fontId="268" fillId="0" borderId="230" xfId="0" applyNumberFormat="1" applyFont="1" applyBorder="1" applyAlignment="1" applyProtection="1">
      <alignment horizontal="center" vertical="center"/>
      <protection hidden="1"/>
    </xf>
    <xf numFmtId="0" fontId="330" fillId="0" borderId="230" xfId="0" applyNumberFormat="1" applyFont="1" applyBorder="1" applyAlignment="1" applyProtection="1">
      <alignment horizontal="center" vertical="center"/>
      <protection hidden="1"/>
    </xf>
    <xf numFmtId="0" fontId="268" fillId="0" borderId="0" xfId="0" applyNumberFormat="1" applyFont="1" applyBorder="1" applyAlignment="1">
      <alignment horizontal="center" vertical="center"/>
    </xf>
    <xf numFmtId="0" fontId="268" fillId="0" borderId="0" xfId="0" applyFont="1" applyBorder="1" applyAlignment="1">
      <alignment horizontal="center" vertical="center"/>
    </xf>
    <xf numFmtId="0" fontId="330" fillId="0" borderId="0" xfId="0" applyFont="1" applyBorder="1" applyAlignment="1">
      <alignment vertical="center"/>
    </xf>
    <xf numFmtId="0" fontId="268" fillId="0" borderId="0" xfId="0" applyFont="1" applyFill="1" applyBorder="1" applyAlignment="1">
      <alignment vertical="center"/>
    </xf>
    <xf numFmtId="2" fontId="248" fillId="59" borderId="415" xfId="0" applyNumberFormat="1" applyFont="1" applyFill="1" applyBorder="1" applyAlignment="1" applyProtection="1">
      <alignment horizontal="center" vertical="center" wrapText="1"/>
      <protection hidden="1"/>
    </xf>
    <xf numFmtId="0" fontId="387" fillId="46" borderId="184" xfId="0" applyFont="1" applyFill="1" applyBorder="1" applyAlignment="1" applyProtection="1">
      <alignment horizontal="left" vertical="center" indent="1"/>
      <protection hidden="1"/>
    </xf>
    <xf numFmtId="166" fontId="188" fillId="46" borderId="185" xfId="0" applyNumberFormat="1" applyFont="1" applyFill="1" applyBorder="1" applyAlignment="1" applyProtection="1">
      <alignment vertical="center"/>
      <protection hidden="1"/>
    </xf>
    <xf numFmtId="166" fontId="188" fillId="46" borderId="184" xfId="0" applyNumberFormat="1" applyFont="1" applyFill="1" applyBorder="1" applyAlignment="1" applyProtection="1">
      <alignment vertical="center"/>
      <protection hidden="1"/>
    </xf>
    <xf numFmtId="166" fontId="16" fillId="46" borderId="185" xfId="0" applyNumberFormat="1" applyFont="1" applyFill="1" applyBorder="1" applyAlignment="1" applyProtection="1">
      <alignment vertical="center"/>
      <protection hidden="1"/>
    </xf>
    <xf numFmtId="0" fontId="380" fillId="0" borderId="225" xfId="0" applyFont="1" applyBorder="1" applyAlignment="1">
      <alignment horizontal="right" vertical="center"/>
    </xf>
    <xf numFmtId="166" fontId="16" fillId="46" borderId="184" xfId="0" applyNumberFormat="1" applyFont="1" applyFill="1" applyBorder="1" applyAlignment="1" applyProtection="1">
      <alignment vertical="center"/>
      <protection hidden="1"/>
    </xf>
    <xf numFmtId="0" fontId="20" fillId="54" borderId="186" xfId="0" applyFont="1" applyFill="1" applyBorder="1" applyAlignment="1" applyProtection="1">
      <alignment horizontal="left" vertical="center" indent="1"/>
      <protection hidden="1"/>
    </xf>
    <xf numFmtId="166" fontId="20" fillId="54" borderId="180" xfId="0" applyNumberFormat="1" applyFont="1" applyFill="1" applyBorder="1" applyAlignment="1" applyProtection="1">
      <alignment vertical="center"/>
      <protection hidden="1"/>
    </xf>
    <xf numFmtId="166" fontId="20" fillId="54" borderId="186" xfId="0" applyNumberFormat="1" applyFont="1" applyFill="1" applyBorder="1" applyAlignment="1" applyProtection="1">
      <alignment vertical="center"/>
      <protection hidden="1"/>
    </xf>
    <xf numFmtId="0" fontId="190" fillId="54" borderId="186" xfId="0" applyFont="1" applyFill="1" applyBorder="1" applyAlignment="1" applyProtection="1">
      <alignment horizontal="left" vertical="center" indent="1"/>
      <protection hidden="1"/>
    </xf>
    <xf numFmtId="9" fontId="190" fillId="54" borderId="180" xfId="0" applyNumberFormat="1" applyFont="1" applyFill="1" applyBorder="1" applyAlignment="1" applyProtection="1">
      <alignment horizontal="center" vertical="center"/>
      <protection hidden="1"/>
    </xf>
    <xf numFmtId="9" fontId="190" fillId="54" borderId="181" xfId="0" applyNumberFormat="1" applyFont="1" applyFill="1" applyBorder="1" applyAlignment="1" applyProtection="1">
      <alignment horizontal="center" vertical="center"/>
      <protection hidden="1"/>
    </xf>
    <xf numFmtId="166" fontId="190" fillId="54" borderId="186" xfId="0" applyNumberFormat="1" applyFont="1" applyFill="1" applyBorder="1" applyAlignment="1" applyProtection="1">
      <alignment horizontal="left" vertical="center" indent="1"/>
      <protection hidden="1"/>
    </xf>
    <xf numFmtId="9" fontId="193" fillId="46" borderId="478" xfId="0" applyNumberFormat="1" applyFont="1" applyFill="1" applyBorder="1" applyAlignment="1" applyProtection="1">
      <alignment horizontal="center" vertical="center" wrapText="1"/>
      <protection locked="0"/>
    </xf>
    <xf numFmtId="168" fontId="195" fillId="0" borderId="455" xfId="0" applyNumberFormat="1" applyFont="1" applyBorder="1" applyAlignment="1" applyProtection="1">
      <alignment horizontal="center" vertical="center" wrapText="1"/>
      <protection hidden="1"/>
    </xf>
    <xf numFmtId="168" fontId="195" fillId="0" borderId="371" xfId="0" applyNumberFormat="1" applyFont="1" applyBorder="1" applyAlignment="1" applyProtection="1">
      <alignment horizontal="center" vertical="center" wrapText="1"/>
      <protection hidden="1"/>
    </xf>
    <xf numFmtId="168" fontId="195" fillId="46" borderId="400" xfId="0" applyNumberFormat="1" applyFont="1" applyFill="1" applyBorder="1" applyAlignment="1" applyProtection="1">
      <alignment horizontal="center" vertical="center" wrapText="1"/>
      <protection hidden="1"/>
    </xf>
    <xf numFmtId="168" fontId="295" fillId="0" borderId="371" xfId="0" applyNumberFormat="1" applyFont="1" applyBorder="1" applyAlignment="1" applyProtection="1">
      <alignment horizontal="center" vertical="center" wrapText="1"/>
      <protection hidden="1"/>
    </xf>
    <xf numFmtId="168" fontId="16" fillId="46" borderId="400" xfId="0" applyNumberFormat="1" applyFont="1" applyFill="1" applyBorder="1" applyAlignment="1" applyProtection="1">
      <alignment horizontal="center" vertical="center"/>
      <protection hidden="1"/>
    </xf>
    <xf numFmtId="168" fontId="190" fillId="54" borderId="479" xfId="0" applyNumberFormat="1" applyFont="1" applyFill="1" applyBorder="1" applyAlignment="1" applyProtection="1">
      <alignment horizontal="center" vertical="center"/>
      <protection hidden="1"/>
    </xf>
    <xf numFmtId="168" fontId="386" fillId="35" borderId="395" xfId="0" applyNumberFormat="1" applyFont="1" applyFill="1" applyBorder="1" applyAlignment="1" applyProtection="1">
      <alignment horizontal="center" vertical="center"/>
      <protection hidden="1"/>
    </xf>
    <xf numFmtId="166" fontId="188" fillId="0" borderId="71" xfId="0" applyNumberFormat="1" applyFont="1" applyFill="1" applyBorder="1" applyAlignment="1" applyProtection="1">
      <alignment vertical="center"/>
      <protection hidden="1"/>
    </xf>
    <xf numFmtId="166" fontId="188" fillId="0" borderId="365" xfId="0" applyNumberFormat="1" applyFont="1" applyFill="1" applyBorder="1" applyAlignment="1" applyProtection="1">
      <alignment vertical="center"/>
      <protection hidden="1"/>
    </xf>
    <xf numFmtId="166" fontId="20" fillId="44" borderId="357" xfId="0" applyNumberFormat="1" applyFont="1" applyFill="1" applyBorder="1" applyAlignment="1" applyProtection="1">
      <alignment vertical="center"/>
      <protection hidden="1"/>
    </xf>
    <xf numFmtId="169" fontId="295" fillId="0" borderId="362" xfId="0" applyNumberFormat="1" applyFont="1" applyFill="1" applyBorder="1" applyAlignment="1" applyProtection="1">
      <alignment horizontal="center" vertical="center"/>
      <protection hidden="1"/>
    </xf>
    <xf numFmtId="169" fontId="295" fillId="0" borderId="480" xfId="0" applyNumberFormat="1" applyFont="1" applyFill="1" applyBorder="1" applyAlignment="1" applyProtection="1">
      <alignment horizontal="center" vertical="center"/>
      <protection hidden="1"/>
    </xf>
    <xf numFmtId="0" fontId="195" fillId="54" borderId="479" xfId="0" applyFont="1" applyFill="1" applyBorder="1" applyAlignment="1" applyProtection="1">
      <alignment horizontal="left" vertical="center" wrapText="1" indent="1"/>
      <protection locked="0"/>
    </xf>
    <xf numFmtId="199" fontId="185" fillId="25" borderId="452" xfId="0" applyNumberFormat="1" applyFont="1" applyFill="1" applyBorder="1" applyAlignment="1" applyProtection="1">
      <alignment horizontal="center" vertical="center"/>
      <protection hidden="1"/>
    </xf>
    <xf numFmtId="166" fontId="189" fillId="46" borderId="370" xfId="0" applyNumberFormat="1" applyFont="1" applyFill="1" applyBorder="1" applyAlignment="1" applyProtection="1">
      <alignment vertical="center"/>
      <protection hidden="1"/>
    </xf>
    <xf numFmtId="166" fontId="188" fillId="0" borderId="318" xfId="0" applyNumberFormat="1" applyFont="1" applyBorder="1" applyAlignment="1" applyProtection="1">
      <alignment horizontal="right" vertical="center"/>
      <protection hidden="1"/>
    </xf>
    <xf numFmtId="166" fontId="188" fillId="46" borderId="399" xfId="0" applyNumberFormat="1" applyFont="1" applyFill="1" applyBorder="1" applyAlignment="1" applyProtection="1">
      <alignment vertical="center"/>
      <protection hidden="1"/>
    </xf>
    <xf numFmtId="166" fontId="188" fillId="0" borderId="293" xfId="0" applyNumberFormat="1" applyFont="1" applyBorder="1" applyAlignment="1" applyProtection="1">
      <alignment horizontal="right" vertical="center"/>
      <protection hidden="1"/>
    </xf>
    <xf numFmtId="166" fontId="16" fillId="46" borderId="399" xfId="0" applyNumberFormat="1" applyFont="1" applyFill="1" applyBorder="1" applyAlignment="1" applyProtection="1">
      <alignment vertical="center"/>
      <protection hidden="1"/>
    </xf>
    <xf numFmtId="166" fontId="20" fillId="54" borderId="181" xfId="0" applyNumberFormat="1" applyFont="1" applyFill="1" applyBorder="1" applyAlignment="1" applyProtection="1">
      <alignment vertical="center"/>
      <protection hidden="1"/>
    </xf>
    <xf numFmtId="9" fontId="195" fillId="46" borderId="482" xfId="0" applyNumberFormat="1" applyFont="1" applyFill="1" applyBorder="1" applyAlignment="1" applyProtection="1">
      <alignment horizontal="center" vertical="center" wrapText="1"/>
      <protection locked="0"/>
    </xf>
    <xf numFmtId="168" fontId="195" fillId="40" borderId="381" xfId="0" applyNumberFormat="1" applyFont="1" applyFill="1" applyBorder="1" applyAlignment="1" applyProtection="1">
      <alignment horizontal="center" vertical="center" wrapText="1"/>
      <protection locked="0"/>
    </xf>
    <xf numFmtId="168" fontId="195" fillId="40" borderId="369" xfId="0" applyNumberFormat="1" applyFont="1" applyFill="1" applyBorder="1" applyAlignment="1" applyProtection="1">
      <alignment horizontal="center" vertical="center" wrapText="1"/>
      <protection locked="0"/>
    </xf>
    <xf numFmtId="168" fontId="195" fillId="46" borderId="483" xfId="0" applyNumberFormat="1" applyFont="1" applyFill="1" applyBorder="1" applyAlignment="1" applyProtection="1">
      <alignment horizontal="center" vertical="center" wrapText="1"/>
      <protection hidden="1"/>
    </xf>
    <xf numFmtId="168" fontId="16" fillId="46" borderId="483" xfId="0" applyNumberFormat="1" applyFont="1" applyFill="1" applyBorder="1" applyAlignment="1" applyProtection="1">
      <alignment horizontal="center" vertical="center"/>
      <protection hidden="1"/>
    </xf>
    <xf numFmtId="168" fontId="190" fillId="54" borderId="484" xfId="0" applyNumberFormat="1" applyFont="1" applyFill="1" applyBorder="1" applyAlignment="1" applyProtection="1">
      <alignment horizontal="center" vertical="center"/>
      <protection hidden="1"/>
    </xf>
    <xf numFmtId="168" fontId="386" fillId="35" borderId="481" xfId="0" applyNumberFormat="1" applyFont="1" applyFill="1" applyBorder="1" applyAlignment="1" applyProtection="1">
      <alignment horizontal="center" vertical="center"/>
      <protection hidden="1"/>
    </xf>
    <xf numFmtId="166" fontId="188" fillId="0" borderId="172" xfId="0" applyNumberFormat="1" applyFont="1" applyFill="1" applyBorder="1" applyAlignment="1" applyProtection="1">
      <alignment vertical="center"/>
      <protection hidden="1"/>
    </xf>
    <xf numFmtId="166" fontId="188" fillId="0" borderId="364" xfId="0" applyNumberFormat="1" applyFont="1" applyFill="1" applyBorder="1" applyAlignment="1" applyProtection="1">
      <alignment vertical="center"/>
      <protection hidden="1"/>
    </xf>
    <xf numFmtId="166" fontId="20" fillId="44" borderId="382" xfId="0" applyNumberFormat="1" applyFont="1" applyFill="1" applyBorder="1" applyAlignment="1" applyProtection="1">
      <alignment vertical="center"/>
      <protection hidden="1"/>
    </xf>
    <xf numFmtId="169" fontId="295" fillId="0" borderId="485" xfId="0" applyNumberFormat="1" applyFont="1" applyFill="1" applyBorder="1" applyAlignment="1" applyProtection="1">
      <alignment horizontal="center" vertical="center"/>
      <protection hidden="1"/>
    </xf>
    <xf numFmtId="199" fontId="195" fillId="40" borderId="486" xfId="0" applyNumberFormat="1" applyFont="1" applyFill="1" applyBorder="1" applyAlignment="1" applyProtection="1">
      <alignment horizontal="center" vertical="center" wrapText="1"/>
      <protection locked="0"/>
    </xf>
    <xf numFmtId="0" fontId="195" fillId="54" borderId="484" xfId="0" applyFont="1" applyFill="1" applyBorder="1" applyAlignment="1" applyProtection="1">
      <alignment horizontal="left" vertical="center" wrapText="1" indent="1"/>
      <protection locked="0"/>
    </xf>
    <xf numFmtId="199" fontId="185" fillId="25" borderId="487" xfId="0" applyNumberFormat="1" applyFont="1" applyFill="1" applyBorder="1" applyAlignment="1" applyProtection="1">
      <alignment horizontal="center" vertical="center"/>
      <protection hidden="1"/>
    </xf>
    <xf numFmtId="176" fontId="18" fillId="67" borderId="160" xfId="0" applyNumberFormat="1" applyFont="1" applyFill="1" applyBorder="1" applyAlignment="1" applyProtection="1">
      <alignment vertical="center"/>
      <protection locked="0"/>
    </xf>
    <xf numFmtId="180" fontId="216" fillId="0" borderId="186" xfId="0" applyNumberFormat="1" applyFont="1" applyFill="1" applyBorder="1" applyAlignment="1" applyProtection="1">
      <alignment horizontal="center" vertical="center"/>
      <protection locked="0"/>
    </xf>
    <xf numFmtId="166" fontId="16" fillId="0" borderId="186" xfId="0" applyNumberFormat="1" applyFont="1" applyBorder="1" applyAlignment="1" applyProtection="1">
      <alignment horizontal="right" vertical="center"/>
      <protection locked="0"/>
    </xf>
    <xf numFmtId="168" fontId="245" fillId="0" borderId="186" xfId="0" applyNumberFormat="1" applyFont="1" applyFill="1" applyBorder="1" applyAlignment="1" applyProtection="1">
      <alignment horizontal="center" vertical="center"/>
      <protection locked="0"/>
    </xf>
    <xf numFmtId="180" fontId="216" fillId="0" borderId="66" xfId="0" applyNumberFormat="1" applyFont="1" applyFill="1" applyBorder="1" applyAlignment="1" applyProtection="1">
      <alignment horizontal="center" vertical="center"/>
      <protection locked="0"/>
    </xf>
    <xf numFmtId="166" fontId="16" fillId="0" borderId="66" xfId="0" applyNumberFormat="1" applyFont="1" applyBorder="1" applyAlignment="1" applyProtection="1">
      <alignment horizontal="right" vertical="center"/>
      <protection locked="0"/>
    </xf>
    <xf numFmtId="168" fontId="245" fillId="0" borderId="66" xfId="0" applyNumberFormat="1" applyFont="1" applyFill="1" applyBorder="1" applyAlignment="1" applyProtection="1">
      <alignment horizontal="center" vertical="center"/>
      <protection locked="0"/>
    </xf>
    <xf numFmtId="180" fontId="216" fillId="0" borderId="391" xfId="0" applyNumberFormat="1" applyFont="1" applyFill="1" applyBorder="1" applyAlignment="1" applyProtection="1">
      <alignment horizontal="center" vertical="center"/>
      <protection locked="0"/>
    </xf>
    <xf numFmtId="166" fontId="16" fillId="0" borderId="391" xfId="0" applyNumberFormat="1" applyFont="1" applyBorder="1" applyAlignment="1" applyProtection="1">
      <alignment horizontal="right" vertical="center"/>
      <protection locked="0"/>
    </xf>
    <xf numFmtId="168" fontId="245" fillId="0" borderId="391" xfId="0" applyNumberFormat="1" applyFont="1" applyFill="1" applyBorder="1" applyAlignment="1" applyProtection="1">
      <alignment horizontal="center" vertical="center"/>
      <protection locked="0"/>
    </xf>
    <xf numFmtId="180" fontId="216" fillId="0" borderId="225" xfId="0" applyNumberFormat="1" applyFont="1" applyFill="1" applyBorder="1" applyAlignment="1" applyProtection="1">
      <alignment horizontal="center" vertical="center"/>
      <protection locked="0"/>
    </xf>
    <xf numFmtId="166" fontId="16" fillId="0" borderId="225" xfId="0" applyNumberFormat="1" applyFont="1" applyBorder="1" applyAlignment="1" applyProtection="1">
      <alignment horizontal="right" vertical="center"/>
      <protection locked="0"/>
    </xf>
    <xf numFmtId="168" fontId="245" fillId="0" borderId="225" xfId="0" applyNumberFormat="1" applyFont="1" applyFill="1" applyBorder="1" applyAlignment="1" applyProtection="1">
      <alignment horizontal="center" vertical="center"/>
      <protection locked="0"/>
    </xf>
    <xf numFmtId="198" fontId="216" fillId="0" borderId="492" xfId="0" applyNumberFormat="1" applyFont="1" applyBorder="1" applyAlignment="1" applyProtection="1">
      <alignment horizontal="right" vertical="center"/>
      <protection locked="0"/>
    </xf>
    <xf numFmtId="166" fontId="16" fillId="0" borderId="150" xfId="0" applyNumberFormat="1" applyFont="1" applyBorder="1" applyAlignment="1" applyProtection="1">
      <alignment horizontal="right" vertical="center"/>
      <protection locked="0"/>
    </xf>
    <xf numFmtId="166" fontId="16" fillId="67" borderId="203" xfId="0" applyNumberFormat="1" applyFont="1" applyFill="1" applyBorder="1" applyAlignment="1" applyProtection="1">
      <alignment horizontal="right" vertical="center"/>
      <protection locked="0"/>
    </xf>
    <xf numFmtId="166" fontId="16" fillId="67" borderId="160" xfId="0" applyNumberFormat="1" applyFont="1" applyFill="1" applyBorder="1" applyAlignment="1" applyProtection="1">
      <alignment horizontal="right" vertical="center"/>
      <protection locked="0"/>
    </xf>
    <xf numFmtId="166" fontId="16" fillId="0" borderId="66" xfId="0" applyNumberFormat="1" applyFont="1" applyBorder="1" applyAlignment="1" applyProtection="1">
      <alignment horizontal="right" vertical="center"/>
      <protection hidden="1"/>
    </xf>
    <xf numFmtId="9" fontId="216" fillId="0" borderId="0" xfId="0" applyNumberFormat="1" applyFont="1" applyFill="1" applyBorder="1" applyAlignment="1" applyProtection="1">
      <alignment horizontal="center" vertical="center"/>
      <protection hidden="1"/>
    </xf>
    <xf numFmtId="9" fontId="216" fillId="0" borderId="150" xfId="0" applyNumberFormat="1" applyFont="1" applyFill="1" applyBorder="1" applyAlignment="1" applyProtection="1">
      <alignment horizontal="center" vertical="center"/>
      <protection hidden="1"/>
    </xf>
    <xf numFmtId="166" fontId="16" fillId="0" borderId="66" xfId="0" applyNumberFormat="1" applyFont="1" applyBorder="1" applyAlignment="1" applyProtection="1">
      <alignment vertical="center"/>
      <protection hidden="1"/>
    </xf>
    <xf numFmtId="166" fontId="16" fillId="0" borderId="186" xfId="0" applyNumberFormat="1" applyFont="1" applyBorder="1" applyAlignment="1" applyProtection="1">
      <alignment vertical="center"/>
      <protection hidden="1"/>
    </xf>
    <xf numFmtId="166" fontId="16" fillId="0" borderId="391" xfId="0" applyNumberFormat="1" applyFont="1" applyBorder="1" applyAlignment="1" applyProtection="1">
      <alignment vertical="center"/>
      <protection hidden="1"/>
    </xf>
    <xf numFmtId="0" fontId="62" fillId="59" borderId="222" xfId="0" applyFont="1" applyFill="1" applyBorder="1" applyAlignment="1" applyProtection="1">
      <alignment horizontal="center" vertical="center"/>
      <protection hidden="1"/>
    </xf>
    <xf numFmtId="200" fontId="385" fillId="0" borderId="67" xfId="0" applyNumberFormat="1" applyFont="1" applyFill="1" applyBorder="1" applyAlignment="1" applyProtection="1">
      <alignment horizontal="center" vertical="center"/>
      <protection locked="0"/>
    </xf>
    <xf numFmtId="168" fontId="245" fillId="0" borderId="353" xfId="0" applyNumberFormat="1" applyFont="1" applyFill="1" applyBorder="1" applyAlignment="1" applyProtection="1">
      <alignment horizontal="center" vertical="center"/>
      <protection hidden="1"/>
    </xf>
    <xf numFmtId="201" fontId="245" fillId="0" borderId="67" xfId="0" applyNumberFormat="1" applyFont="1" applyFill="1" applyBorder="1" applyAlignment="1" applyProtection="1">
      <alignment horizontal="center" vertical="center"/>
      <protection locked="0"/>
    </xf>
    <xf numFmtId="168" fontId="245" fillId="0" borderId="352" xfId="0" applyNumberFormat="1" applyFont="1" applyFill="1" applyBorder="1" applyAlignment="1" applyProtection="1">
      <alignment horizontal="center" vertical="center"/>
      <protection locked="0"/>
    </xf>
    <xf numFmtId="0" fontId="30" fillId="59" borderId="247" xfId="0" applyFont="1" applyFill="1" applyBorder="1" applyAlignment="1" applyProtection="1">
      <alignment horizontal="center" vertical="top"/>
      <protection hidden="1"/>
    </xf>
    <xf numFmtId="166" fontId="18" fillId="0" borderId="70" xfId="14" applyNumberFormat="1" applyFont="1" applyFill="1" applyBorder="1" applyAlignment="1" applyProtection="1">
      <alignment vertical="center"/>
      <protection hidden="1"/>
    </xf>
    <xf numFmtId="3" fontId="18" fillId="0" borderId="70" xfId="0" applyNumberFormat="1" applyFont="1" applyFill="1" applyBorder="1" applyAlignment="1" applyProtection="1">
      <alignment horizontal="right" vertical="center" indent="1"/>
      <protection hidden="1"/>
    </xf>
    <xf numFmtId="3" fontId="18" fillId="46" borderId="70" xfId="0" applyNumberFormat="1" applyFont="1" applyFill="1" applyBorder="1" applyAlignment="1" applyProtection="1">
      <alignment horizontal="right" vertical="center" indent="1"/>
      <protection hidden="1"/>
    </xf>
    <xf numFmtId="0" fontId="104" fillId="65" borderId="373" xfId="17" applyFont="1" applyFill="1" applyBorder="1" applyAlignment="1" applyProtection="1">
      <alignment horizontal="center"/>
      <protection hidden="1"/>
    </xf>
    <xf numFmtId="166" fontId="208" fillId="0" borderId="318" xfId="0" applyNumberFormat="1" applyFont="1" applyBorder="1" applyAlignment="1" applyProtection="1">
      <alignment horizontal="right" vertical="center"/>
      <protection hidden="1"/>
    </xf>
    <xf numFmtId="166" fontId="208" fillId="0" borderId="245" xfId="0" applyNumberFormat="1" applyFont="1" applyBorder="1" applyAlignment="1" applyProtection="1">
      <alignment horizontal="right" vertical="center"/>
      <protection hidden="1"/>
    </xf>
    <xf numFmtId="166" fontId="208" fillId="0" borderId="293" xfId="0" applyNumberFormat="1" applyFont="1" applyBorder="1" applyAlignment="1" applyProtection="1">
      <alignment horizontal="right" vertical="center"/>
      <protection hidden="1"/>
    </xf>
    <xf numFmtId="166" fontId="208" fillId="0" borderId="323" xfId="0" applyNumberFormat="1" applyFont="1" applyBorder="1" applyAlignment="1" applyProtection="1">
      <alignment horizontal="right" vertical="center"/>
      <protection hidden="1"/>
    </xf>
    <xf numFmtId="166" fontId="292" fillId="0" borderId="204" xfId="0" applyNumberFormat="1" applyFont="1" applyBorder="1" applyAlignment="1" applyProtection="1">
      <alignment horizontal="right" vertical="center"/>
      <protection hidden="1"/>
    </xf>
    <xf numFmtId="166" fontId="292" fillId="0" borderId="161" xfId="0" applyNumberFormat="1" applyFont="1" applyBorder="1" applyAlignment="1" applyProtection="1">
      <alignment horizontal="right" vertical="center"/>
      <protection hidden="1"/>
    </xf>
    <xf numFmtId="166" fontId="292" fillId="0" borderId="0" xfId="0" applyNumberFormat="1" applyFont="1" applyBorder="1" applyAlignment="1" applyProtection="1">
      <alignment horizontal="right" vertical="center"/>
      <protection hidden="1"/>
    </xf>
    <xf numFmtId="166" fontId="292" fillId="0" borderId="160" xfId="0" applyNumberFormat="1" applyFont="1" applyBorder="1" applyAlignment="1" applyProtection="1">
      <alignment horizontal="right" vertical="center"/>
      <protection hidden="1"/>
    </xf>
    <xf numFmtId="1" fontId="205" fillId="0" borderId="0" xfId="0" applyNumberFormat="1" applyFont="1" applyBorder="1" applyAlignment="1" applyProtection="1">
      <alignment horizontal="center" vertical="center"/>
      <protection hidden="1"/>
    </xf>
    <xf numFmtId="0" fontId="207" fillId="0" borderId="293" xfId="0" applyFont="1" applyBorder="1" applyAlignment="1" applyProtection="1">
      <alignment horizontal="center" vertical="center"/>
      <protection hidden="1"/>
    </xf>
    <xf numFmtId="174" fontId="104" fillId="27" borderId="247" xfId="0" applyNumberFormat="1" applyFont="1" applyFill="1" applyBorder="1" applyAlignment="1" applyProtection="1">
      <alignment horizontal="center" vertical="top"/>
      <protection hidden="1"/>
    </xf>
    <xf numFmtId="174" fontId="104" fillId="27" borderId="498" xfId="0" applyNumberFormat="1" applyFont="1" applyFill="1" applyBorder="1" applyAlignment="1" applyProtection="1">
      <alignment horizontal="center" vertical="top"/>
      <protection hidden="1"/>
    </xf>
    <xf numFmtId="174" fontId="104" fillId="65" borderId="493" xfId="17" applyNumberFormat="1" applyFont="1" applyFill="1" applyBorder="1" applyAlignment="1" applyProtection="1">
      <alignment horizontal="center" vertical="top"/>
      <protection hidden="1"/>
    </xf>
    <xf numFmtId="174" fontId="104" fillId="65" borderId="247" xfId="17" applyNumberFormat="1" applyFont="1" applyFill="1" applyBorder="1" applyAlignment="1" applyProtection="1">
      <alignment horizontal="center" vertical="top"/>
      <protection hidden="1"/>
    </xf>
    <xf numFmtId="174" fontId="104" fillId="65" borderId="248" xfId="17" applyNumberFormat="1" applyFont="1" applyFill="1" applyBorder="1" applyAlignment="1" applyProtection="1">
      <alignment horizontal="center" vertical="top"/>
      <protection hidden="1"/>
    </xf>
    <xf numFmtId="179" fontId="16" fillId="0" borderId="245" xfId="0" applyNumberFormat="1" applyFont="1" applyFill="1" applyBorder="1" applyAlignment="1" applyProtection="1">
      <alignment vertical="center"/>
      <protection hidden="1"/>
    </xf>
    <xf numFmtId="179" fontId="16" fillId="0" borderId="364" xfId="0" applyNumberFormat="1" applyFont="1" applyFill="1" applyBorder="1" applyAlignment="1" applyProtection="1">
      <alignment vertical="center"/>
      <protection hidden="1"/>
    </xf>
    <xf numFmtId="0" fontId="20" fillId="65" borderId="135" xfId="0" applyFont="1" applyFill="1" applyBorder="1" applyAlignment="1" applyProtection="1">
      <alignment horizontal="center" vertical="center"/>
      <protection hidden="1"/>
    </xf>
    <xf numFmtId="179" fontId="16" fillId="0" borderId="293" xfId="0" applyNumberFormat="1" applyFont="1" applyFill="1" applyBorder="1" applyAlignment="1" applyProtection="1">
      <alignment vertical="center"/>
      <protection hidden="1"/>
    </xf>
    <xf numFmtId="177" fontId="190" fillId="44" borderId="218" xfId="0" applyNumberFormat="1" applyFont="1" applyFill="1" applyBorder="1" applyAlignment="1" applyProtection="1">
      <alignment vertical="center"/>
      <protection hidden="1"/>
    </xf>
    <xf numFmtId="179" fontId="190" fillId="44" borderId="218" xfId="0" applyNumberFormat="1" applyFont="1" applyFill="1" applyBorder="1" applyAlignment="1" applyProtection="1">
      <alignment vertical="center"/>
      <protection hidden="1"/>
    </xf>
    <xf numFmtId="179" fontId="190" fillId="44" borderId="244" xfId="0" applyNumberFormat="1" applyFont="1" applyFill="1" applyBorder="1" applyAlignment="1" applyProtection="1">
      <alignment vertical="center"/>
      <protection hidden="1"/>
    </xf>
    <xf numFmtId="179" fontId="18" fillId="46" borderId="447" xfId="0" applyNumberFormat="1" applyFont="1" applyFill="1" applyBorder="1" applyAlignment="1" applyProtection="1">
      <alignment vertical="center"/>
      <protection hidden="1"/>
    </xf>
    <xf numFmtId="179" fontId="16" fillId="46" borderId="245" xfId="0" applyNumberFormat="1" applyFont="1" applyFill="1" applyBorder="1" applyAlignment="1" applyProtection="1">
      <alignment vertical="center"/>
      <protection hidden="1"/>
    </xf>
    <xf numFmtId="179" fontId="16" fillId="0" borderId="368" xfId="0" applyNumberFormat="1" applyFont="1" applyFill="1" applyBorder="1" applyAlignment="1" applyProtection="1">
      <alignment vertical="center"/>
      <protection hidden="1"/>
    </xf>
    <xf numFmtId="0" fontId="60" fillId="0" borderId="235" xfId="0" applyFont="1" applyBorder="1" applyAlignment="1" applyProtection="1">
      <alignment horizontal="left" vertical="center" indent="1"/>
      <protection hidden="1"/>
    </xf>
    <xf numFmtId="0" fontId="60" fillId="0" borderId="236" xfId="0" applyFont="1" applyBorder="1" applyAlignment="1" applyProtection="1">
      <alignment horizontal="left" vertical="center" indent="1"/>
      <protection hidden="1"/>
    </xf>
    <xf numFmtId="0" fontId="57" fillId="0" borderId="235" xfId="0" quotePrefix="1" applyFont="1" applyBorder="1" applyAlignment="1" applyProtection="1">
      <alignment horizontal="left" vertical="center" indent="1"/>
      <protection hidden="1"/>
    </xf>
    <xf numFmtId="0" fontId="60" fillId="0" borderId="224" xfId="0" applyFont="1" applyBorder="1" applyAlignment="1" applyProtection="1">
      <alignment horizontal="left" vertical="center" indent="1"/>
      <protection hidden="1"/>
    </xf>
    <xf numFmtId="0" fontId="185" fillId="59" borderId="375" xfId="0" applyFont="1" applyFill="1" applyBorder="1" applyAlignment="1" applyProtection="1">
      <alignment horizontal="left" vertical="center" indent="1"/>
      <protection hidden="1"/>
    </xf>
    <xf numFmtId="0" fontId="248" fillId="55" borderId="243" xfId="0" applyFont="1" applyFill="1" applyBorder="1" applyAlignment="1" applyProtection="1">
      <alignment horizontal="left" vertical="center" indent="1"/>
      <protection hidden="1"/>
    </xf>
    <xf numFmtId="0" fontId="292" fillId="0" borderId="167" xfId="0" applyFont="1" applyBorder="1" applyAlignment="1" applyProtection="1">
      <alignment horizontal="left" vertical="center" indent="1"/>
      <protection hidden="1"/>
    </xf>
    <xf numFmtId="0" fontId="292" fillId="0" borderId="365" xfId="0" applyFont="1" applyBorder="1" applyAlignment="1" applyProtection="1">
      <alignment horizontal="left" vertical="center" indent="1"/>
      <protection hidden="1"/>
    </xf>
    <xf numFmtId="169" fontId="281" fillId="0" borderId="161" xfId="0" quotePrefix="1" applyNumberFormat="1" applyFont="1" applyFill="1" applyBorder="1" applyAlignment="1" applyProtection="1">
      <alignment horizontal="center" vertical="center"/>
      <protection hidden="1"/>
    </xf>
    <xf numFmtId="169" fontId="0" fillId="0" borderId="245" xfId="0" applyNumberFormat="1" applyBorder="1" applyAlignment="1" applyProtection="1">
      <alignment horizontal="center" vertical="center"/>
      <protection hidden="1"/>
    </xf>
    <xf numFmtId="1" fontId="68" fillId="0" borderId="245" xfId="0" applyNumberFormat="1" applyFont="1" applyBorder="1" applyAlignment="1" applyProtection="1">
      <alignment horizontal="center" vertical="center"/>
      <protection hidden="1"/>
    </xf>
    <xf numFmtId="193" fontId="281" fillId="0" borderId="68" xfId="0" applyNumberFormat="1" applyFont="1" applyBorder="1" applyAlignment="1" applyProtection="1">
      <alignment horizontal="center" vertical="center"/>
      <protection hidden="1"/>
    </xf>
    <xf numFmtId="1" fontId="270" fillId="0" borderId="68" xfId="0" applyNumberFormat="1" applyFont="1" applyBorder="1" applyAlignment="1" applyProtection="1">
      <alignment horizontal="center" vertical="center"/>
      <protection hidden="1"/>
    </xf>
    <xf numFmtId="181" fontId="281" fillId="0" borderId="68" xfId="0" applyNumberFormat="1" applyFont="1" applyBorder="1" applyAlignment="1" applyProtection="1">
      <alignment horizontal="center" vertical="center"/>
      <protection hidden="1"/>
    </xf>
    <xf numFmtId="193" fontId="285" fillId="0" borderId="68" xfId="0" applyNumberFormat="1" applyFont="1" applyBorder="1" applyAlignment="1" applyProtection="1">
      <alignment horizontal="center" vertical="center"/>
      <protection hidden="1"/>
    </xf>
    <xf numFmtId="1" fontId="286" fillId="0" borderId="68" xfId="0" applyNumberFormat="1" applyFont="1" applyBorder="1" applyAlignment="1" applyProtection="1">
      <alignment horizontal="center" vertical="center"/>
      <protection hidden="1"/>
    </xf>
    <xf numFmtId="181" fontId="285" fillId="0" borderId="68" xfId="0" applyNumberFormat="1" applyFont="1" applyBorder="1" applyAlignment="1" applyProtection="1">
      <alignment horizontal="center" vertical="center"/>
      <protection hidden="1"/>
    </xf>
    <xf numFmtId="169" fontId="281" fillId="0" borderId="257" xfId="0" applyNumberFormat="1" applyFont="1" applyBorder="1" applyAlignment="1" applyProtection="1">
      <alignment horizontal="center" vertical="center"/>
      <protection hidden="1"/>
    </xf>
    <xf numFmtId="169" fontId="285" fillId="0" borderId="257" xfId="0" applyNumberFormat="1" applyFont="1" applyBorder="1" applyAlignment="1" applyProtection="1">
      <alignment horizontal="center" vertical="center"/>
      <protection hidden="1"/>
    </xf>
    <xf numFmtId="169" fontId="281" fillId="0" borderId="291" xfId="0" quotePrefix="1" applyNumberFormat="1" applyFont="1" applyFill="1" applyBorder="1" applyAlignment="1" applyProtection="1">
      <alignment horizontal="center" vertical="center"/>
      <protection hidden="1"/>
    </xf>
    <xf numFmtId="169" fontId="0" fillId="0" borderId="364" xfId="0" applyNumberFormat="1" applyBorder="1" applyAlignment="1" applyProtection="1">
      <alignment horizontal="center" vertical="center"/>
      <protection hidden="1"/>
    </xf>
    <xf numFmtId="1" fontId="270" fillId="0" borderId="363" xfId="0" applyNumberFormat="1" applyFont="1" applyBorder="1" applyAlignment="1" applyProtection="1">
      <alignment horizontal="center" vertical="center"/>
      <protection hidden="1"/>
    </xf>
    <xf numFmtId="1" fontId="286" fillId="0" borderId="363" xfId="0" applyNumberFormat="1" applyFont="1" applyBorder="1" applyAlignment="1" applyProtection="1">
      <alignment horizontal="center" vertical="center"/>
      <protection hidden="1"/>
    </xf>
    <xf numFmtId="166" fontId="188" fillId="0" borderId="186" xfId="0" applyNumberFormat="1" applyFont="1" applyBorder="1" applyAlignment="1" applyProtection="1">
      <alignment vertical="center"/>
      <protection hidden="1"/>
    </xf>
    <xf numFmtId="0" fontId="20" fillId="26" borderId="414" xfId="0" applyFont="1" applyFill="1" applyBorder="1" applyAlignment="1" applyProtection="1">
      <alignment horizontal="left" vertical="center" indent="1"/>
      <protection hidden="1"/>
    </xf>
    <xf numFmtId="174" fontId="104" fillId="0" borderId="0" xfId="0" applyNumberFormat="1" applyFont="1" applyFill="1" applyBorder="1" applyAlignment="1" applyProtection="1">
      <alignment horizontal="right" vertical="center"/>
      <protection locked="0"/>
    </xf>
    <xf numFmtId="166" fontId="16" fillId="0" borderId="160" xfId="0" applyNumberFormat="1" applyFont="1" applyFill="1" applyBorder="1" applyAlignment="1" applyProtection="1">
      <alignment horizontal="center"/>
      <protection locked="0"/>
    </xf>
    <xf numFmtId="0" fontId="303" fillId="0" borderId="0" xfId="0" applyFont="1" applyFill="1" applyBorder="1" applyAlignment="1" applyProtection="1">
      <alignment horizontal="center" vertical="center"/>
      <protection hidden="1"/>
    </xf>
    <xf numFmtId="0" fontId="292" fillId="0" borderId="71" xfId="0" applyFont="1" applyBorder="1" applyAlignment="1" applyProtection="1">
      <alignment horizontal="left" vertical="center" indent="1"/>
      <protection hidden="1"/>
    </xf>
    <xf numFmtId="0" fontId="292" fillId="0" borderId="235" xfId="0" applyFont="1" applyBorder="1" applyAlignment="1" applyProtection="1">
      <alignment horizontal="left" vertical="center" indent="1"/>
      <protection hidden="1"/>
    </xf>
    <xf numFmtId="0" fontId="292" fillId="0" borderId="224" xfId="0" applyFont="1" applyBorder="1" applyAlignment="1" applyProtection="1">
      <alignment horizontal="left" vertical="center" indent="1"/>
      <protection hidden="1"/>
    </xf>
    <xf numFmtId="0" fontId="190" fillId="59" borderId="136" xfId="0" applyFont="1" applyFill="1" applyBorder="1" applyAlignment="1" applyProtection="1">
      <alignment horizontal="left" vertical="center" indent="1"/>
      <protection hidden="1"/>
    </xf>
    <xf numFmtId="166" fontId="292" fillId="0" borderId="71" xfId="0" applyNumberFormat="1" applyFont="1" applyBorder="1" applyAlignment="1" applyProtection="1">
      <alignment horizontal="right" vertical="center"/>
      <protection locked="0"/>
    </xf>
    <xf numFmtId="166" fontId="292" fillId="0" borderId="235" xfId="0" applyNumberFormat="1" applyFont="1" applyBorder="1" applyAlignment="1" applyProtection="1">
      <alignment horizontal="right" vertical="center"/>
      <protection locked="0"/>
    </xf>
    <xf numFmtId="166" fontId="292" fillId="0" borderId="224" xfId="0" applyNumberFormat="1" applyFont="1" applyBorder="1" applyAlignment="1" applyProtection="1">
      <alignment horizontal="right" vertical="center"/>
      <protection locked="0"/>
    </xf>
    <xf numFmtId="166" fontId="190" fillId="59" borderId="136" xfId="0" applyNumberFormat="1" applyFont="1" applyFill="1" applyBorder="1" applyAlignment="1" applyProtection="1">
      <alignment vertical="center"/>
      <protection hidden="1"/>
    </xf>
    <xf numFmtId="208" fontId="403" fillId="0" borderId="362" xfId="0" applyNumberFormat="1" applyFont="1" applyBorder="1" applyAlignment="1" applyProtection="1">
      <alignment horizontal="center" vertical="center"/>
      <protection hidden="1"/>
    </xf>
    <xf numFmtId="208" fontId="403" fillId="0" borderId="453" xfId="0" applyNumberFormat="1" applyFont="1" applyBorder="1" applyAlignment="1" applyProtection="1">
      <alignment horizontal="center" vertical="center"/>
      <protection hidden="1"/>
    </xf>
    <xf numFmtId="208" fontId="403" fillId="0" borderId="371" xfId="0" applyNumberFormat="1" applyFont="1" applyBorder="1" applyAlignment="1" applyProtection="1">
      <alignment horizontal="center" vertical="center"/>
      <protection hidden="1"/>
    </xf>
    <xf numFmtId="168" fontId="190" fillId="59" borderId="395" xfId="0" applyNumberFormat="1" applyFont="1" applyFill="1" applyBorder="1" applyAlignment="1" applyProtection="1">
      <alignment horizontal="center" vertical="center"/>
      <protection hidden="1"/>
    </xf>
    <xf numFmtId="166" fontId="16" fillId="0" borderId="136" xfId="0" applyNumberFormat="1" applyFont="1" applyBorder="1" applyAlignment="1" applyProtection="1">
      <alignment horizontal="right" vertical="center"/>
      <protection locked="0"/>
    </xf>
    <xf numFmtId="208" fontId="403" fillId="0" borderId="395" xfId="0" applyNumberFormat="1" applyFont="1" applyBorder="1" applyAlignment="1" applyProtection="1">
      <alignment horizontal="center" vertical="center"/>
      <protection hidden="1"/>
    </xf>
    <xf numFmtId="0" fontId="292" fillId="0" borderId="229" xfId="0" applyFont="1" applyBorder="1" applyAlignment="1" applyProtection="1">
      <alignment horizontal="left" vertical="center" indent="1"/>
      <protection hidden="1"/>
    </xf>
    <xf numFmtId="166" fontId="292" fillId="0" borderId="229" xfId="0" applyNumberFormat="1" applyFont="1" applyBorder="1" applyAlignment="1" applyProtection="1">
      <alignment horizontal="right" vertical="center"/>
      <protection locked="0"/>
    </xf>
    <xf numFmtId="168" fontId="60" fillId="0" borderId="450" xfId="0" applyNumberFormat="1" applyFont="1" applyBorder="1" applyAlignment="1" applyProtection="1">
      <alignment horizontal="center" vertical="center"/>
      <protection locked="0"/>
    </xf>
    <xf numFmtId="168" fontId="60" fillId="0" borderId="371" xfId="0" applyNumberFormat="1" applyFont="1" applyBorder="1" applyAlignment="1" applyProtection="1">
      <alignment horizontal="center" vertical="center"/>
      <protection locked="0"/>
    </xf>
    <xf numFmtId="9" fontId="190" fillId="59" borderId="395" xfId="0" applyNumberFormat="1" applyFont="1" applyFill="1" applyBorder="1" applyAlignment="1" applyProtection="1">
      <alignment horizontal="center" vertical="center"/>
      <protection hidden="1"/>
    </xf>
    <xf numFmtId="0" fontId="292" fillId="0" borderId="71" xfId="0" applyFont="1" applyFill="1" applyBorder="1" applyAlignment="1" applyProtection="1">
      <alignment horizontal="left" vertical="center" indent="1"/>
      <protection hidden="1"/>
    </xf>
    <xf numFmtId="0" fontId="57" fillId="0" borderId="224" xfId="0" quotePrefix="1" applyFont="1" applyBorder="1" applyAlignment="1" applyProtection="1">
      <alignment horizontal="left" vertical="center" indent="1"/>
      <protection hidden="1"/>
    </xf>
    <xf numFmtId="0" fontId="16" fillId="0" borderId="224" xfId="0" applyFont="1" applyBorder="1" applyAlignment="1" applyProtection="1">
      <alignment horizontal="right" indent="1"/>
      <protection hidden="1"/>
    </xf>
    <xf numFmtId="0" fontId="19" fillId="0" borderId="293" xfId="0" applyFont="1" applyBorder="1" applyAlignment="1" applyProtection="1">
      <alignment horizontal="center"/>
      <protection hidden="1"/>
    </xf>
    <xf numFmtId="0" fontId="292" fillId="0" borderId="237" xfId="0" applyFont="1" applyBorder="1" applyAlignment="1" applyProtection="1">
      <alignment horizontal="left" vertical="center" indent="1"/>
      <protection hidden="1"/>
    </xf>
    <xf numFmtId="0" fontId="159" fillId="0" borderId="235" xfId="0" applyFont="1" applyBorder="1" applyAlignment="1" applyProtection="1">
      <alignment horizontal="left" vertical="center" indent="2"/>
      <protection hidden="1"/>
    </xf>
    <xf numFmtId="0" fontId="204" fillId="0" borderId="224" xfId="0" applyFont="1" applyBorder="1" applyAlignment="1" applyProtection="1">
      <alignment horizontal="left" vertical="center" indent="1"/>
      <protection hidden="1"/>
    </xf>
    <xf numFmtId="0" fontId="57" fillId="0" borderId="235" xfId="0" quotePrefix="1" applyFont="1" applyBorder="1" applyAlignment="1" applyProtection="1">
      <alignment horizontal="left" vertical="center" indent="1"/>
      <protection locked="0"/>
    </xf>
    <xf numFmtId="0" fontId="57" fillId="0" borderId="224" xfId="0" quotePrefix="1" applyFont="1" applyBorder="1" applyAlignment="1" applyProtection="1">
      <alignment horizontal="left" vertical="center" indent="1"/>
      <protection locked="0"/>
    </xf>
    <xf numFmtId="166" fontId="106" fillId="0" borderId="0" xfId="0" applyNumberFormat="1" applyFont="1" applyFill="1" applyBorder="1" applyProtection="1">
      <alignment horizontal="right"/>
      <protection locked="0"/>
    </xf>
    <xf numFmtId="166" fontId="37" fillId="0" borderId="393" xfId="0" applyNumberFormat="1" applyFont="1" applyFill="1" applyBorder="1" applyProtection="1">
      <alignment horizontal="right"/>
      <protection locked="0"/>
    </xf>
    <xf numFmtId="166" fontId="182" fillId="0" borderId="0" xfId="0" applyNumberFormat="1" applyFont="1" applyFill="1" applyBorder="1" applyProtection="1">
      <alignment horizontal="right"/>
      <protection locked="0"/>
    </xf>
    <xf numFmtId="166" fontId="25" fillId="0" borderId="0" xfId="0" applyNumberFormat="1" applyFont="1" applyFill="1" applyBorder="1" applyProtection="1">
      <alignment horizontal="right"/>
      <protection locked="0"/>
    </xf>
    <xf numFmtId="166" fontId="57" fillId="0" borderId="224" xfId="0" applyNumberFormat="1" applyFont="1" applyFill="1" applyBorder="1" applyAlignment="1" applyProtection="1">
      <alignment horizontal="right" vertical="center"/>
      <protection locked="0"/>
    </xf>
    <xf numFmtId="166" fontId="16" fillId="0" borderId="224" xfId="0" applyNumberFormat="1" applyFont="1" applyBorder="1" applyAlignment="1" applyProtection="1">
      <alignment horizontal="right" vertical="center"/>
      <protection hidden="1"/>
    </xf>
    <xf numFmtId="168" fontId="159" fillId="0" borderId="235" xfId="0" applyNumberFormat="1" applyFont="1" applyBorder="1" applyAlignment="1" applyProtection="1">
      <alignment horizontal="center" vertical="center"/>
      <protection hidden="1"/>
    </xf>
    <xf numFmtId="166" fontId="186" fillId="0" borderId="224" xfId="0" applyNumberFormat="1" applyFont="1" applyBorder="1" applyAlignment="1" applyProtection="1">
      <alignment horizontal="right" vertical="center"/>
      <protection hidden="1"/>
    </xf>
    <xf numFmtId="166" fontId="57" fillId="0" borderId="235" xfId="0" applyNumberFormat="1" applyFont="1" applyBorder="1" applyAlignment="1" applyProtection="1">
      <alignment vertical="center"/>
      <protection locked="0"/>
    </xf>
    <xf numFmtId="166" fontId="57" fillId="0" borderId="224" xfId="0" applyNumberFormat="1" applyFont="1" applyBorder="1" applyAlignment="1" applyProtection="1">
      <alignment vertical="center"/>
      <protection locked="0"/>
    </xf>
    <xf numFmtId="166" fontId="20" fillId="26" borderId="502" xfId="0" applyNumberFormat="1" applyFont="1" applyFill="1" applyBorder="1" applyAlignment="1" applyProtection="1">
      <alignment vertical="center"/>
      <protection hidden="1"/>
    </xf>
    <xf numFmtId="166" fontId="25" fillId="46" borderId="72" xfId="0" applyNumberFormat="1" applyFont="1" applyFill="1" applyBorder="1" applyAlignment="1" applyProtection="1">
      <alignment vertical="center"/>
      <protection hidden="1"/>
    </xf>
    <xf numFmtId="166" fontId="57" fillId="0" borderId="224" xfId="0" applyNumberFormat="1" applyFont="1" applyBorder="1" applyAlignment="1" applyProtection="1">
      <alignment horizontal="right" vertical="center"/>
      <protection locked="0"/>
    </xf>
    <xf numFmtId="166" fontId="25" fillId="24" borderId="167" xfId="0" applyNumberFormat="1" applyFont="1" applyFill="1" applyBorder="1" applyAlignment="1" applyProtection="1">
      <alignment vertical="center"/>
      <protection hidden="1"/>
    </xf>
    <xf numFmtId="0" fontId="292" fillId="0" borderId="239" xfId="0" applyFont="1" applyBorder="1" applyAlignment="1" applyProtection="1">
      <alignment horizontal="left" vertical="center" indent="1"/>
      <protection hidden="1"/>
    </xf>
    <xf numFmtId="166" fontId="25" fillId="37" borderId="167" xfId="0" applyNumberFormat="1" applyFont="1" applyFill="1" applyBorder="1" applyAlignment="1" applyProtection="1">
      <alignment horizontal="right" vertical="center"/>
      <protection hidden="1"/>
    </xf>
    <xf numFmtId="0" fontId="292" fillId="0" borderId="505" xfId="0" applyFont="1" applyBorder="1" applyAlignment="1" applyProtection="1">
      <alignment horizontal="left" vertical="center" indent="1"/>
      <protection hidden="1"/>
    </xf>
    <xf numFmtId="0" fontId="245" fillId="46" borderId="167" xfId="0" applyFont="1" applyFill="1" applyBorder="1" applyAlignment="1" applyProtection="1">
      <alignment horizontal="left" vertical="center" indent="1"/>
      <protection hidden="1"/>
    </xf>
    <xf numFmtId="166" fontId="245" fillId="46" borderId="167" xfId="0" applyNumberFormat="1" applyFont="1" applyFill="1" applyBorder="1" applyAlignment="1" applyProtection="1">
      <alignment vertical="center"/>
      <protection hidden="1"/>
    </xf>
    <xf numFmtId="0" fontId="292" fillId="0" borderId="236" xfId="0" applyFont="1" applyBorder="1" applyAlignment="1" applyProtection="1">
      <alignment horizontal="left" vertical="center" indent="1"/>
      <protection hidden="1"/>
    </xf>
    <xf numFmtId="0" fontId="185" fillId="44" borderId="375" xfId="0" applyFont="1" applyFill="1" applyBorder="1" applyAlignment="1" applyProtection="1">
      <alignment horizontal="left" vertical="center" indent="1"/>
      <protection hidden="1"/>
    </xf>
    <xf numFmtId="0" fontId="23" fillId="0" borderId="354" xfId="0" applyFont="1" applyBorder="1" applyAlignment="1" applyProtection="1">
      <alignment horizontal="left" vertical="center" indent="1"/>
      <protection hidden="1"/>
    </xf>
    <xf numFmtId="0" fontId="292" fillId="0" borderId="370" xfId="0" applyFont="1" applyBorder="1" applyAlignment="1" applyProtection="1">
      <alignment horizontal="center" vertical="center"/>
      <protection hidden="1"/>
    </xf>
    <xf numFmtId="166" fontId="16" fillId="0" borderId="354" xfId="0" applyNumberFormat="1" applyFont="1" applyBorder="1" applyAlignment="1" applyProtection="1">
      <alignment horizontal="right" vertical="center"/>
      <protection hidden="1"/>
    </xf>
    <xf numFmtId="166" fontId="16" fillId="0" borderId="258" xfId="0" applyNumberFormat="1" applyFont="1" applyBorder="1" applyAlignment="1" applyProtection="1">
      <alignment horizontal="right" vertical="center"/>
      <protection hidden="1"/>
    </xf>
    <xf numFmtId="168" fontId="204" fillId="0" borderId="361" xfId="0" applyNumberFormat="1" applyFont="1" applyBorder="1" applyAlignment="1" applyProtection="1">
      <alignment horizontal="center" vertical="center"/>
      <protection hidden="1"/>
    </xf>
    <xf numFmtId="168" fontId="204" fillId="0" borderId="478" xfId="0" applyNumberFormat="1" applyFont="1" applyBorder="1" applyAlignment="1" applyProtection="1">
      <alignment horizontal="center" vertical="center"/>
      <protection hidden="1"/>
    </xf>
    <xf numFmtId="168" fontId="204" fillId="46" borderId="362" xfId="0" applyNumberFormat="1" applyFont="1" applyFill="1" applyBorder="1" applyAlignment="1" applyProtection="1">
      <alignment horizontal="center" vertical="center"/>
      <protection hidden="1"/>
    </xf>
    <xf numFmtId="168" fontId="73" fillId="35" borderId="294" xfId="0" applyNumberFormat="1" applyFont="1" applyFill="1" applyBorder="1" applyAlignment="1" applyProtection="1">
      <alignment horizontal="center" vertical="center"/>
      <protection hidden="1"/>
    </xf>
    <xf numFmtId="0" fontId="243" fillId="0" borderId="224" xfId="0" applyFont="1" applyBorder="1" applyAlignment="1" applyProtection="1">
      <alignment horizontal="left" vertical="center" indent="1"/>
      <protection hidden="1"/>
    </xf>
    <xf numFmtId="0" fontId="292" fillId="0" borderId="293" xfId="0" applyFont="1" applyBorder="1" applyAlignment="1" applyProtection="1">
      <alignment horizontal="center" vertical="center"/>
      <protection hidden="1"/>
    </xf>
    <xf numFmtId="168" fontId="204" fillId="0" borderId="371" xfId="0" applyNumberFormat="1" applyFont="1" applyBorder="1" applyAlignment="1" applyProtection="1">
      <alignment horizontal="center" vertical="center"/>
      <protection hidden="1"/>
    </xf>
    <xf numFmtId="166" fontId="16" fillId="46" borderId="238" xfId="0" applyNumberFormat="1" applyFont="1" applyFill="1" applyBorder="1" applyAlignment="1" applyProtection="1">
      <alignment vertical="center"/>
      <protection hidden="1"/>
    </xf>
    <xf numFmtId="168" fontId="307" fillId="46" borderId="294" xfId="0" applyNumberFormat="1" applyFont="1" applyFill="1" applyBorder="1" applyAlignment="1" applyProtection="1">
      <alignment horizontal="center" vertical="center"/>
      <protection hidden="1"/>
    </xf>
    <xf numFmtId="0" fontId="185" fillId="59" borderId="136" xfId="0" applyFont="1" applyFill="1" applyBorder="1" applyAlignment="1" applyProtection="1">
      <alignment horizontal="center" vertical="center"/>
      <protection locked="0"/>
    </xf>
    <xf numFmtId="0" fontId="372" fillId="59" borderId="244" xfId="0" applyFont="1" applyFill="1" applyBorder="1" applyAlignment="1" applyProtection="1">
      <alignment horizontal="right" vertical="top"/>
      <protection locked="0"/>
    </xf>
    <xf numFmtId="166" fontId="16" fillId="0" borderId="238" xfId="0" applyNumberFormat="1" applyFont="1" applyBorder="1" applyAlignment="1" applyProtection="1">
      <alignment vertical="center"/>
      <protection locked="0"/>
    </xf>
    <xf numFmtId="0" fontId="302" fillId="40" borderId="380" xfId="0" applyFont="1" applyFill="1" applyBorder="1" applyAlignment="1" applyProtection="1">
      <alignment horizontal="left" vertical="center"/>
      <protection locked="0"/>
    </xf>
    <xf numFmtId="0" fontId="388" fillId="46" borderId="391" xfId="0" applyFont="1" applyFill="1" applyBorder="1" applyAlignment="1" applyProtection="1">
      <alignment horizontal="left" vertical="center"/>
      <protection locked="0"/>
    </xf>
    <xf numFmtId="2" fontId="63" fillId="40" borderId="380" xfId="0" applyNumberFormat="1" applyFont="1" applyFill="1" applyBorder="1" applyAlignment="1" applyProtection="1">
      <alignment horizontal="center" vertical="center"/>
      <protection hidden="1"/>
    </xf>
    <xf numFmtId="2" fontId="297" fillId="46" borderId="391" xfId="0" applyNumberFormat="1" applyFont="1" applyFill="1" applyBorder="1" applyAlignment="1" applyProtection="1">
      <alignment horizontal="center" vertical="center"/>
      <protection locked="0"/>
    </xf>
    <xf numFmtId="9" fontId="60" fillId="0" borderId="362" xfId="0" applyNumberFormat="1" applyFont="1" applyBorder="1" applyAlignment="1">
      <alignment horizontal="center" vertical="center"/>
    </xf>
    <xf numFmtId="9" fontId="60" fillId="0" borderId="294" xfId="0" applyNumberFormat="1" applyFont="1" applyBorder="1" applyAlignment="1">
      <alignment horizontal="center" vertical="center"/>
    </xf>
    <xf numFmtId="0" fontId="290" fillId="0" borderId="224" xfId="0" applyFont="1" applyFill="1" applyBorder="1" applyAlignment="1" applyProtection="1">
      <alignment horizontal="left" vertical="center" indent="1"/>
      <protection locked="0"/>
    </xf>
    <xf numFmtId="0" fontId="290" fillId="0" borderId="180" xfId="0" applyFont="1" applyFill="1" applyBorder="1" applyAlignment="1" applyProtection="1">
      <alignment horizontal="left" vertical="center" indent="1"/>
      <protection locked="0"/>
    </xf>
    <xf numFmtId="166" fontId="16" fillId="0" borderId="224" xfId="0" applyNumberFormat="1" applyFont="1" applyBorder="1" applyAlignment="1" applyProtection="1">
      <alignment vertical="center"/>
      <protection locked="0"/>
    </xf>
    <xf numFmtId="166" fontId="16" fillId="0" borderId="180" xfId="0" applyNumberFormat="1" applyFont="1" applyBorder="1" applyAlignment="1" applyProtection="1">
      <alignment vertical="center"/>
      <protection locked="0"/>
    </xf>
    <xf numFmtId="166" fontId="16" fillId="0" borderId="224" xfId="0" applyNumberFormat="1" applyFont="1" applyBorder="1" applyAlignment="1" applyProtection="1">
      <alignment vertical="center"/>
      <protection hidden="1"/>
    </xf>
    <xf numFmtId="166" fontId="16" fillId="0" borderId="180" xfId="0" applyNumberFormat="1" applyFont="1" applyBorder="1" applyAlignment="1" applyProtection="1">
      <alignment vertical="center"/>
      <protection hidden="1"/>
    </xf>
    <xf numFmtId="9" fontId="60" fillId="0" borderId="479" xfId="0" applyNumberFormat="1" applyFont="1" applyBorder="1" applyAlignment="1">
      <alignment horizontal="center" vertical="center"/>
    </xf>
    <xf numFmtId="9" fontId="60" fillId="0" borderId="371" xfId="0" applyNumberFormat="1" applyFont="1" applyBorder="1" applyAlignment="1">
      <alignment horizontal="center" vertical="center"/>
    </xf>
    <xf numFmtId="0" fontId="16" fillId="46" borderId="400" xfId="0" applyFont="1" applyFill="1" applyBorder="1" applyAlignment="1" applyProtection="1">
      <protection locked="0"/>
    </xf>
    <xf numFmtId="0" fontId="16" fillId="46" borderId="294" xfId="0" applyFont="1" applyFill="1" applyBorder="1" applyAlignment="1" applyProtection="1">
      <protection locked="0"/>
    </xf>
    <xf numFmtId="166" fontId="185" fillId="59" borderId="136" xfId="0" applyNumberFormat="1" applyFont="1" applyFill="1" applyBorder="1" applyAlignment="1" applyProtection="1">
      <alignment vertical="center"/>
      <protection hidden="1"/>
    </xf>
    <xf numFmtId="166" fontId="185" fillId="59" borderId="224" xfId="0" applyNumberFormat="1" applyFont="1" applyFill="1" applyBorder="1" applyAlignment="1" applyProtection="1">
      <alignment vertical="center"/>
      <protection hidden="1"/>
    </xf>
    <xf numFmtId="166" fontId="185" fillId="59" borderId="357" xfId="0" applyNumberFormat="1" applyFont="1" applyFill="1" applyBorder="1" applyAlignment="1" applyProtection="1">
      <alignment vertical="center"/>
      <protection hidden="1"/>
    </xf>
    <xf numFmtId="168" fontId="16" fillId="0" borderId="362" xfId="0" applyNumberFormat="1" applyFont="1" applyBorder="1" applyAlignment="1" applyProtection="1">
      <alignment horizontal="center" vertical="center"/>
      <protection locked="0"/>
    </xf>
    <xf numFmtId="168" fontId="16" fillId="0" borderId="453" xfId="0" applyNumberFormat="1" applyFont="1" applyBorder="1" applyAlignment="1" applyProtection="1">
      <alignment horizontal="center" vertical="center"/>
      <protection locked="0"/>
    </xf>
    <xf numFmtId="168" fontId="16" fillId="0" borderId="371" xfId="0" applyNumberFormat="1" applyFont="1" applyBorder="1" applyAlignment="1" applyProtection="1">
      <alignment horizontal="center" vertical="center"/>
      <protection locked="0"/>
    </xf>
    <xf numFmtId="168" fontId="185" fillId="59" borderId="395" xfId="0" applyNumberFormat="1" applyFont="1" applyFill="1" applyBorder="1" applyAlignment="1" applyProtection="1">
      <alignment horizontal="center" vertical="center"/>
      <protection hidden="1"/>
    </xf>
    <xf numFmtId="168" fontId="185" fillId="59" borderId="371" xfId="0" applyNumberFormat="1" applyFont="1" applyFill="1" applyBorder="1" applyAlignment="1" applyProtection="1">
      <alignment horizontal="center" vertical="center"/>
      <protection hidden="1"/>
    </xf>
    <xf numFmtId="168" fontId="185" fillId="59" borderId="452" xfId="0" applyNumberFormat="1" applyFont="1" applyFill="1" applyBorder="1" applyAlignment="1" applyProtection="1">
      <alignment horizontal="center" vertical="center"/>
      <protection hidden="1"/>
    </xf>
    <xf numFmtId="168" fontId="60" fillId="0" borderId="371" xfId="0" applyNumberFormat="1" applyFont="1" applyBorder="1" applyAlignment="1" applyProtection="1">
      <alignment horizontal="center" vertical="center"/>
      <protection hidden="1"/>
    </xf>
    <xf numFmtId="168" fontId="57" fillId="0" borderId="453" xfId="0" applyNumberFormat="1" applyFont="1" applyBorder="1" applyAlignment="1" applyProtection="1">
      <alignment horizontal="center" vertical="center"/>
      <protection locked="0"/>
    </xf>
    <xf numFmtId="168" fontId="57" fillId="0" borderId="371" xfId="0" applyNumberFormat="1" applyFont="1" applyBorder="1" applyAlignment="1" applyProtection="1">
      <alignment horizontal="center" vertical="center"/>
      <protection locked="0"/>
    </xf>
    <xf numFmtId="168" fontId="60" fillId="0" borderId="456" xfId="0" applyNumberFormat="1" applyFont="1" applyBorder="1" applyAlignment="1" applyProtection="1">
      <alignment horizontal="center" vertical="center"/>
      <protection locked="0"/>
    </xf>
    <xf numFmtId="168" fontId="71" fillId="0" borderId="453" xfId="0" applyNumberFormat="1" applyFont="1" applyBorder="1" applyAlignment="1" applyProtection="1">
      <alignment horizontal="center" vertical="center"/>
      <protection locked="0"/>
    </xf>
    <xf numFmtId="168" fontId="53" fillId="24" borderId="394" xfId="0" applyNumberFormat="1" applyFont="1" applyFill="1" applyBorder="1" applyAlignment="1" applyProtection="1">
      <alignment horizontal="center" vertical="center"/>
      <protection hidden="1"/>
    </xf>
    <xf numFmtId="168" fontId="60" fillId="0" borderId="457" xfId="0" applyNumberFormat="1" applyFont="1" applyBorder="1" applyAlignment="1" applyProtection="1">
      <alignment horizontal="center" vertical="center"/>
      <protection locked="0"/>
    </xf>
    <xf numFmtId="168" fontId="25" fillId="37" borderId="394" xfId="0" applyNumberFormat="1" applyFont="1" applyFill="1" applyBorder="1" applyAlignment="1" applyProtection="1">
      <alignment horizontal="center" vertical="center"/>
      <protection hidden="1"/>
    </xf>
    <xf numFmtId="168" fontId="182" fillId="0" borderId="371" xfId="0" applyNumberFormat="1" applyFont="1" applyBorder="1" applyAlignment="1" applyProtection="1">
      <alignment horizontal="center" vertical="center"/>
      <protection locked="0"/>
    </xf>
    <xf numFmtId="9" fontId="216" fillId="46" borderId="394" xfId="0" applyNumberFormat="1" applyFont="1" applyFill="1" applyBorder="1" applyAlignment="1" applyProtection="1">
      <alignment horizontal="center" vertical="center"/>
      <protection hidden="1"/>
    </xf>
    <xf numFmtId="168" fontId="60" fillId="0" borderId="454" xfId="0" applyNumberFormat="1" applyFont="1" applyBorder="1" applyAlignment="1" applyProtection="1">
      <alignment horizontal="center" vertical="center"/>
      <protection locked="0"/>
    </xf>
    <xf numFmtId="168" fontId="20" fillId="26" borderId="508" xfId="0" applyNumberFormat="1" applyFont="1" applyFill="1" applyBorder="1" applyAlignment="1" applyProtection="1">
      <alignment horizontal="center" vertical="center"/>
      <protection hidden="1"/>
    </xf>
    <xf numFmtId="168" fontId="25" fillId="46" borderId="392" xfId="0" applyNumberFormat="1" applyFont="1" applyFill="1" applyBorder="1" applyAlignment="1" applyProtection="1">
      <alignment horizontal="center" vertical="center"/>
      <protection hidden="1"/>
    </xf>
    <xf numFmtId="168" fontId="16" fillId="0" borderId="371" xfId="0" applyNumberFormat="1" applyFont="1" applyBorder="1" applyAlignment="1" applyProtection="1">
      <alignment horizontal="right" vertical="center"/>
      <protection locked="0"/>
    </xf>
    <xf numFmtId="168" fontId="16" fillId="0" borderId="453" xfId="0" applyNumberFormat="1" applyFont="1" applyBorder="1" applyAlignment="1" applyProtection="1">
      <alignment horizontal="right" vertical="center"/>
      <protection locked="0"/>
    </xf>
    <xf numFmtId="168" fontId="57" fillId="0" borderId="453" xfId="0" applyNumberFormat="1" applyFont="1" applyBorder="1" applyAlignment="1" applyProtection="1">
      <alignment horizontal="right" vertical="center"/>
      <protection locked="0"/>
    </xf>
    <xf numFmtId="168" fontId="57" fillId="0" borderId="371" xfId="0" applyNumberFormat="1" applyFont="1" applyBorder="1" applyAlignment="1" applyProtection="1">
      <alignment horizontal="right" vertical="center"/>
      <protection locked="0"/>
    </xf>
    <xf numFmtId="168" fontId="182" fillId="0" borderId="371" xfId="0" applyNumberFormat="1" applyFont="1" applyBorder="1" applyAlignment="1" applyProtection="1">
      <alignment horizontal="right" vertical="center"/>
      <protection locked="0"/>
    </xf>
    <xf numFmtId="168" fontId="186" fillId="0" borderId="371" xfId="0" applyNumberFormat="1" applyFont="1" applyBorder="1" applyAlignment="1" applyProtection="1">
      <alignment horizontal="right" vertical="center"/>
      <protection locked="0"/>
    </xf>
    <xf numFmtId="168" fontId="60" fillId="0" borderId="453" xfId="0" applyNumberFormat="1" applyFont="1" applyBorder="1" applyAlignment="1" applyProtection="1">
      <alignment horizontal="center" vertical="center"/>
      <protection hidden="1"/>
    </xf>
    <xf numFmtId="168" fontId="60" fillId="0" borderId="457" xfId="0" applyNumberFormat="1" applyFont="1" applyBorder="1" applyAlignment="1" applyProtection="1">
      <alignment horizontal="center" vertical="center"/>
      <protection hidden="1"/>
    </xf>
    <xf numFmtId="166" fontId="18" fillId="46" borderId="235" xfId="0" applyNumberFormat="1" applyFont="1" applyFill="1" applyBorder="1" applyAlignment="1" applyProtection="1">
      <alignment horizontal="right" vertical="center"/>
      <protection locked="0"/>
    </xf>
    <xf numFmtId="168" fontId="16" fillId="46" borderId="453" xfId="0" applyNumberFormat="1" applyFont="1" applyFill="1" applyBorder="1" applyAlignment="1" applyProtection="1">
      <alignment horizontal="center" vertical="center"/>
      <protection locked="0"/>
    </xf>
    <xf numFmtId="166" fontId="107" fillId="0" borderId="235" xfId="0" applyNumberFormat="1" applyFont="1" applyBorder="1" applyAlignment="1" applyProtection="1">
      <alignment horizontal="right" vertical="center"/>
      <protection locked="0"/>
    </xf>
    <xf numFmtId="166" fontId="204" fillId="0" borderId="235" xfId="0" applyNumberFormat="1" applyFont="1" applyBorder="1" applyAlignment="1" applyProtection="1">
      <alignment horizontal="right" vertical="center"/>
      <protection locked="0"/>
    </xf>
    <xf numFmtId="166" fontId="107" fillId="0" borderId="224" xfId="0" applyNumberFormat="1" applyFont="1" applyBorder="1" applyAlignment="1" applyProtection="1">
      <alignment horizontal="right" vertical="center"/>
      <protection locked="0"/>
    </xf>
    <xf numFmtId="166" fontId="16" fillId="0" borderId="235" xfId="0" applyNumberFormat="1" applyFont="1" applyFill="1" applyBorder="1" applyAlignment="1" applyProtection="1">
      <alignment horizontal="right" vertical="center"/>
      <protection locked="0"/>
    </xf>
    <xf numFmtId="166" fontId="107" fillId="0" borderId="224" xfId="0" applyNumberFormat="1" applyFont="1" applyBorder="1" applyAlignment="1" applyProtection="1">
      <alignment horizontal="right" vertical="center"/>
      <protection hidden="1"/>
    </xf>
    <xf numFmtId="166" fontId="60" fillId="0" borderId="224" xfId="0" applyNumberFormat="1" applyFont="1" applyBorder="1" applyAlignment="1" applyProtection="1">
      <alignment horizontal="right" vertical="center"/>
      <protection locked="0" hidden="1"/>
    </xf>
    <xf numFmtId="166" fontId="107" fillId="0" borderId="236" xfId="0" applyNumberFormat="1" applyFont="1" applyBorder="1" applyAlignment="1" applyProtection="1">
      <alignment horizontal="right" vertical="center"/>
      <protection hidden="1"/>
    </xf>
    <xf numFmtId="168" fontId="16" fillId="0" borderId="454" xfId="0" applyNumberFormat="1" applyFont="1" applyBorder="1" applyAlignment="1" applyProtection="1">
      <alignment horizontal="center" vertical="center"/>
      <protection locked="0"/>
    </xf>
    <xf numFmtId="166" fontId="46" fillId="0" borderId="224" xfId="0" applyNumberFormat="1" applyFont="1" applyBorder="1" applyAlignment="1" applyProtection="1">
      <alignment horizontal="right" vertical="center"/>
      <protection locked="0"/>
    </xf>
    <xf numFmtId="168" fontId="65" fillId="0" borderId="371" xfId="0" applyNumberFormat="1" applyFont="1" applyBorder="1" applyAlignment="1" applyProtection="1">
      <alignment horizontal="center" vertical="center"/>
      <protection locked="0"/>
    </xf>
    <xf numFmtId="166" fontId="202" fillId="0" borderId="365" xfId="0" applyNumberFormat="1" applyFont="1" applyBorder="1" applyAlignment="1" applyProtection="1">
      <alignment horizontal="right" vertical="center"/>
      <protection locked="0"/>
    </xf>
    <xf numFmtId="168" fontId="65" fillId="0" borderId="480" xfId="0" applyNumberFormat="1" applyFont="1" applyBorder="1" applyAlignment="1" applyProtection="1">
      <alignment horizontal="center" vertical="center"/>
      <protection locked="0"/>
    </xf>
    <xf numFmtId="166" fontId="185" fillId="59" borderId="71" xfId="0" applyNumberFormat="1" applyFont="1" applyFill="1" applyBorder="1" applyAlignment="1" applyProtection="1">
      <alignment vertical="center"/>
      <protection hidden="1"/>
    </xf>
    <xf numFmtId="168" fontId="185" fillId="59" borderId="362" xfId="0" applyNumberFormat="1" applyFont="1" applyFill="1" applyBorder="1" applyAlignment="1" applyProtection="1">
      <alignment horizontal="center" vertical="center"/>
      <protection hidden="1"/>
    </xf>
    <xf numFmtId="166" fontId="20" fillId="54" borderId="357" xfId="0" applyNumberFormat="1" applyFont="1" applyFill="1" applyBorder="1" applyAlignment="1" applyProtection="1">
      <alignment vertical="center"/>
      <protection hidden="1"/>
    </xf>
    <xf numFmtId="168" fontId="20" fillId="54" borderId="452" xfId="0" applyNumberFormat="1" applyFont="1" applyFill="1" applyBorder="1" applyAlignment="1" applyProtection="1">
      <alignment horizontal="center" vertical="center"/>
      <protection hidden="1"/>
    </xf>
    <xf numFmtId="0" fontId="290" fillId="46" borderId="434" xfId="0" applyFont="1" applyFill="1" applyBorder="1" applyAlignment="1" applyProtection="1">
      <alignment horizontal="left" vertical="center"/>
      <protection hidden="1"/>
    </xf>
    <xf numFmtId="0" fontId="283" fillId="46" borderId="235" xfId="0" applyFont="1" applyFill="1" applyBorder="1" applyAlignment="1" applyProtection="1">
      <alignment horizontal="left" vertical="center" indent="1"/>
      <protection hidden="1"/>
    </xf>
    <xf numFmtId="0" fontId="290" fillId="46" borderId="435" xfId="0" applyFont="1" applyFill="1" applyBorder="1" applyAlignment="1" applyProtection="1">
      <alignment horizontal="left" vertical="center"/>
      <protection hidden="1"/>
    </xf>
    <xf numFmtId="0" fontId="107" fillId="0" borderId="235" xfId="0" applyFont="1" applyBorder="1" applyAlignment="1" applyProtection="1">
      <alignment horizontal="left" vertical="center" indent="1"/>
      <protection hidden="1"/>
    </xf>
    <xf numFmtId="0" fontId="290" fillId="49" borderId="435" xfId="0" applyFont="1" applyFill="1" applyBorder="1" applyAlignment="1" applyProtection="1">
      <alignment horizontal="left" vertical="center"/>
      <protection hidden="1"/>
    </xf>
    <xf numFmtId="0" fontId="279" fillId="0" borderId="235" xfId="0" applyFont="1" applyBorder="1" applyAlignment="1" applyProtection="1">
      <alignment horizontal="left" vertical="center" indent="1"/>
      <protection hidden="1"/>
    </xf>
    <xf numFmtId="0" fontId="279" fillId="0" borderId="224" xfId="0" applyFont="1" applyBorder="1" applyAlignment="1" applyProtection="1">
      <alignment horizontal="left" vertical="center" indent="1"/>
      <protection hidden="1"/>
    </xf>
    <xf numFmtId="0" fontId="290" fillId="46" borderId="436" xfId="0" applyFont="1" applyFill="1" applyBorder="1" applyAlignment="1" applyProtection="1">
      <alignment horizontal="left" vertical="center"/>
      <protection hidden="1"/>
    </xf>
    <xf numFmtId="0" fontId="204" fillId="0" borderId="235" xfId="0" applyFont="1" applyBorder="1" applyAlignment="1" applyProtection="1">
      <alignment horizontal="left" vertical="center" indent="1"/>
      <protection hidden="1"/>
    </xf>
    <xf numFmtId="0" fontId="107" fillId="0" borderId="224" xfId="0" applyFont="1" applyBorder="1" applyAlignment="1" applyProtection="1">
      <alignment horizontal="left" vertical="center" indent="1"/>
      <protection hidden="1"/>
    </xf>
    <xf numFmtId="0" fontId="290" fillId="49" borderId="293" xfId="0" applyFont="1" applyFill="1" applyBorder="1" applyAlignment="1" applyProtection="1">
      <alignment horizontal="left" vertical="center"/>
      <protection hidden="1"/>
    </xf>
    <xf numFmtId="0" fontId="290" fillId="46" borderId="293" xfId="0" applyFont="1" applyFill="1" applyBorder="1" applyAlignment="1" applyProtection="1">
      <alignment horizontal="left" vertical="center"/>
      <protection hidden="1"/>
    </xf>
    <xf numFmtId="0" fontId="107" fillId="0" borderId="236" xfId="0" applyFont="1" applyBorder="1" applyAlignment="1" applyProtection="1">
      <alignment horizontal="left" vertical="center" indent="1"/>
      <protection hidden="1"/>
    </xf>
    <xf numFmtId="0" fontId="46" fillId="0" borderId="224" xfId="0" applyFont="1" applyBorder="1" applyAlignment="1" applyProtection="1">
      <alignment horizontal="left" vertical="center" indent="1"/>
      <protection hidden="1"/>
    </xf>
    <xf numFmtId="0" fontId="290" fillId="46" borderId="437" xfId="0" applyFont="1" applyFill="1" applyBorder="1" applyAlignment="1" applyProtection="1">
      <alignment horizontal="left" vertical="center"/>
      <protection hidden="1"/>
    </xf>
    <xf numFmtId="0" fontId="202" fillId="0" borderId="236" xfId="0" applyFont="1" applyBorder="1" applyAlignment="1" applyProtection="1">
      <alignment horizontal="left" vertical="center" indent="1"/>
      <protection hidden="1"/>
    </xf>
    <xf numFmtId="0" fontId="204" fillId="0" borderId="239" xfId="0" applyFont="1" applyBorder="1" applyAlignment="1" applyProtection="1">
      <alignment horizontal="left" vertical="center" indent="1"/>
      <protection hidden="1"/>
    </xf>
    <xf numFmtId="0" fontId="290" fillId="46" borderId="449" xfId="0" applyFont="1" applyFill="1" applyBorder="1" applyAlignment="1" applyProtection="1">
      <alignment horizontal="left" vertical="center"/>
      <protection hidden="1"/>
    </xf>
    <xf numFmtId="166" fontId="60" fillId="0" borderId="239" xfId="0" applyNumberFormat="1" applyFont="1" applyBorder="1" applyAlignment="1" applyProtection="1">
      <alignment horizontal="right" vertical="center"/>
      <protection locked="0"/>
    </xf>
    <xf numFmtId="168" fontId="16" fillId="0" borderId="457" xfId="0" applyNumberFormat="1" applyFont="1" applyBorder="1" applyAlignment="1" applyProtection="1">
      <alignment horizontal="center" vertical="center"/>
      <protection locked="0"/>
    </xf>
    <xf numFmtId="166" fontId="18" fillId="46" borderId="167" xfId="0" applyNumberFormat="1" applyFont="1" applyFill="1" applyBorder="1" applyAlignment="1" applyProtection="1">
      <alignment vertical="center"/>
      <protection hidden="1"/>
    </xf>
    <xf numFmtId="168" fontId="237" fillId="46" borderId="394" xfId="0" applyNumberFormat="1" applyFont="1" applyFill="1" applyBorder="1" applyAlignment="1" applyProtection="1">
      <alignment horizontal="center" vertical="center"/>
      <protection hidden="1"/>
    </xf>
    <xf numFmtId="166" fontId="18" fillId="46" borderId="258" xfId="0" applyNumberFormat="1" applyFont="1" applyFill="1" applyBorder="1" applyAlignment="1" applyProtection="1">
      <alignment vertical="center"/>
      <protection hidden="1"/>
    </xf>
    <xf numFmtId="168" fontId="237" fillId="46" borderId="361" xfId="0" applyNumberFormat="1" applyFont="1" applyFill="1" applyBorder="1" applyAlignment="1" applyProtection="1">
      <alignment horizontal="center" vertical="center"/>
      <protection hidden="1"/>
    </xf>
    <xf numFmtId="0" fontId="283" fillId="0" borderId="167" xfId="0" applyFont="1" applyFill="1" applyBorder="1" applyAlignment="1" applyProtection="1">
      <alignment horizontal="left" vertical="center" indent="1"/>
      <protection hidden="1"/>
    </xf>
    <xf numFmtId="0" fontId="37" fillId="0" borderId="161" xfId="0" applyFont="1" applyFill="1" applyBorder="1" applyAlignment="1" applyProtection="1">
      <alignment horizontal="right" vertical="center"/>
      <protection hidden="1"/>
    </xf>
    <xf numFmtId="0" fontId="37" fillId="0" borderId="245" xfId="0" applyFont="1" applyFill="1" applyBorder="1" applyAlignment="1" applyProtection="1">
      <alignment horizontal="left" vertical="center"/>
      <protection hidden="1"/>
    </xf>
    <xf numFmtId="166" fontId="18" fillId="0" borderId="167" xfId="0" applyNumberFormat="1" applyFont="1" applyFill="1" applyBorder="1" applyAlignment="1" applyProtection="1">
      <alignment vertical="center"/>
      <protection hidden="1"/>
    </xf>
    <xf numFmtId="168" fontId="237" fillId="0" borderId="394" xfId="0" applyNumberFormat="1" applyFont="1" applyFill="1" applyBorder="1" applyAlignment="1" applyProtection="1">
      <alignment horizontal="center" vertical="center"/>
      <protection hidden="1"/>
    </xf>
    <xf numFmtId="168" fontId="53" fillId="0" borderId="394" xfId="0" applyNumberFormat="1" applyFont="1" applyFill="1" applyBorder="1" applyAlignment="1" applyProtection="1">
      <alignment horizontal="center" vertical="center"/>
      <protection hidden="1"/>
    </xf>
    <xf numFmtId="0" fontId="18" fillId="0" borderId="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18" fillId="0" borderId="0" xfId="0" applyFont="1" applyBorder="1" applyAlignment="1" applyProtection="1">
      <alignment horizontal="center"/>
      <protection locked="0"/>
    </xf>
    <xf numFmtId="0" fontId="20" fillId="0" borderId="0" xfId="0" applyFont="1" applyBorder="1" applyProtection="1">
      <alignment horizontal="right"/>
      <protection locked="0"/>
    </xf>
    <xf numFmtId="168" fontId="18" fillId="28" borderId="394" xfId="0" applyNumberFormat="1" applyFont="1" applyFill="1" applyBorder="1" applyAlignment="1" applyProtection="1">
      <alignment horizontal="center" vertical="center"/>
      <protection locked="0"/>
    </xf>
    <xf numFmtId="166" fontId="325" fillId="0" borderId="0" xfId="0" applyNumberFormat="1" applyFont="1" applyFill="1" applyBorder="1" applyAlignment="1" applyProtection="1">
      <alignment vertical="center"/>
      <protection locked="0"/>
    </xf>
    <xf numFmtId="0" fontId="271" fillId="0" borderId="0" xfId="0" applyFont="1" applyBorder="1" applyProtection="1">
      <alignment horizontal="right"/>
      <protection locked="0"/>
    </xf>
    <xf numFmtId="168" fontId="18" fillId="46" borderId="394" xfId="0" applyNumberFormat="1" applyFont="1" applyFill="1" applyBorder="1" applyAlignment="1" applyProtection="1">
      <alignment horizontal="center" vertical="center"/>
      <protection locked="0"/>
    </xf>
    <xf numFmtId="0" fontId="159" fillId="0" borderId="258" xfId="0" applyFont="1" applyBorder="1" applyAlignment="1" applyProtection="1">
      <alignment horizontal="left" vertical="center" indent="2"/>
      <protection hidden="1"/>
    </xf>
    <xf numFmtId="0" fontId="290" fillId="46" borderId="258" xfId="0" applyFont="1" applyFill="1" applyBorder="1" applyAlignment="1" applyProtection="1">
      <alignment horizontal="right" vertical="center"/>
      <protection hidden="1"/>
    </xf>
    <xf numFmtId="0" fontId="290" fillId="46" borderId="260" xfId="0" applyFont="1" applyFill="1" applyBorder="1" applyAlignment="1" applyProtection="1">
      <alignment horizontal="left" vertical="center"/>
      <protection hidden="1"/>
    </xf>
    <xf numFmtId="168" fontId="159" fillId="0" borderId="258" xfId="0" applyNumberFormat="1" applyFont="1" applyBorder="1" applyAlignment="1" applyProtection="1">
      <alignment horizontal="center" vertical="center"/>
      <protection hidden="1"/>
    </xf>
    <xf numFmtId="168" fontId="38" fillId="0" borderId="361" xfId="0" applyNumberFormat="1" applyFont="1" applyBorder="1" applyAlignment="1" applyProtection="1">
      <alignment horizontal="center" vertical="center"/>
      <protection locked="0"/>
    </xf>
    <xf numFmtId="0" fontId="279" fillId="0" borderId="71" xfId="0" applyFont="1" applyBorder="1" applyAlignment="1" applyProtection="1">
      <alignment horizontal="left" vertical="center" indent="1"/>
      <protection hidden="1"/>
    </xf>
    <xf numFmtId="0" fontId="290" fillId="46" borderId="172" xfId="0" applyFont="1" applyFill="1" applyBorder="1" applyAlignment="1" applyProtection="1">
      <alignment horizontal="left" vertical="center"/>
      <protection hidden="1"/>
    </xf>
    <xf numFmtId="0" fontId="46" fillId="0" borderId="235" xfId="0" applyFont="1" applyBorder="1" applyAlignment="1" applyProtection="1">
      <alignment horizontal="left" vertical="center" indent="1"/>
      <protection hidden="1"/>
    </xf>
    <xf numFmtId="0" fontId="159" fillId="0" borderId="182" xfId="0" applyFont="1" applyBorder="1" applyAlignment="1" applyProtection="1">
      <alignment horizontal="left" vertical="top" indent="2"/>
      <protection hidden="1"/>
    </xf>
    <xf numFmtId="0" fontId="290" fillId="46" borderId="183" xfId="0" applyFont="1" applyFill="1" applyBorder="1" applyAlignment="1" applyProtection="1">
      <alignment horizontal="left" vertical="center"/>
      <protection hidden="1"/>
    </xf>
    <xf numFmtId="0" fontId="279" fillId="0" borderId="180" xfId="0" applyFont="1" applyBorder="1" applyAlignment="1" applyProtection="1">
      <alignment horizontal="left" vertical="center" indent="1"/>
      <protection hidden="1"/>
    </xf>
    <xf numFmtId="0" fontId="290" fillId="46" borderId="181" xfId="0" applyFont="1" applyFill="1" applyBorder="1" applyAlignment="1" applyProtection="1">
      <alignment horizontal="left" vertical="center"/>
      <protection hidden="1"/>
    </xf>
    <xf numFmtId="0" fontId="159" fillId="0" borderId="224" xfId="0" applyFont="1" applyBorder="1" applyAlignment="1" applyProtection="1">
      <alignment horizontal="left" vertical="top" indent="2"/>
      <protection hidden="1"/>
    </xf>
    <xf numFmtId="0" fontId="39" fillId="0" borderId="224" xfId="0" applyFont="1" applyBorder="1" applyAlignment="1" applyProtection="1">
      <alignment horizontal="left" vertical="center" indent="1"/>
      <protection hidden="1"/>
    </xf>
    <xf numFmtId="0" fontId="40" fillId="46" borderId="293" xfId="0" applyFont="1" applyFill="1" applyBorder="1" applyAlignment="1" applyProtection="1">
      <alignment horizontal="left" vertical="center"/>
      <protection hidden="1"/>
    </xf>
    <xf numFmtId="0" fontId="17" fillId="46" borderId="293" xfId="0" applyFont="1" applyFill="1" applyBorder="1" applyAlignment="1" applyProtection="1">
      <alignment horizontal="left" vertical="center"/>
      <protection hidden="1"/>
    </xf>
    <xf numFmtId="0" fontId="291" fillId="49" borderId="245" xfId="0" applyFont="1" applyFill="1" applyBorder="1" applyAlignment="1" applyProtection="1">
      <alignment horizontal="left" vertical="center"/>
      <protection locked="0"/>
    </xf>
    <xf numFmtId="0" fontId="134" fillId="0" borderId="224" xfId="0" applyFont="1" applyBorder="1" applyAlignment="1" applyProtection="1">
      <alignment horizontal="left" vertical="top" indent="2"/>
      <protection hidden="1"/>
    </xf>
    <xf numFmtId="0" fontId="302" fillId="46" borderId="293" xfId="0" applyFont="1" applyFill="1" applyBorder="1" applyAlignment="1" applyProtection="1">
      <alignment horizontal="left" vertical="center"/>
      <protection hidden="1"/>
    </xf>
    <xf numFmtId="0" fontId="202" fillId="0" borderId="224" xfId="0" applyFont="1" applyBorder="1" applyAlignment="1" applyProtection="1">
      <alignment horizontal="left" vertical="center" indent="2"/>
      <protection hidden="1"/>
    </xf>
    <xf numFmtId="0" fontId="202" fillId="0" borderId="235" xfId="0" applyFont="1" applyBorder="1" applyAlignment="1" applyProtection="1">
      <alignment horizontal="left" vertical="center" indent="2"/>
      <protection hidden="1"/>
    </xf>
    <xf numFmtId="0" fontId="46" fillId="0" borderId="237" xfId="0" applyFont="1" applyBorder="1" applyAlignment="1" applyProtection="1">
      <alignment horizontal="left" vertical="center" indent="1"/>
      <protection hidden="1"/>
    </xf>
    <xf numFmtId="166" fontId="16" fillId="0" borderId="485" xfId="0" applyNumberFormat="1" applyFont="1" applyFill="1" applyBorder="1" applyAlignment="1" applyProtection="1">
      <alignment horizontal="right" vertical="center"/>
      <protection locked="0"/>
    </xf>
    <xf numFmtId="166" fontId="46" fillId="0" borderId="512" xfId="0" applyNumberFormat="1" applyFont="1" applyBorder="1" applyAlignment="1" applyProtection="1">
      <alignment horizontal="right" vertical="center"/>
      <protection locked="0"/>
    </xf>
    <xf numFmtId="168" fontId="65" fillId="0" borderId="453" xfId="0" applyNumberFormat="1" applyFont="1" applyBorder="1" applyAlignment="1" applyProtection="1">
      <alignment horizontal="center" vertical="center"/>
      <protection locked="0"/>
    </xf>
    <xf numFmtId="168" fontId="159" fillId="0" borderId="513" xfId="0" applyNumberFormat="1" applyFont="1" applyBorder="1" applyAlignment="1" applyProtection="1">
      <alignment horizontal="center" vertical="top"/>
      <protection hidden="1"/>
    </xf>
    <xf numFmtId="168" fontId="38" fillId="0" borderId="514" xfId="0" applyNumberFormat="1" applyFont="1" applyBorder="1" applyAlignment="1" applyProtection="1">
      <alignment horizontal="center" vertical="center"/>
      <protection locked="0"/>
    </xf>
    <xf numFmtId="166" fontId="16" fillId="0" borderId="369" xfId="0" applyNumberFormat="1" applyFont="1" applyBorder="1" applyAlignment="1" applyProtection="1">
      <alignment horizontal="right" vertical="center"/>
      <protection locked="0"/>
    </xf>
    <xf numFmtId="166" fontId="16" fillId="0" borderId="484" xfId="0" applyNumberFormat="1" applyFont="1" applyBorder="1" applyAlignment="1" applyProtection="1">
      <alignment horizontal="right" vertical="center"/>
      <protection locked="0"/>
    </xf>
    <xf numFmtId="168" fontId="16" fillId="0" borderId="479" xfId="0" applyNumberFormat="1" applyFont="1" applyBorder="1" applyAlignment="1" applyProtection="1">
      <alignment horizontal="center" vertical="center"/>
      <protection locked="0"/>
    </xf>
    <xf numFmtId="166" fontId="46" fillId="0" borderId="512" xfId="0" applyNumberFormat="1" applyFont="1" applyFill="1" applyBorder="1" applyAlignment="1" applyProtection="1">
      <alignment horizontal="right" vertical="center"/>
      <protection locked="0"/>
    </xf>
    <xf numFmtId="168" fontId="159" fillId="0" borderId="369" xfId="0" applyNumberFormat="1" applyFont="1" applyBorder="1" applyAlignment="1" applyProtection="1">
      <alignment horizontal="center" vertical="top"/>
      <protection hidden="1"/>
    </xf>
    <xf numFmtId="168" fontId="38" fillId="0" borderId="371" xfId="0" applyNumberFormat="1" applyFont="1" applyBorder="1" applyAlignment="1" applyProtection="1">
      <alignment horizontal="center" vertical="center"/>
      <protection locked="0"/>
    </xf>
    <xf numFmtId="166" fontId="39" fillId="0" borderId="369" xfId="0" applyNumberFormat="1" applyFont="1" applyBorder="1" applyAlignment="1" applyProtection="1">
      <alignment vertical="center"/>
      <protection hidden="1"/>
    </xf>
    <xf numFmtId="168" fontId="58" fillId="0" borderId="371" xfId="0" applyNumberFormat="1" applyFont="1" applyBorder="1" applyAlignment="1" applyProtection="1">
      <alignment horizontal="center"/>
      <protection locked="0"/>
    </xf>
    <xf numFmtId="168" fontId="159" fillId="0" borderId="369" xfId="0" applyNumberFormat="1" applyFont="1" applyBorder="1" applyAlignment="1" applyProtection="1">
      <alignment horizontal="center" vertical="center"/>
      <protection hidden="1"/>
    </xf>
    <xf numFmtId="168" fontId="94" fillId="0" borderId="371" xfId="0" applyNumberFormat="1" applyFont="1" applyBorder="1" applyAlignment="1" applyProtection="1">
      <alignment horizontal="center" vertical="top"/>
      <protection locked="0"/>
    </xf>
    <xf numFmtId="166" fontId="16" fillId="0" borderId="512" xfId="0" applyNumberFormat="1" applyFont="1" applyBorder="1" applyAlignment="1" applyProtection="1">
      <alignment horizontal="right" vertical="center"/>
      <protection locked="0"/>
    </xf>
    <xf numFmtId="168" fontId="134" fillId="0" borderId="369" xfId="0" applyNumberFormat="1" applyFont="1" applyBorder="1" applyAlignment="1" applyProtection="1">
      <alignment horizontal="center" vertical="center"/>
      <protection hidden="1"/>
    </xf>
    <xf numFmtId="166" fontId="46" fillId="0" borderId="369" xfId="0" applyNumberFormat="1" applyFont="1" applyBorder="1" applyAlignment="1" applyProtection="1">
      <alignment horizontal="right" vertical="center"/>
      <protection locked="0"/>
    </xf>
    <xf numFmtId="168" fontId="159" fillId="0" borderId="369" xfId="0" applyNumberFormat="1" applyFont="1" applyFill="1" applyBorder="1" applyAlignment="1" applyProtection="1">
      <alignment horizontal="center" vertical="top"/>
      <protection hidden="1"/>
    </xf>
    <xf numFmtId="166" fontId="23" fillId="0" borderId="369" xfId="0" applyNumberFormat="1" applyFont="1" applyBorder="1" applyAlignment="1" applyProtection="1">
      <alignment horizontal="right" vertical="center"/>
      <protection locked="0"/>
    </xf>
    <xf numFmtId="168" fontId="16" fillId="0" borderId="453" xfId="0" applyNumberFormat="1" applyFont="1" applyBorder="1" applyAlignment="1" applyProtection="1">
      <alignment horizontal="center" vertical="center"/>
      <protection hidden="1"/>
    </xf>
    <xf numFmtId="166" fontId="202" fillId="0" borderId="512" xfId="0" applyNumberFormat="1" applyFont="1" applyBorder="1" applyAlignment="1" applyProtection="1">
      <alignment horizontal="right" vertical="center"/>
      <protection locked="0"/>
    </xf>
    <xf numFmtId="166" fontId="57" fillId="0" borderId="369" xfId="0" applyNumberFormat="1" applyFont="1" applyFill="1" applyBorder="1" applyAlignment="1" applyProtection="1">
      <alignment horizontal="right" vertical="center"/>
      <protection locked="0"/>
    </xf>
    <xf numFmtId="166" fontId="46" fillId="0" borderId="515" xfId="0" applyNumberFormat="1" applyFont="1" applyBorder="1" applyAlignment="1" applyProtection="1">
      <alignment vertical="center"/>
      <protection locked="0"/>
    </xf>
    <xf numFmtId="168" fontId="57" fillId="0" borderId="456" xfId="0" applyNumberFormat="1" applyFont="1" applyBorder="1" applyAlignment="1" applyProtection="1">
      <alignment horizontal="center"/>
      <protection locked="0"/>
    </xf>
    <xf numFmtId="166" fontId="18" fillId="28" borderId="486" xfId="0" applyNumberFormat="1" applyFont="1" applyFill="1" applyBorder="1" applyAlignment="1" applyProtection="1">
      <alignment horizontal="right" vertical="center"/>
      <protection hidden="1"/>
    </xf>
    <xf numFmtId="168" fontId="18" fillId="28" borderId="480" xfId="0" applyNumberFormat="1" applyFont="1" applyFill="1" applyBorder="1" applyAlignment="1" applyProtection="1">
      <alignment horizontal="center" vertical="center"/>
      <protection locked="0"/>
    </xf>
    <xf numFmtId="191" fontId="420" fillId="28" borderId="381" xfId="0" applyNumberFormat="1" applyFont="1" applyFill="1" applyBorder="1" applyAlignment="1" applyProtection="1">
      <alignment horizontal="center" vertical="top"/>
      <protection hidden="1"/>
    </xf>
    <xf numFmtId="168" fontId="37" fillId="28" borderId="455" xfId="0" applyNumberFormat="1" applyFont="1" applyFill="1" applyBorder="1" applyAlignment="1" applyProtection="1">
      <alignment horizontal="center" vertical="top"/>
      <protection hidden="1"/>
    </xf>
    <xf numFmtId="168" fontId="37" fillId="0" borderId="225" xfId="0" applyNumberFormat="1" applyFont="1" applyFill="1" applyBorder="1" applyAlignment="1" applyProtection="1">
      <alignment horizontal="center" vertical="top"/>
      <protection locked="0"/>
    </xf>
    <xf numFmtId="0" fontId="37" fillId="0" borderId="0" xfId="0" applyFont="1" applyBorder="1" applyAlignment="1" applyProtection="1">
      <alignment horizontal="right" vertical="top"/>
      <protection locked="0"/>
    </xf>
    <xf numFmtId="0" fontId="37" fillId="0" borderId="0" xfId="0" applyFont="1" applyBorder="1" applyAlignment="1" applyProtection="1">
      <alignment horizontal="center" vertical="top"/>
      <protection locked="0"/>
    </xf>
    <xf numFmtId="0" fontId="56" fillId="0" borderId="0" xfId="0" applyFont="1" applyBorder="1" applyAlignment="1" applyProtection="1">
      <alignment horizontal="right" vertical="top"/>
      <protection locked="0"/>
    </xf>
    <xf numFmtId="166" fontId="18" fillId="24" borderId="486" xfId="0" applyNumberFormat="1" applyFont="1" applyFill="1" applyBorder="1" applyAlignment="1" applyProtection="1">
      <alignment vertical="center"/>
      <protection hidden="1"/>
    </xf>
    <xf numFmtId="168" fontId="53" fillId="24" borderId="480" xfId="0" applyNumberFormat="1" applyFont="1" applyFill="1" applyBorder="1" applyAlignment="1" applyProtection="1">
      <alignment horizontal="center" vertical="center"/>
      <protection hidden="1"/>
    </xf>
    <xf numFmtId="191" fontId="420" fillId="39" borderId="381" xfId="0" applyNumberFormat="1" applyFont="1" applyFill="1" applyBorder="1" applyAlignment="1" applyProtection="1">
      <alignment horizontal="center" vertical="top"/>
      <protection hidden="1"/>
    </xf>
    <xf numFmtId="168" fontId="422" fillId="24" borderId="455" xfId="0" applyNumberFormat="1" applyFont="1" applyFill="1" applyBorder="1" applyAlignment="1" applyProtection="1">
      <alignment horizontal="center" vertical="top"/>
      <protection hidden="1"/>
    </xf>
    <xf numFmtId="166" fontId="18" fillId="28" borderId="516" xfId="0" applyNumberFormat="1" applyFont="1" applyFill="1" applyBorder="1" applyAlignment="1" applyProtection="1">
      <alignment vertical="center"/>
      <protection hidden="1"/>
    </xf>
    <xf numFmtId="166" fontId="18" fillId="24" borderId="516" xfId="0" applyNumberFormat="1" applyFont="1" applyFill="1" applyBorder="1" applyAlignment="1" applyProtection="1">
      <alignment vertical="center"/>
      <protection hidden="1"/>
    </xf>
    <xf numFmtId="166" fontId="18" fillId="24" borderId="520" xfId="0" applyNumberFormat="1" applyFont="1" applyFill="1" applyBorder="1" applyAlignment="1" applyProtection="1">
      <alignment vertical="center"/>
      <protection hidden="1"/>
    </xf>
    <xf numFmtId="168" fontId="53" fillId="24" borderId="521" xfId="0" applyNumberFormat="1" applyFont="1" applyFill="1" applyBorder="1" applyAlignment="1" applyProtection="1">
      <alignment horizontal="center" vertical="center"/>
      <protection hidden="1"/>
    </xf>
    <xf numFmtId="166" fontId="16" fillId="0" borderId="71" xfId="0" applyNumberFormat="1" applyFont="1" applyFill="1" applyBorder="1" applyAlignment="1" applyProtection="1">
      <alignment vertical="center"/>
      <protection locked="0"/>
    </xf>
    <xf numFmtId="166" fontId="202" fillId="0" borderId="236" xfId="0" applyNumberFormat="1" applyFont="1" applyBorder="1" applyAlignment="1" applyProtection="1">
      <alignment horizontal="right" vertical="center"/>
      <protection locked="0"/>
    </xf>
    <xf numFmtId="0" fontId="279" fillId="0" borderId="71" xfId="0" applyFont="1" applyFill="1" applyBorder="1" applyAlignment="1" applyProtection="1">
      <alignment horizontal="left" vertical="center" indent="1"/>
      <protection hidden="1"/>
    </xf>
    <xf numFmtId="0" fontId="202" fillId="0" borderId="236" xfId="0" applyFont="1" applyBorder="1" applyAlignment="1" applyProtection="1">
      <alignment horizontal="left" vertical="center" indent="2"/>
      <protection hidden="1"/>
    </xf>
    <xf numFmtId="0" fontId="290" fillId="49" borderId="436" xfId="0" applyFont="1" applyFill="1" applyBorder="1" applyAlignment="1" applyProtection="1">
      <alignment horizontal="left" vertical="center"/>
      <protection hidden="1"/>
    </xf>
    <xf numFmtId="166" fontId="18" fillId="37" borderId="522" xfId="0" applyNumberFormat="1" applyFont="1" applyFill="1" applyBorder="1" applyAlignment="1" applyProtection="1">
      <alignment vertical="center"/>
      <protection hidden="1"/>
    </xf>
    <xf numFmtId="166" fontId="213" fillId="66" borderId="238" xfId="0" applyNumberFormat="1" applyFont="1" applyFill="1" applyBorder="1" applyAlignment="1" applyProtection="1">
      <alignment vertical="center"/>
      <protection hidden="1"/>
    </xf>
    <xf numFmtId="168" fontId="213" fillId="66" borderId="294" xfId="0" applyNumberFormat="1" applyFont="1" applyFill="1" applyBorder="1" applyAlignment="1" applyProtection="1">
      <alignment horizontal="center"/>
      <protection locked="0"/>
    </xf>
    <xf numFmtId="166" fontId="18" fillId="37" borderId="167" xfId="0" applyNumberFormat="1" applyFont="1" applyFill="1" applyBorder="1" applyAlignment="1" applyProtection="1">
      <alignment vertical="center"/>
      <protection hidden="1"/>
    </xf>
    <xf numFmtId="168" fontId="60" fillId="0" borderId="362" xfId="0" applyNumberFormat="1" applyFont="1" applyFill="1" applyBorder="1" applyAlignment="1" applyProtection="1">
      <alignment horizontal="center" vertical="center"/>
      <protection hidden="1"/>
    </xf>
    <xf numFmtId="168" fontId="16" fillId="0" borderId="480" xfId="0" applyNumberFormat="1" applyFont="1" applyBorder="1" applyAlignment="1" applyProtection="1">
      <alignment horizontal="center" vertical="center"/>
      <protection hidden="1"/>
    </xf>
    <xf numFmtId="168" fontId="16" fillId="0" borderId="454" xfId="0" applyNumberFormat="1" applyFont="1" applyBorder="1" applyAlignment="1" applyProtection="1">
      <alignment horizontal="center" vertical="center"/>
      <protection hidden="1"/>
    </xf>
    <xf numFmtId="168" fontId="53" fillId="37" borderId="394" xfId="0" applyNumberFormat="1" applyFont="1" applyFill="1" applyBorder="1" applyAlignment="1" applyProtection="1">
      <alignment horizontal="center" vertical="center"/>
      <protection hidden="1"/>
    </xf>
    <xf numFmtId="168" fontId="53" fillId="37" borderId="525" xfId="0" applyNumberFormat="1" applyFont="1" applyFill="1" applyBorder="1" applyAlignment="1" applyProtection="1">
      <alignment horizontal="center" vertical="center"/>
      <protection hidden="1"/>
    </xf>
    <xf numFmtId="166" fontId="18" fillId="37" borderId="167" xfId="0" applyNumberFormat="1" applyFont="1" applyFill="1" applyBorder="1" applyAlignment="1" applyProtection="1">
      <alignment vertical="center"/>
      <protection locked="0"/>
    </xf>
    <xf numFmtId="0" fontId="279" fillId="0" borderId="438" xfId="0" applyFont="1" applyBorder="1" applyAlignment="1" applyProtection="1">
      <alignment horizontal="left" vertical="center" indent="1"/>
      <protection hidden="1"/>
    </xf>
    <xf numFmtId="0" fontId="290" fillId="46" borderId="439" xfId="0" applyFont="1" applyFill="1" applyBorder="1" applyAlignment="1" applyProtection="1">
      <alignment horizontal="left" vertical="center"/>
      <protection hidden="1"/>
    </xf>
    <xf numFmtId="166" fontId="16" fillId="0" borderId="438" xfId="0" applyNumberFormat="1" applyFont="1" applyBorder="1" applyAlignment="1" applyProtection="1">
      <alignment horizontal="right" vertical="center"/>
      <protection locked="0"/>
    </xf>
    <xf numFmtId="168" fontId="209" fillId="0" borderId="526" xfId="0" applyNumberFormat="1" applyFont="1" applyBorder="1" applyAlignment="1" applyProtection="1">
      <alignment horizontal="center" vertical="center"/>
      <protection hidden="1"/>
    </xf>
    <xf numFmtId="166" fontId="16" fillId="0" borderId="485" xfId="0" applyNumberFormat="1" applyFont="1" applyBorder="1" applyAlignment="1" applyProtection="1">
      <alignment horizontal="right" vertical="center"/>
      <protection locked="0"/>
    </xf>
    <xf numFmtId="166" fontId="204" fillId="0" borderId="527" xfId="0" applyNumberFormat="1" applyFont="1" applyBorder="1" applyAlignment="1" applyProtection="1">
      <alignment horizontal="right" vertical="center"/>
      <protection hidden="1"/>
    </xf>
    <xf numFmtId="168" fontId="65" fillId="0" borderId="454" xfId="0" applyNumberFormat="1" applyFont="1" applyBorder="1" applyAlignment="1" applyProtection="1">
      <alignment horizontal="center" vertical="center"/>
      <protection hidden="1"/>
    </xf>
    <xf numFmtId="166" fontId="16" fillId="0" borderId="515" xfId="0" applyNumberFormat="1" applyFont="1" applyBorder="1" applyAlignment="1" applyProtection="1">
      <alignment horizontal="right" vertical="center"/>
      <protection locked="0"/>
    </xf>
    <xf numFmtId="168" fontId="16" fillId="0" borderId="456" xfId="0" applyNumberFormat="1" applyFont="1" applyBorder="1" applyAlignment="1" applyProtection="1">
      <alignment horizontal="center" vertical="center"/>
      <protection locked="0"/>
    </xf>
    <xf numFmtId="166" fontId="16" fillId="0" borderId="527" xfId="0" applyNumberFormat="1" applyFont="1" applyBorder="1" applyAlignment="1" applyProtection="1">
      <alignment horizontal="right" vertical="center"/>
      <protection locked="0"/>
    </xf>
    <xf numFmtId="166" fontId="202" fillId="0" borderId="527" xfId="0" applyNumberFormat="1" applyFont="1" applyBorder="1" applyAlignment="1" applyProtection="1">
      <alignment horizontal="right" vertical="center"/>
      <protection locked="0"/>
    </xf>
    <xf numFmtId="166" fontId="373" fillId="46" borderId="369" xfId="13" applyNumberFormat="1" applyFont="1" applyFill="1" applyBorder="1" applyAlignment="1" applyProtection="1">
      <alignment vertical="center"/>
      <protection hidden="1"/>
    </xf>
    <xf numFmtId="168" fontId="373" fillId="46" borderId="371" xfId="13" applyNumberFormat="1" applyFont="1" applyFill="1" applyBorder="1" applyAlignment="1" applyProtection="1">
      <alignment horizontal="center" vertical="center"/>
      <protection hidden="1"/>
    </xf>
    <xf numFmtId="166" fontId="18" fillId="40" borderId="481" xfId="0" applyNumberFormat="1" applyFont="1" applyFill="1" applyBorder="1" applyAlignment="1" applyProtection="1">
      <alignment horizontal="right" vertical="center"/>
      <protection hidden="1"/>
    </xf>
    <xf numFmtId="9" fontId="237" fillId="40" borderId="395" xfId="0" applyNumberFormat="1" applyFont="1" applyFill="1" applyBorder="1" applyAlignment="1" applyProtection="1">
      <alignment horizontal="center" vertical="center"/>
      <protection locked="0"/>
    </xf>
    <xf numFmtId="0" fontId="220" fillId="46" borderId="528" xfId="13" applyFont="1" applyFill="1" applyBorder="1" applyAlignment="1">
      <alignment horizontal="left" vertical="center" indent="1"/>
    </xf>
    <xf numFmtId="166" fontId="220" fillId="46" borderId="486" xfId="13" applyNumberFormat="1" applyFont="1" applyFill="1" applyBorder="1" applyAlignment="1" applyProtection="1">
      <alignment vertical="center"/>
      <protection hidden="1"/>
    </xf>
    <xf numFmtId="168" fontId="238" fillId="46" borderId="480" xfId="13" applyNumberFormat="1" applyFont="1" applyFill="1" applyBorder="1" applyAlignment="1" applyProtection="1">
      <alignment horizontal="center" vertical="center"/>
      <protection hidden="1"/>
    </xf>
    <xf numFmtId="166" fontId="62" fillId="25" borderId="481" xfId="0" applyNumberFormat="1" applyFont="1" applyFill="1" applyBorder="1" applyAlignment="1" applyProtection="1">
      <alignment vertical="center"/>
      <protection hidden="1"/>
    </xf>
    <xf numFmtId="168" fontId="62" fillId="25" borderId="395" xfId="0" applyNumberFormat="1" applyFont="1" applyFill="1" applyBorder="1" applyAlignment="1" applyProtection="1">
      <alignment horizontal="center" vertical="center"/>
      <protection hidden="1"/>
    </xf>
    <xf numFmtId="0" fontId="204" fillId="0" borderId="236" xfId="0" applyFont="1" applyBorder="1" applyAlignment="1" applyProtection="1">
      <alignment horizontal="left" vertical="center" indent="1"/>
      <protection hidden="1"/>
    </xf>
    <xf numFmtId="0" fontId="279" fillId="0" borderId="237" xfId="0" applyFont="1" applyBorder="1" applyAlignment="1" applyProtection="1">
      <alignment horizontal="left" vertical="center" indent="1"/>
      <protection hidden="1"/>
    </xf>
    <xf numFmtId="0" fontId="279" fillId="0" borderId="236" xfId="0" applyFont="1" applyBorder="1" applyAlignment="1" applyProtection="1">
      <alignment horizontal="left" vertical="center" indent="1"/>
      <protection hidden="1"/>
    </xf>
    <xf numFmtId="0" fontId="373" fillId="46" borderId="293" xfId="13" applyFont="1" applyFill="1" applyBorder="1" applyAlignment="1">
      <alignment vertical="center"/>
    </xf>
    <xf numFmtId="0" fontId="374" fillId="46" borderId="365" xfId="13" applyFont="1" applyFill="1" applyBorder="1" applyAlignment="1" applyProtection="1">
      <alignment horizontal="left" vertical="center" wrapText="1" indent="1"/>
      <protection locked="0"/>
    </xf>
    <xf numFmtId="0" fontId="226" fillId="46" borderId="364" xfId="13" applyFont="1" applyFill="1" applyBorder="1" applyAlignment="1">
      <alignment horizontal="left" vertical="center" indent="1"/>
    </xf>
    <xf numFmtId="0" fontId="374" fillId="46" borderId="224" xfId="13" applyFont="1" applyFill="1" applyBorder="1" applyAlignment="1" applyProtection="1">
      <alignment horizontal="left" vertical="center" wrapText="1" indent="1"/>
      <protection locked="0"/>
    </xf>
    <xf numFmtId="0" fontId="373" fillId="46" borderId="290" xfId="13" applyFont="1" applyFill="1" applyBorder="1" applyAlignment="1">
      <alignment horizontal="left" vertical="center" indent="1"/>
    </xf>
    <xf numFmtId="166" fontId="18" fillId="46" borderId="516" xfId="0" applyNumberFormat="1" applyFont="1" applyFill="1" applyBorder="1" applyAlignment="1" applyProtection="1">
      <alignment vertical="center"/>
      <protection hidden="1"/>
    </xf>
    <xf numFmtId="168" fontId="53" fillId="46" borderId="394" xfId="0" applyNumberFormat="1" applyFont="1" applyFill="1" applyBorder="1" applyAlignment="1" applyProtection="1">
      <alignment horizontal="center" vertical="center"/>
      <protection hidden="1"/>
    </xf>
    <xf numFmtId="166" fontId="18" fillId="37" borderId="516" xfId="0" applyNumberFormat="1" applyFont="1" applyFill="1" applyBorder="1" applyAlignment="1" applyProtection="1">
      <alignment vertical="center"/>
      <protection hidden="1"/>
    </xf>
    <xf numFmtId="166" fontId="203" fillId="0" borderId="512" xfId="0" applyNumberFormat="1" applyFont="1" applyBorder="1" applyAlignment="1" applyProtection="1">
      <alignment horizontal="right" vertical="center"/>
      <protection hidden="1"/>
    </xf>
    <xf numFmtId="168" fontId="203" fillId="0" borderId="453" xfId="0" applyNumberFormat="1" applyFont="1" applyBorder="1" applyAlignment="1" applyProtection="1">
      <alignment horizontal="center" vertical="center"/>
      <protection locked="0"/>
    </xf>
    <xf numFmtId="166" fontId="203" fillId="0" borderId="369" xfId="0" applyNumberFormat="1" applyFont="1" applyBorder="1" applyAlignment="1" applyProtection="1">
      <alignment horizontal="right" vertical="center"/>
      <protection hidden="1"/>
    </xf>
    <xf numFmtId="0" fontId="292" fillId="0" borderId="236" xfId="0" quotePrefix="1" applyFont="1" applyBorder="1" applyAlignment="1" applyProtection="1">
      <alignment horizontal="left" vertical="center" indent="1"/>
      <protection hidden="1"/>
    </xf>
    <xf numFmtId="0" fontId="107" fillId="0" borderId="167" xfId="0" quotePrefix="1" applyFont="1" applyBorder="1" applyAlignment="1" applyProtection="1">
      <alignment horizontal="left" vertical="center" indent="1"/>
      <protection locked="0"/>
    </xf>
    <xf numFmtId="0" fontId="302" fillId="46" borderId="435" xfId="0" applyFont="1" applyFill="1" applyBorder="1" applyAlignment="1" applyProtection="1">
      <alignment horizontal="left" vertical="center"/>
      <protection hidden="1"/>
    </xf>
    <xf numFmtId="0" fontId="107" fillId="0" borderId="224" xfId="0" quotePrefix="1" applyFont="1" applyBorder="1" applyAlignment="1" applyProtection="1">
      <alignment horizontal="left" vertical="center" indent="1"/>
      <protection locked="0"/>
    </xf>
    <xf numFmtId="0" fontId="203" fillId="0" borderId="180" xfId="0" quotePrefix="1" applyFont="1" applyBorder="1" applyAlignment="1" applyProtection="1">
      <alignment horizontal="left" vertical="center" indent="1"/>
      <protection locked="0"/>
    </xf>
    <xf numFmtId="0" fontId="302" fillId="46" borderId="449" xfId="0" applyFont="1" applyFill="1" applyBorder="1" applyAlignment="1" applyProtection="1">
      <alignment horizontal="left" vertical="center"/>
      <protection hidden="1"/>
    </xf>
    <xf numFmtId="168" fontId="16" fillId="0" borderId="150" xfId="0" applyNumberFormat="1" applyFont="1" applyFill="1" applyBorder="1" applyAlignment="1" applyProtection="1">
      <alignment horizontal="center" vertical="center"/>
      <protection locked="0"/>
    </xf>
    <xf numFmtId="166" fontId="203" fillId="0" borderId="529" xfId="0" applyNumberFormat="1" applyFont="1" applyBorder="1" applyAlignment="1" applyProtection="1">
      <alignment horizontal="right" vertical="center"/>
      <protection hidden="1"/>
    </xf>
    <xf numFmtId="168" fontId="203" fillId="0" borderId="457" xfId="0" applyNumberFormat="1" applyFont="1" applyBorder="1" applyAlignment="1" applyProtection="1">
      <alignment horizontal="center" vertical="center"/>
      <protection locked="0"/>
    </xf>
    <xf numFmtId="168" fontId="203" fillId="0" borderId="371" xfId="0" applyNumberFormat="1" applyFont="1" applyBorder="1" applyAlignment="1" applyProtection="1">
      <alignment horizontal="center" vertical="center"/>
      <protection locked="0"/>
    </xf>
    <xf numFmtId="166" fontId="18" fillId="46" borderId="530" xfId="0" applyNumberFormat="1" applyFont="1" applyFill="1" applyBorder="1" applyAlignment="1" applyProtection="1">
      <alignment vertical="center"/>
      <protection hidden="1"/>
    </xf>
    <xf numFmtId="168" fontId="20" fillId="46" borderId="361" xfId="0" applyNumberFormat="1" applyFont="1" applyFill="1" applyBorder="1" applyAlignment="1" applyProtection="1">
      <alignment horizontal="center" vertical="center"/>
      <protection hidden="1"/>
    </xf>
    <xf numFmtId="0" fontId="358" fillId="0" borderId="224" xfId="0" applyFont="1" applyBorder="1" applyAlignment="1" applyProtection="1">
      <alignment horizontal="left" vertical="center" wrapText="1" indent="1"/>
      <protection hidden="1"/>
    </xf>
    <xf numFmtId="0" fontId="290" fillId="46" borderId="224" xfId="0" applyFont="1" applyFill="1" applyBorder="1" applyAlignment="1" applyProtection="1">
      <alignment horizontal="right" vertical="top"/>
      <protection hidden="1"/>
    </xf>
    <xf numFmtId="0" fontId="290" fillId="46" borderId="293" xfId="0" applyFont="1" applyFill="1" applyBorder="1" applyAlignment="1" applyProtection="1">
      <alignment horizontal="left" vertical="top"/>
      <protection hidden="1"/>
    </xf>
    <xf numFmtId="168" fontId="16" fillId="0" borderId="0" xfId="0" applyNumberFormat="1" applyFont="1" applyFill="1" applyBorder="1" applyAlignment="1" applyProtection="1">
      <alignment horizontal="center" vertical="top"/>
      <protection locked="0"/>
    </xf>
    <xf numFmtId="0" fontId="16" fillId="0" borderId="0" xfId="0" applyFont="1" applyBorder="1" applyAlignment="1" applyProtection="1">
      <alignment horizontal="right" vertical="top"/>
      <protection locked="0"/>
    </xf>
    <xf numFmtId="0" fontId="16" fillId="0" borderId="0" xfId="0" applyFont="1" applyBorder="1" applyAlignment="1" applyProtection="1">
      <alignment horizontal="center" vertical="top"/>
      <protection locked="0"/>
    </xf>
    <xf numFmtId="0" fontId="202" fillId="0" borderId="224" xfId="0" applyFont="1" applyBorder="1" applyAlignment="1" applyProtection="1">
      <alignment horizontal="left" vertical="top" wrapText="1" indent="1"/>
      <protection hidden="1"/>
    </xf>
    <xf numFmtId="0" fontId="292" fillId="0" borderId="71" xfId="0" applyFont="1" applyBorder="1" applyAlignment="1" applyProtection="1">
      <alignment horizontal="left" indent="1"/>
      <protection hidden="1"/>
    </xf>
    <xf numFmtId="0" fontId="290" fillId="46" borderId="71" xfId="0" applyFont="1" applyFill="1" applyBorder="1" applyAlignment="1" applyProtection="1">
      <alignment horizontal="right"/>
      <protection hidden="1"/>
    </xf>
    <xf numFmtId="0" fontId="290" fillId="46" borderId="172" xfId="0" applyFont="1" applyFill="1" applyBorder="1" applyAlignment="1" applyProtection="1">
      <alignment horizontal="left"/>
      <protection hidden="1"/>
    </xf>
    <xf numFmtId="0" fontId="290" fillId="46" borderId="167" xfId="0" applyFont="1" applyFill="1" applyBorder="1" applyAlignment="1" applyProtection="1">
      <alignment horizontal="right" vertical="center"/>
      <protection hidden="1"/>
    </xf>
    <xf numFmtId="0" fontId="290" fillId="46" borderId="245" xfId="0" applyFont="1" applyFill="1" applyBorder="1" applyAlignment="1" applyProtection="1">
      <alignment horizontal="left" vertical="center"/>
      <protection hidden="1"/>
    </xf>
    <xf numFmtId="0" fontId="290" fillId="46" borderId="365" xfId="0" applyFont="1" applyFill="1" applyBorder="1" applyAlignment="1" applyProtection="1">
      <alignment horizontal="right" vertical="center"/>
      <protection hidden="1"/>
    </xf>
    <xf numFmtId="0" fontId="290" fillId="46" borderId="364" xfId="0" applyFont="1" applyFill="1" applyBorder="1" applyAlignment="1" applyProtection="1">
      <alignment horizontal="left" vertical="center"/>
      <protection hidden="1"/>
    </xf>
    <xf numFmtId="166" fontId="16" fillId="0" borderId="71" xfId="0" applyNumberFormat="1" applyFont="1" applyBorder="1" applyAlignment="1" applyProtection="1">
      <alignment horizontal="right"/>
      <protection locked="0"/>
    </xf>
    <xf numFmtId="168" fontId="206" fillId="0" borderId="224" xfId="0" applyNumberFormat="1" applyFont="1" applyBorder="1" applyAlignment="1" applyProtection="1">
      <alignment horizontal="center" vertical="top"/>
      <protection hidden="1"/>
    </xf>
    <xf numFmtId="166" fontId="16" fillId="0" borderId="167" xfId="0" applyNumberFormat="1" applyFont="1" applyBorder="1" applyAlignment="1" applyProtection="1">
      <alignment horizontal="right" vertical="center"/>
      <protection locked="0"/>
    </xf>
    <xf numFmtId="166" fontId="16" fillId="0" borderId="224" xfId="0" applyNumberFormat="1" applyFont="1" applyFill="1" applyBorder="1" applyAlignment="1" applyProtection="1">
      <alignment horizontal="right" vertical="center"/>
      <protection locked="0" hidden="1"/>
    </xf>
    <xf numFmtId="168" fontId="206" fillId="0" borderId="413" xfId="0" applyNumberFormat="1" applyFont="1" applyBorder="1" applyAlignment="1" applyProtection="1">
      <alignment horizontal="center" vertical="center"/>
      <protection hidden="1"/>
    </xf>
    <xf numFmtId="166" fontId="16" fillId="0" borderId="365" xfId="0" applyNumberFormat="1" applyFont="1" applyFill="1" applyBorder="1" applyAlignment="1" applyProtection="1">
      <alignment horizontal="right" vertical="center"/>
      <protection locked="0" hidden="1"/>
    </xf>
    <xf numFmtId="168" fontId="206" fillId="0" borderId="242" xfId="0" applyNumberFormat="1" applyFont="1" applyBorder="1" applyAlignment="1" applyProtection="1">
      <alignment horizontal="center" vertical="center"/>
      <protection hidden="1"/>
    </xf>
    <xf numFmtId="0" fontId="292" fillId="0" borderId="224" xfId="0" applyFont="1" applyBorder="1" applyAlignment="1" applyProtection="1">
      <alignment horizontal="left" indent="1"/>
      <protection hidden="1"/>
    </xf>
    <xf numFmtId="0" fontId="60" fillId="0" borderId="224" xfId="0" applyFont="1" applyBorder="1" applyAlignment="1" applyProtection="1">
      <alignment horizontal="left" vertical="top" indent="1"/>
      <protection hidden="1"/>
    </xf>
    <xf numFmtId="166" fontId="16" fillId="0" borderId="224" xfId="0" applyNumberFormat="1" applyFont="1" applyFill="1" applyBorder="1" applyAlignment="1" applyProtection="1">
      <alignment horizontal="right"/>
      <protection hidden="1"/>
    </xf>
    <xf numFmtId="166" fontId="60" fillId="0" borderId="224" xfId="0" applyNumberFormat="1" applyFont="1" applyBorder="1" applyAlignment="1" applyProtection="1">
      <alignment horizontal="right" vertical="top"/>
      <protection locked="0"/>
    </xf>
    <xf numFmtId="0" fontId="0" fillId="46" borderId="413" xfId="0" applyFill="1" applyBorder="1" applyAlignment="1">
      <alignment horizontal="center" vertical="center"/>
    </xf>
    <xf numFmtId="0" fontId="0" fillId="46" borderId="412" xfId="0" applyFill="1" applyBorder="1" applyAlignment="1">
      <alignment horizontal="center" vertical="center"/>
    </xf>
    <xf numFmtId="168" fontId="16" fillId="0" borderId="225" xfId="0" applyNumberFormat="1" applyFont="1" applyFill="1" applyBorder="1" applyAlignment="1" applyProtection="1">
      <alignment horizontal="center" vertical="center"/>
      <protection locked="0"/>
    </xf>
    <xf numFmtId="0" fontId="0" fillId="46" borderId="242" xfId="0" applyFill="1" applyBorder="1" applyAlignment="1">
      <alignment horizontal="center" vertical="center"/>
    </xf>
    <xf numFmtId="0" fontId="390" fillId="0" borderId="167" xfId="0" applyFont="1" applyBorder="1" applyAlignment="1" applyProtection="1">
      <alignment horizontal="left" vertical="center" indent="1"/>
      <protection hidden="1"/>
    </xf>
    <xf numFmtId="0" fontId="390" fillId="0" borderId="258" xfId="0" applyFont="1" applyBorder="1" applyAlignment="1" applyProtection="1">
      <alignment horizontal="left" vertical="center" indent="1"/>
      <protection hidden="1"/>
    </xf>
    <xf numFmtId="235" fontId="390" fillId="0" borderId="258" xfId="0" applyNumberFormat="1" applyFont="1" applyBorder="1" applyAlignment="1" applyProtection="1">
      <alignment horizontal="center" vertical="center"/>
      <protection hidden="1"/>
    </xf>
    <xf numFmtId="235" fontId="390" fillId="0" borderId="531" xfId="0" applyNumberFormat="1" applyFont="1" applyBorder="1" applyAlignment="1" applyProtection="1">
      <alignment horizontal="center" vertical="center"/>
      <protection locked="0"/>
    </xf>
    <xf numFmtId="235" fontId="292" fillId="46" borderId="70" xfId="0" applyNumberFormat="1" applyFont="1" applyFill="1" applyBorder="1" applyAlignment="1" applyProtection="1">
      <alignment horizontal="center" vertical="center"/>
      <protection hidden="1"/>
    </xf>
    <xf numFmtId="168" fontId="201" fillId="28" borderId="167" xfId="0" applyNumberFormat="1" applyFont="1" applyFill="1" applyBorder="1" applyAlignment="1" applyProtection="1">
      <alignment horizontal="right" vertical="center"/>
      <protection locked="0"/>
    </xf>
    <xf numFmtId="0" fontId="290" fillId="46" borderId="394" xfId="0" applyFont="1" applyFill="1" applyBorder="1" applyAlignment="1" applyProtection="1">
      <alignment horizontal="left" vertical="center"/>
      <protection hidden="1"/>
    </xf>
    <xf numFmtId="0" fontId="290" fillId="46" borderId="171" xfId="0" applyFont="1" applyFill="1" applyBorder="1" applyAlignment="1" applyProtection="1">
      <alignment horizontal="right" vertical="center"/>
      <protection hidden="1"/>
    </xf>
    <xf numFmtId="0" fontId="290" fillId="46" borderId="532" xfId="0" applyFont="1" applyFill="1" applyBorder="1" applyAlignment="1" applyProtection="1">
      <alignment horizontal="right" vertical="center"/>
      <protection hidden="1"/>
    </xf>
    <xf numFmtId="0" fontId="302" fillId="46" borderId="533" xfId="0" applyFont="1" applyFill="1" applyBorder="1" applyAlignment="1" applyProtection="1">
      <alignment horizontal="right" vertical="center"/>
      <protection hidden="1"/>
    </xf>
    <xf numFmtId="0" fontId="302" fillId="46" borderId="534" xfId="0" applyFont="1" applyFill="1" applyBorder="1" applyAlignment="1" applyProtection="1">
      <alignment horizontal="right" vertical="center"/>
      <protection hidden="1"/>
    </xf>
    <xf numFmtId="0" fontId="302" fillId="46" borderId="461" xfId="0" applyFont="1" applyFill="1" applyBorder="1" applyAlignment="1" applyProtection="1">
      <alignment horizontal="right" vertical="center"/>
      <protection hidden="1"/>
    </xf>
    <xf numFmtId="0" fontId="290" fillId="46" borderId="535" xfId="0" applyFont="1" applyFill="1" applyBorder="1" applyAlignment="1" applyProtection="1">
      <alignment horizontal="right" vertical="center"/>
      <protection hidden="1"/>
    </xf>
    <xf numFmtId="166" fontId="16" fillId="0" borderId="171" xfId="0" applyNumberFormat="1" applyFont="1" applyFill="1" applyBorder="1" applyAlignment="1" applyProtection="1">
      <alignment vertical="center"/>
      <protection locked="0"/>
    </xf>
    <xf numFmtId="0" fontId="290" fillId="46" borderId="131" xfId="0" applyFont="1" applyFill="1" applyBorder="1" applyAlignment="1" applyProtection="1">
      <alignment horizontal="right" vertical="center"/>
      <protection hidden="1"/>
    </xf>
    <xf numFmtId="0" fontId="290" fillId="46" borderId="536" xfId="0" applyFont="1" applyFill="1" applyBorder="1" applyAlignment="1" applyProtection="1">
      <alignment horizontal="right" vertical="center"/>
      <protection hidden="1"/>
    </xf>
    <xf numFmtId="0" fontId="290" fillId="49" borderId="532" xfId="0" applyFont="1" applyFill="1" applyBorder="1" applyAlignment="1" applyProtection="1">
      <alignment horizontal="right" vertical="center"/>
      <protection hidden="1"/>
    </xf>
    <xf numFmtId="0" fontId="290" fillId="46" borderId="232" xfId="0" applyFont="1" applyFill="1" applyBorder="1" applyAlignment="1" applyProtection="1">
      <alignment horizontal="right" vertical="center"/>
      <protection hidden="1"/>
    </xf>
    <xf numFmtId="0" fontId="290" fillId="46" borderId="534" xfId="0" applyFont="1" applyFill="1" applyBorder="1" applyAlignment="1" applyProtection="1">
      <alignment horizontal="right" vertical="center"/>
      <protection hidden="1"/>
    </xf>
    <xf numFmtId="0" fontId="290" fillId="46" borderId="461" xfId="0" applyFont="1" applyFill="1" applyBorder="1" applyAlignment="1" applyProtection="1">
      <alignment horizontal="right" vertical="center"/>
      <protection hidden="1"/>
    </xf>
    <xf numFmtId="0" fontId="290" fillId="46" borderId="291" xfId="0" applyFont="1" applyFill="1" applyBorder="1" applyAlignment="1" applyProtection="1">
      <alignment horizontal="right" vertical="center"/>
      <protection hidden="1"/>
    </xf>
    <xf numFmtId="0" fontId="290" fillId="49" borderId="534" xfId="0" applyFont="1" applyFill="1" applyBorder="1" applyAlignment="1" applyProtection="1">
      <alignment horizontal="right" vertical="center"/>
      <protection hidden="1"/>
    </xf>
    <xf numFmtId="0" fontId="290" fillId="49" borderId="221" xfId="0" applyFont="1" applyFill="1" applyBorder="1" applyAlignment="1">
      <alignment horizontal="right" vertical="center"/>
    </xf>
    <xf numFmtId="0" fontId="40" fillId="46" borderId="131" xfId="0" applyFont="1" applyFill="1" applyBorder="1" applyAlignment="1" applyProtection="1">
      <alignment horizontal="right" vertical="center"/>
      <protection hidden="1"/>
    </xf>
    <xf numFmtId="0" fontId="17" fillId="46" borderId="461" xfId="0" applyFont="1" applyFill="1" applyBorder="1" applyAlignment="1" applyProtection="1">
      <alignment horizontal="right" vertical="center"/>
      <protection hidden="1"/>
    </xf>
    <xf numFmtId="0" fontId="290" fillId="46" borderId="492" xfId="0" applyFont="1" applyFill="1" applyBorder="1" applyAlignment="1" applyProtection="1">
      <alignment horizontal="right" vertical="center"/>
      <protection hidden="1"/>
    </xf>
    <xf numFmtId="0" fontId="290" fillId="46" borderId="219" xfId="0" applyFont="1" applyFill="1" applyBorder="1" applyAlignment="1" applyProtection="1">
      <alignment horizontal="right" vertical="center"/>
      <protection hidden="1"/>
    </xf>
    <xf numFmtId="0" fontId="290" fillId="46" borderId="537" xfId="0" applyFont="1" applyFill="1" applyBorder="1" applyAlignment="1" applyProtection="1">
      <alignment horizontal="right" vertical="center"/>
      <protection hidden="1"/>
    </xf>
    <xf numFmtId="0" fontId="290" fillId="46" borderId="231" xfId="0" applyFont="1" applyFill="1" applyBorder="1" applyAlignment="1" applyProtection="1">
      <alignment horizontal="right" vertical="center"/>
      <protection hidden="1"/>
    </xf>
    <xf numFmtId="0" fontId="290" fillId="46" borderId="538" xfId="0" applyFont="1" applyFill="1" applyBorder="1" applyAlignment="1" applyProtection="1">
      <alignment horizontal="right" vertical="center"/>
      <protection hidden="1"/>
    </xf>
    <xf numFmtId="0" fontId="290" fillId="46" borderId="533" xfId="0" applyFont="1" applyFill="1" applyBorder="1" applyAlignment="1" applyProtection="1">
      <alignment horizontal="right" vertical="center"/>
      <protection hidden="1"/>
    </xf>
    <xf numFmtId="0" fontId="290" fillId="49" borderId="131" xfId="0" applyFont="1" applyFill="1" applyBorder="1" applyAlignment="1" applyProtection="1">
      <alignment horizontal="right" vertical="center"/>
      <protection hidden="1"/>
    </xf>
    <xf numFmtId="0" fontId="290" fillId="46" borderId="166" xfId="0" applyFont="1" applyFill="1" applyBorder="1" applyAlignment="1" applyProtection="1">
      <alignment horizontal="center" vertical="center"/>
      <protection hidden="1"/>
    </xf>
    <xf numFmtId="0" fontId="290" fillId="46" borderId="500" xfId="0" applyFont="1" applyFill="1" applyBorder="1" applyAlignment="1" applyProtection="1">
      <alignment horizontal="center" vertical="center"/>
      <protection hidden="1"/>
    </xf>
    <xf numFmtId="0" fontId="290" fillId="46" borderId="412" xfId="0" applyFont="1" applyFill="1" applyBorder="1" applyAlignment="1" applyProtection="1">
      <alignment horizontal="center" vertical="center"/>
      <protection hidden="1"/>
    </xf>
    <xf numFmtId="0" fontId="181" fillId="59" borderId="418" xfId="0" applyFont="1" applyFill="1" applyBorder="1" applyAlignment="1" applyProtection="1">
      <alignment horizontal="center" vertical="center"/>
      <protection hidden="1"/>
    </xf>
    <xf numFmtId="0" fontId="290" fillId="46" borderId="501" xfId="0" applyFont="1" applyFill="1" applyBorder="1" applyAlignment="1" applyProtection="1">
      <alignment horizontal="center" vertical="center"/>
      <protection hidden="1"/>
    </xf>
    <xf numFmtId="0" fontId="290" fillId="49" borderId="500" xfId="0" applyFont="1" applyFill="1" applyBorder="1" applyAlignment="1" applyProtection="1">
      <alignment horizontal="center" vertical="center"/>
      <protection hidden="1"/>
    </xf>
    <xf numFmtId="0" fontId="290" fillId="46" borderId="413" xfId="0" applyFont="1" applyFill="1" applyBorder="1" applyAlignment="1" applyProtection="1">
      <alignment horizontal="center" vertical="center"/>
      <protection hidden="1"/>
    </xf>
    <xf numFmtId="0" fontId="290" fillId="49" borderId="444" xfId="0" applyFont="1" applyFill="1" applyBorder="1" applyAlignment="1" applyProtection="1">
      <alignment horizontal="center" vertical="center"/>
      <protection hidden="1"/>
    </xf>
    <xf numFmtId="0" fontId="290" fillId="46" borderId="539" xfId="0" applyFont="1" applyFill="1" applyBorder="1" applyAlignment="1" applyProtection="1">
      <alignment horizontal="center" vertical="center"/>
      <protection hidden="1"/>
    </xf>
    <xf numFmtId="0" fontId="290" fillId="49" borderId="413" xfId="0" applyFont="1" applyFill="1" applyBorder="1" applyAlignment="1" applyProtection="1">
      <alignment horizontal="center" vertical="center"/>
      <protection hidden="1"/>
    </xf>
    <xf numFmtId="0" fontId="290" fillId="46" borderId="506" xfId="0" applyFont="1" applyFill="1" applyBorder="1" applyAlignment="1" applyProtection="1">
      <alignment horizontal="center" vertical="center"/>
      <protection hidden="1"/>
    </xf>
    <xf numFmtId="0" fontId="290" fillId="46" borderId="504" xfId="0" applyFont="1" applyFill="1" applyBorder="1" applyAlignment="1" applyProtection="1">
      <alignment horizontal="center" vertical="center"/>
      <protection hidden="1"/>
    </xf>
    <xf numFmtId="0" fontId="302" fillId="46" borderId="500" xfId="0" applyFont="1" applyFill="1" applyBorder="1" applyAlignment="1" applyProtection="1">
      <alignment horizontal="center" vertical="center"/>
      <protection hidden="1"/>
    </xf>
    <xf numFmtId="0" fontId="302" fillId="46" borderId="413" xfId="0" applyFont="1" applyFill="1" applyBorder="1" applyAlignment="1" applyProtection="1">
      <alignment horizontal="center" vertical="center"/>
      <protection hidden="1"/>
    </xf>
    <xf numFmtId="0" fontId="290" fillId="49" borderId="504" xfId="0" applyFont="1" applyFill="1" applyBorder="1" applyAlignment="1" applyProtection="1">
      <alignment horizontal="center" vertical="center"/>
      <protection hidden="1"/>
    </xf>
    <xf numFmtId="0" fontId="290" fillId="49" borderId="506" xfId="0" applyFont="1" applyFill="1" applyBorder="1" applyAlignment="1" applyProtection="1">
      <alignment horizontal="center" vertical="center"/>
      <protection hidden="1"/>
    </xf>
    <xf numFmtId="0" fontId="4" fillId="59" borderId="540" xfId="0" applyFont="1" applyFill="1" applyBorder="1" applyAlignment="1">
      <alignment vertical="center"/>
    </xf>
    <xf numFmtId="0" fontId="19" fillId="0" borderId="413" xfId="0" applyFont="1" applyBorder="1" applyAlignment="1" applyProtection="1">
      <alignment horizontal="center"/>
      <protection hidden="1"/>
    </xf>
    <xf numFmtId="0" fontId="302" fillId="46" borderId="168" xfId="0" applyFont="1" applyFill="1" applyBorder="1" applyAlignment="1" applyProtection="1">
      <alignment horizontal="center" vertical="center"/>
      <protection hidden="1"/>
    </xf>
    <xf numFmtId="0" fontId="290" fillId="46" borderId="444" xfId="0" applyFont="1" applyFill="1" applyBorder="1" applyAlignment="1" applyProtection="1">
      <alignment horizontal="center" vertical="center"/>
      <protection hidden="1"/>
    </xf>
    <xf numFmtId="0" fontId="181" fillId="44" borderId="540" xfId="0" applyFont="1" applyFill="1" applyBorder="1" applyAlignment="1" applyProtection="1">
      <alignment horizontal="center" vertical="center"/>
      <protection hidden="1"/>
    </xf>
    <xf numFmtId="0" fontId="290" fillId="49" borderId="460" xfId="0" applyFont="1" applyFill="1" applyBorder="1" applyAlignment="1">
      <alignment horizontal="center" vertical="center"/>
    </xf>
    <xf numFmtId="0" fontId="290" fillId="49" borderId="175" xfId="0" applyFont="1" applyFill="1" applyBorder="1" applyAlignment="1">
      <alignment horizontal="center" vertical="center"/>
    </xf>
    <xf numFmtId="168" fontId="20" fillId="25" borderId="294" xfId="0" applyNumberFormat="1" applyFont="1" applyFill="1" applyBorder="1" applyAlignment="1" applyProtection="1">
      <alignment horizontal="center" vertical="center"/>
      <protection locked="0"/>
    </xf>
    <xf numFmtId="166" fontId="113" fillId="25" borderId="238" xfId="0" applyNumberFormat="1" applyFont="1" applyFill="1" applyBorder="1" applyAlignment="1" applyProtection="1">
      <alignment horizontal="center" vertical="center"/>
      <protection hidden="1"/>
    </xf>
    <xf numFmtId="166" fontId="113" fillId="25" borderId="541" xfId="0" applyNumberFormat="1" applyFont="1" applyFill="1" applyBorder="1" applyAlignment="1" applyProtection="1">
      <alignment horizontal="center" vertical="center"/>
      <protection hidden="1"/>
    </xf>
    <xf numFmtId="168" fontId="20" fillId="25" borderId="542" xfId="0" applyNumberFormat="1" applyFont="1" applyFill="1" applyBorder="1" applyAlignment="1" applyProtection="1">
      <alignment horizontal="center" vertical="center"/>
      <protection locked="0"/>
    </xf>
    <xf numFmtId="166" fontId="360" fillId="46" borderId="136" xfId="0" applyNumberFormat="1" applyFont="1" applyFill="1" applyBorder="1" applyAlignment="1" applyProtection="1">
      <alignment vertical="center"/>
      <protection hidden="1"/>
    </xf>
    <xf numFmtId="168" fontId="485" fillId="0" borderId="371" xfId="0" applyNumberFormat="1" applyFont="1" applyBorder="1" applyAlignment="1" applyProtection="1">
      <alignment horizontal="center" vertical="center"/>
      <protection hidden="1"/>
    </xf>
    <xf numFmtId="168" fontId="485" fillId="0" borderId="394" xfId="0" applyNumberFormat="1" applyFont="1" applyBorder="1" applyAlignment="1" applyProtection="1">
      <alignment horizontal="center" vertical="center"/>
      <protection hidden="1"/>
    </xf>
    <xf numFmtId="168" fontId="485" fillId="0" borderId="392" xfId="0" applyNumberFormat="1" applyFont="1" applyBorder="1" applyAlignment="1" applyProtection="1">
      <alignment horizontal="center" vertical="center"/>
      <protection hidden="1"/>
    </xf>
    <xf numFmtId="168" fontId="210" fillId="46" borderId="395" xfId="0" applyNumberFormat="1" applyFont="1" applyFill="1" applyBorder="1" applyAlignment="1" applyProtection="1">
      <alignment horizontal="center" vertical="center"/>
      <protection hidden="1"/>
    </xf>
    <xf numFmtId="168" fontId="485" fillId="0" borderId="293" xfId="0" applyNumberFormat="1" applyFont="1" applyBorder="1" applyAlignment="1" applyProtection="1">
      <alignment horizontal="center" vertical="center"/>
      <protection hidden="1"/>
    </xf>
    <xf numFmtId="168" fontId="485" fillId="0" borderId="245" xfId="0" applyNumberFormat="1" applyFont="1" applyBorder="1" applyAlignment="1" applyProtection="1">
      <alignment horizontal="center" vertical="center"/>
      <protection hidden="1"/>
    </xf>
    <xf numFmtId="168" fontId="485" fillId="0" borderId="323" xfId="0" applyNumberFormat="1" applyFont="1" applyBorder="1" applyAlignment="1" applyProtection="1">
      <alignment horizontal="center" vertical="center"/>
      <protection hidden="1"/>
    </xf>
    <xf numFmtId="3" fontId="16" fillId="0" borderId="70" xfId="0" applyNumberFormat="1" applyFont="1" applyBorder="1" applyAlignment="1" applyProtection="1">
      <alignment horizontal="right" vertical="center" indent="1"/>
      <protection hidden="1"/>
    </xf>
    <xf numFmtId="3" fontId="16" fillId="0" borderId="353" xfId="0" applyNumberFormat="1" applyFont="1" applyBorder="1" applyAlignment="1" applyProtection="1">
      <alignment horizontal="right" vertical="center" indent="1"/>
      <protection hidden="1"/>
    </xf>
    <xf numFmtId="166" fontId="16" fillId="46" borderId="185" xfId="0" applyNumberFormat="1" applyFont="1" applyFill="1" applyBorder="1" applyAlignment="1" applyProtection="1">
      <alignment horizontal="right" vertical="center"/>
      <protection hidden="1"/>
    </xf>
    <xf numFmtId="166" fontId="113" fillId="44" borderId="238" xfId="0" applyNumberFormat="1" applyFont="1" applyFill="1" applyBorder="1" applyAlignment="1" applyProtection="1">
      <alignment horizontal="center" vertical="center"/>
      <protection hidden="1"/>
    </xf>
    <xf numFmtId="1" fontId="20" fillId="0" borderId="203" xfId="0" applyNumberFormat="1" applyFont="1" applyFill="1" applyBorder="1" applyAlignment="1" applyProtection="1">
      <alignment horizontal="center"/>
      <protection locked="0"/>
    </xf>
    <xf numFmtId="174" fontId="20" fillId="0" borderId="0" xfId="0" applyNumberFormat="1" applyFont="1" applyFill="1" applyBorder="1" applyAlignment="1" applyProtection="1">
      <alignment horizontal="right" indent="1"/>
      <protection locked="0"/>
    </xf>
    <xf numFmtId="0" fontId="20" fillId="59" borderId="166" xfId="0" applyFont="1" applyFill="1" applyBorder="1" applyAlignment="1" applyProtection="1">
      <alignment horizontal="left" indent="1"/>
      <protection hidden="1"/>
    </xf>
    <xf numFmtId="0" fontId="104" fillId="59" borderId="413" xfId="0" applyFont="1" applyFill="1" applyBorder="1" applyAlignment="1" applyProtection="1">
      <alignment horizontal="left" vertical="top" indent="1"/>
      <protection hidden="1"/>
    </xf>
    <xf numFmtId="0" fontId="185" fillId="59" borderId="155" xfId="0" applyFont="1" applyFill="1" applyBorder="1" applyAlignment="1" applyProtection="1">
      <alignment horizontal="center" vertical="center"/>
      <protection hidden="1"/>
    </xf>
    <xf numFmtId="1" fontId="190" fillId="59" borderId="373" xfId="23" applyNumberFormat="1" applyFont="1" applyFill="1" applyBorder="1" applyAlignment="1" applyProtection="1">
      <alignment horizontal="center"/>
      <protection hidden="1"/>
    </xf>
    <xf numFmtId="166" fontId="213" fillId="59" borderId="247" xfId="0" applyNumberFormat="1" applyFont="1" applyFill="1" applyBorder="1" applyAlignment="1" applyProtection="1">
      <alignment horizontal="center" vertical="top"/>
      <protection hidden="1"/>
    </xf>
    <xf numFmtId="166" fontId="213" fillId="59" borderId="248" xfId="0" applyNumberFormat="1" applyFont="1" applyFill="1" applyBorder="1" applyAlignment="1" applyProtection="1">
      <alignment horizontal="center" vertical="top"/>
      <protection hidden="1"/>
    </xf>
    <xf numFmtId="1" fontId="190" fillId="65" borderId="544" xfId="23" applyNumberFormat="1" applyFont="1" applyFill="1" applyBorder="1" applyAlignment="1" applyProtection="1">
      <alignment horizontal="center"/>
      <protection hidden="1"/>
    </xf>
    <xf numFmtId="1" fontId="190" fillId="65" borderId="373" xfId="23" applyNumberFormat="1" applyFont="1" applyFill="1" applyBorder="1" applyAlignment="1" applyProtection="1">
      <alignment horizontal="center"/>
      <protection hidden="1"/>
    </xf>
    <xf numFmtId="166" fontId="62" fillId="65" borderId="374" xfId="0" applyNumberFormat="1" applyFont="1" applyFill="1" applyBorder="1" applyAlignment="1" applyProtection="1">
      <alignment horizontal="center" vertical="top"/>
      <protection hidden="1"/>
    </xf>
    <xf numFmtId="166" fontId="62" fillId="65" borderId="247" xfId="0" applyNumberFormat="1" applyFont="1" applyFill="1" applyBorder="1" applyAlignment="1" applyProtection="1">
      <alignment horizontal="center" vertical="top"/>
      <protection hidden="1"/>
    </xf>
    <xf numFmtId="166" fontId="62" fillId="65" borderId="248" xfId="0" applyNumberFormat="1" applyFont="1" applyFill="1" applyBorder="1" applyAlignment="1" applyProtection="1">
      <alignment horizontal="center" vertical="top"/>
      <protection hidden="1"/>
    </xf>
    <xf numFmtId="166" fontId="92" fillId="28" borderId="380" xfId="0" applyNumberFormat="1" applyFont="1" applyFill="1" applyBorder="1" applyAlignment="1" applyProtection="1">
      <alignment vertical="center"/>
      <protection hidden="1"/>
    </xf>
    <xf numFmtId="166" fontId="92" fillId="28" borderId="370" xfId="0" applyNumberFormat="1" applyFont="1" applyFill="1" applyBorder="1" applyAlignment="1" applyProtection="1">
      <alignment vertical="center"/>
      <protection hidden="1"/>
    </xf>
    <xf numFmtId="166" fontId="92" fillId="0" borderId="298" xfId="0" applyNumberFormat="1" applyFont="1" applyBorder="1" applyAlignment="1" applyProtection="1">
      <alignment vertical="center"/>
      <protection locked="0"/>
    </xf>
    <xf numFmtId="166" fontId="92" fillId="0" borderId="318" xfId="0" applyNumberFormat="1" applyFont="1" applyBorder="1" applyAlignment="1" applyProtection="1">
      <alignment vertical="center"/>
      <protection locked="0"/>
    </xf>
    <xf numFmtId="166" fontId="92" fillId="0" borderId="167" xfId="0" applyNumberFormat="1" applyFont="1" applyBorder="1" applyAlignment="1" applyProtection="1">
      <alignment vertical="center"/>
      <protection locked="0"/>
    </xf>
    <xf numFmtId="166" fontId="92" fillId="0" borderId="245" xfId="0" applyNumberFormat="1" applyFont="1" applyBorder="1" applyAlignment="1" applyProtection="1">
      <alignment vertical="center"/>
      <protection locked="0"/>
    </xf>
    <xf numFmtId="166" fontId="92" fillId="0" borderId="224" xfId="0" applyNumberFormat="1" applyFont="1" applyBorder="1" applyAlignment="1" applyProtection="1">
      <alignment vertical="center"/>
      <protection locked="0"/>
    </xf>
    <xf numFmtId="166" fontId="92" fillId="0" borderId="293" xfId="0" applyNumberFormat="1" applyFont="1" applyBorder="1" applyAlignment="1" applyProtection="1">
      <alignment vertical="center"/>
      <protection locked="0"/>
    </xf>
    <xf numFmtId="166" fontId="239" fillId="40" borderId="459" xfId="0" applyNumberFormat="1" applyFont="1" applyFill="1" applyBorder="1" applyAlignment="1" applyProtection="1">
      <alignment horizontal="center" vertical="center"/>
      <protection hidden="1"/>
    </xf>
    <xf numFmtId="166" fontId="239" fillId="40" borderId="174" xfId="0" applyNumberFormat="1" applyFont="1" applyFill="1" applyBorder="1" applyAlignment="1" applyProtection="1">
      <alignment horizontal="center" vertical="center"/>
      <protection hidden="1"/>
    </xf>
    <xf numFmtId="166" fontId="185" fillId="59" borderId="293" xfId="0" applyNumberFormat="1" applyFont="1" applyFill="1" applyBorder="1" applyAlignment="1" applyProtection="1">
      <alignment vertical="center"/>
      <protection hidden="1"/>
    </xf>
    <xf numFmtId="166" fontId="20" fillId="26" borderId="443" xfId="0" applyNumberFormat="1" applyFont="1" applyFill="1" applyBorder="1" applyAlignment="1" applyProtection="1">
      <alignment vertical="center"/>
      <protection hidden="1"/>
    </xf>
    <xf numFmtId="166" fontId="20" fillId="87" borderId="357" xfId="0" applyNumberFormat="1" applyFont="1" applyFill="1" applyBorder="1" applyAlignment="1" applyProtection="1">
      <alignment vertical="center"/>
      <protection hidden="1"/>
    </xf>
    <xf numFmtId="166" fontId="20" fillId="87" borderId="359" xfId="0" applyNumberFormat="1" applyFont="1" applyFill="1" applyBorder="1" applyAlignment="1" applyProtection="1">
      <alignment vertical="center"/>
      <protection hidden="1"/>
    </xf>
    <xf numFmtId="166" fontId="20" fillId="87" borderId="382" xfId="0" applyNumberFormat="1" applyFont="1" applyFill="1" applyBorder="1" applyAlignment="1" applyProtection="1">
      <alignment vertical="center"/>
      <protection hidden="1"/>
    </xf>
    <xf numFmtId="166" fontId="16" fillId="28" borderId="380" xfId="0" applyNumberFormat="1" applyFont="1" applyFill="1" applyBorder="1" applyAlignment="1" applyProtection="1">
      <alignment vertical="center"/>
      <protection hidden="1"/>
    </xf>
    <xf numFmtId="166" fontId="20" fillId="51" borderId="414" xfId="0" applyNumberFormat="1" applyFont="1" applyFill="1" applyBorder="1" applyAlignment="1" applyProtection="1">
      <alignment vertical="center"/>
      <protection hidden="1"/>
    </xf>
    <xf numFmtId="0" fontId="31" fillId="26" borderId="443" xfId="0" applyFont="1" applyFill="1" applyBorder="1" applyAlignment="1" applyProtection="1">
      <alignment horizontal="left" vertical="center" indent="1"/>
      <protection locked="0"/>
    </xf>
    <xf numFmtId="166" fontId="92" fillId="0" borderId="366" xfId="0" applyNumberFormat="1" applyFont="1" applyBorder="1" applyAlignment="1" applyProtection="1">
      <alignment vertical="center"/>
      <protection locked="0"/>
    </xf>
    <xf numFmtId="166" fontId="92" fillId="0" borderId="368" xfId="0" applyNumberFormat="1" applyFont="1" applyBorder="1" applyAlignment="1" applyProtection="1">
      <alignment vertical="center"/>
      <protection locked="0"/>
    </xf>
    <xf numFmtId="166" fontId="92" fillId="0" borderId="365" xfId="0" applyNumberFormat="1" applyFont="1" applyBorder="1" applyAlignment="1" applyProtection="1">
      <alignment vertical="center"/>
      <protection locked="0"/>
    </xf>
    <xf numFmtId="166" fontId="92" fillId="0" borderId="363" xfId="0" applyNumberFormat="1" applyFont="1" applyBorder="1" applyAlignment="1" applyProtection="1">
      <alignment vertical="center"/>
      <protection locked="0"/>
    </xf>
    <xf numFmtId="166" fontId="92" fillId="0" borderId="364" xfId="0" applyNumberFormat="1" applyFont="1" applyBorder="1" applyAlignment="1" applyProtection="1">
      <alignment vertical="center"/>
      <protection locked="0"/>
    </xf>
    <xf numFmtId="166" fontId="185" fillId="44" borderId="375" xfId="0" applyNumberFormat="1" applyFont="1" applyFill="1" applyBorder="1" applyAlignment="1" applyProtection="1">
      <alignment vertical="center"/>
      <protection hidden="1"/>
    </xf>
    <xf numFmtId="166" fontId="185" fillId="44" borderId="220" xfId="0" applyNumberFormat="1" applyFont="1" applyFill="1" applyBorder="1" applyAlignment="1" applyProtection="1">
      <alignment vertical="center"/>
      <protection hidden="1"/>
    </xf>
    <xf numFmtId="166" fontId="185" fillId="44" borderId="379" xfId="0" applyNumberFormat="1" applyFont="1" applyFill="1" applyBorder="1" applyAlignment="1" applyProtection="1">
      <alignment vertical="center"/>
      <protection hidden="1"/>
    </xf>
    <xf numFmtId="0" fontId="305" fillId="46" borderId="70" xfId="0" applyFont="1" applyFill="1" applyBorder="1" applyAlignment="1" applyProtection="1">
      <alignment horizontal="left" vertical="center" indent="1"/>
      <protection locked="0"/>
    </xf>
    <xf numFmtId="0" fontId="55" fillId="0" borderId="0" xfId="0" applyFont="1" applyFill="1" applyBorder="1" applyAlignment="1" applyProtection="1">
      <alignment horizontal="right" vertical="center" indent="1"/>
      <protection locked="0"/>
    </xf>
    <xf numFmtId="185" fontId="305" fillId="46" borderId="136" xfId="0" applyNumberFormat="1" applyFont="1" applyFill="1" applyBorder="1" applyAlignment="1" applyProtection="1">
      <alignment horizontal="center" vertical="center"/>
      <protection locked="0"/>
    </xf>
    <xf numFmtId="185" fontId="305" fillId="46" borderId="70" xfId="0" applyNumberFormat="1" applyFont="1" applyFill="1" applyBorder="1" applyAlignment="1" applyProtection="1">
      <alignment horizontal="center" vertical="center"/>
      <protection locked="0"/>
    </xf>
    <xf numFmtId="185" fontId="305" fillId="46" borderId="135" xfId="0" applyNumberFormat="1" applyFont="1" applyFill="1" applyBorder="1" applyAlignment="1" applyProtection="1">
      <alignment horizontal="center" vertical="center"/>
      <protection locked="0"/>
    </xf>
    <xf numFmtId="166" fontId="30" fillId="44" borderId="244" xfId="0" applyNumberFormat="1" applyFont="1" applyFill="1" applyBorder="1" applyAlignment="1" applyProtection="1">
      <alignment vertical="center"/>
      <protection locked="0"/>
    </xf>
    <xf numFmtId="166" fontId="62" fillId="44" borderId="70" xfId="0" applyNumberFormat="1" applyFont="1" applyFill="1" applyBorder="1" applyAlignment="1" applyProtection="1">
      <alignment vertical="center"/>
      <protection hidden="1"/>
    </xf>
    <xf numFmtId="166" fontId="62" fillId="44" borderId="136" xfId="0" applyNumberFormat="1" applyFont="1" applyFill="1" applyBorder="1" applyAlignment="1" applyProtection="1">
      <alignment vertical="center"/>
      <protection hidden="1"/>
    </xf>
    <xf numFmtId="166" fontId="427" fillId="46" borderId="546" xfId="0" applyNumberFormat="1" applyFont="1" applyFill="1" applyBorder="1" applyAlignment="1" applyProtection="1">
      <alignment vertical="center"/>
      <protection hidden="1"/>
    </xf>
    <xf numFmtId="9" fontId="427" fillId="46" borderId="547" xfId="0" applyNumberFormat="1" applyFont="1" applyFill="1" applyBorder="1" applyAlignment="1" applyProtection="1">
      <alignment horizontal="center" vertical="center"/>
      <protection hidden="1"/>
    </xf>
    <xf numFmtId="166" fontId="453" fillId="48" borderId="548" xfId="0" applyNumberFormat="1" applyFont="1" applyFill="1" applyBorder="1" applyAlignment="1" applyProtection="1">
      <alignment vertical="center"/>
      <protection hidden="1"/>
    </xf>
    <xf numFmtId="9" fontId="453" fillId="48" borderId="549" xfId="0" applyNumberFormat="1" applyFont="1" applyFill="1" applyBorder="1" applyAlignment="1" applyProtection="1">
      <alignment horizontal="center" vertical="center"/>
      <protection hidden="1"/>
    </xf>
    <xf numFmtId="166" fontId="427" fillId="46" borderId="380" xfId="0" applyNumberFormat="1" applyFont="1" applyFill="1" applyBorder="1" applyAlignment="1" applyProtection="1">
      <alignment vertical="center"/>
      <protection hidden="1"/>
    </xf>
    <xf numFmtId="166" fontId="453" fillId="48" borderId="67" xfId="0" applyNumberFormat="1" applyFont="1" applyFill="1" applyBorder="1" applyAlignment="1" applyProtection="1">
      <alignment vertical="center"/>
      <protection hidden="1"/>
    </xf>
    <xf numFmtId="0" fontId="274" fillId="46" borderId="70" xfId="16" applyFont="1" applyFill="1" applyBorder="1" applyAlignment="1" applyProtection="1">
      <alignment horizontal="center" vertical="center"/>
      <protection locked="0" hidden="1"/>
    </xf>
    <xf numFmtId="216" fontId="200" fillId="59" borderId="419" xfId="0" applyNumberFormat="1" applyFont="1" applyFill="1" applyBorder="1" applyAlignment="1" applyProtection="1">
      <alignment horizontal="center" vertical="center"/>
      <protection hidden="1"/>
    </xf>
    <xf numFmtId="216" fontId="200" fillId="59" borderId="421" xfId="0" applyNumberFormat="1" applyFont="1" applyFill="1" applyBorder="1" applyAlignment="1" applyProtection="1">
      <alignment horizontal="center" vertical="center"/>
      <protection hidden="1"/>
    </xf>
    <xf numFmtId="219" fontId="266" fillId="84" borderId="550" xfId="0" applyNumberFormat="1" applyFont="1" applyFill="1" applyBorder="1" applyAlignment="1" applyProtection="1">
      <alignment horizontal="center" vertical="center"/>
      <protection hidden="1"/>
    </xf>
    <xf numFmtId="174" fontId="201" fillId="65" borderId="355" xfId="19" applyNumberFormat="1" applyFont="1" applyFill="1" applyBorder="1" applyAlignment="1" applyProtection="1">
      <alignment horizontal="center" vertical="top"/>
      <protection hidden="1"/>
    </xf>
    <xf numFmtId="216" fontId="200" fillId="65" borderId="421" xfId="0" applyNumberFormat="1" applyFont="1" applyFill="1" applyBorder="1" applyAlignment="1" applyProtection="1">
      <alignment horizontal="center" vertical="center"/>
      <protection hidden="1"/>
    </xf>
    <xf numFmtId="219" fontId="266" fillId="84" borderId="260" xfId="0" applyNumberFormat="1" applyFont="1" applyFill="1" applyBorder="1" applyAlignment="1" applyProtection="1">
      <alignment horizontal="center" vertical="center"/>
      <protection hidden="1"/>
    </xf>
    <xf numFmtId="166" fontId="34" fillId="52" borderId="70" xfId="0" applyNumberFormat="1" applyFont="1" applyFill="1" applyBorder="1" applyAlignment="1" applyProtection="1">
      <alignment horizontal="center" vertical="center"/>
      <protection hidden="1"/>
    </xf>
    <xf numFmtId="166" fontId="30" fillId="52" borderId="407" xfId="0" applyNumberFormat="1" applyFont="1" applyFill="1" applyBorder="1" applyAlignment="1" applyProtection="1">
      <alignment vertical="center"/>
      <protection hidden="1"/>
    </xf>
    <xf numFmtId="9" fontId="184" fillId="52" borderId="551" xfId="0" applyNumberFormat="1" applyFont="1" applyFill="1" applyBorder="1" applyAlignment="1" applyProtection="1">
      <alignment horizontal="center" vertical="center"/>
      <protection hidden="1"/>
    </xf>
    <xf numFmtId="166" fontId="30" fillId="52" borderId="552" xfId="0" applyNumberFormat="1" applyFont="1" applyFill="1" applyBorder="1" applyAlignment="1" applyProtection="1">
      <alignment vertical="center"/>
      <protection hidden="1"/>
    </xf>
    <xf numFmtId="0" fontId="234" fillId="0" borderId="137" xfId="0" applyFont="1" applyBorder="1" applyProtection="1">
      <alignment horizontal="right"/>
      <protection locked="0"/>
    </xf>
    <xf numFmtId="166" fontId="30" fillId="52" borderId="507" xfId="0" applyNumberFormat="1" applyFont="1" applyFill="1" applyBorder="1" applyAlignment="1" applyProtection="1">
      <alignment vertical="center"/>
      <protection hidden="1"/>
    </xf>
    <xf numFmtId="166" fontId="30" fillId="52" borderId="243" xfId="0" applyNumberFormat="1" applyFont="1" applyFill="1" applyBorder="1" applyAlignment="1" applyProtection="1">
      <alignment vertical="center"/>
      <protection hidden="1"/>
    </xf>
    <xf numFmtId="166" fontId="30" fillId="52" borderId="244" xfId="0" applyNumberFormat="1" applyFont="1" applyFill="1" applyBorder="1" applyAlignment="1" applyProtection="1">
      <alignment vertical="center"/>
      <protection hidden="1"/>
    </xf>
    <xf numFmtId="166" fontId="30" fillId="52" borderId="136" xfId="0" applyNumberFormat="1" applyFont="1" applyFill="1" applyBorder="1" applyAlignment="1" applyProtection="1">
      <alignment horizontal="right" vertical="center"/>
      <protection hidden="1"/>
    </xf>
    <xf numFmtId="166" fontId="30" fillId="52" borderId="243" xfId="0" applyNumberFormat="1" applyFont="1" applyFill="1" applyBorder="1" applyAlignment="1" applyProtection="1">
      <alignment horizontal="right" vertical="center"/>
      <protection hidden="1"/>
    </xf>
    <xf numFmtId="166" fontId="30" fillId="52" borderId="244" xfId="0" applyNumberFormat="1" applyFont="1" applyFill="1" applyBorder="1" applyAlignment="1" applyProtection="1">
      <alignment horizontal="right" vertical="center"/>
      <protection hidden="1"/>
    </xf>
    <xf numFmtId="9" fontId="218" fillId="0" borderId="290" xfId="0" applyNumberFormat="1" applyFont="1" applyBorder="1" applyAlignment="1" applyProtection="1">
      <alignment horizontal="center" vertical="center"/>
      <protection hidden="1"/>
    </xf>
    <xf numFmtId="1" fontId="190" fillId="65" borderId="70" xfId="23" applyNumberFormat="1" applyFont="1" applyFill="1" applyBorder="1" applyAlignment="1" applyProtection="1">
      <alignment horizontal="center" vertical="center"/>
      <protection hidden="1"/>
    </xf>
    <xf numFmtId="0" fontId="20" fillId="84" borderId="244" xfId="23" applyFont="1" applyFill="1" applyBorder="1" applyAlignment="1" applyProtection="1">
      <alignment horizontal="center" vertical="center"/>
      <protection hidden="1"/>
    </xf>
    <xf numFmtId="0" fontId="188" fillId="0" borderId="225" xfId="0" applyFont="1" applyBorder="1" applyProtection="1">
      <alignment horizontal="right"/>
      <protection locked="0"/>
    </xf>
    <xf numFmtId="166" fontId="34" fillId="52" borderId="136" xfId="0" applyNumberFormat="1" applyFont="1" applyFill="1" applyBorder="1" applyAlignment="1" applyProtection="1">
      <alignment horizontal="center" vertical="center"/>
      <protection hidden="1"/>
    </xf>
    <xf numFmtId="168" fontId="128" fillId="52" borderId="554" xfId="0" applyNumberFormat="1" applyFont="1" applyFill="1" applyBorder="1" applyAlignment="1" applyProtection="1">
      <alignment horizontal="center" vertical="center"/>
      <protection hidden="1"/>
    </xf>
    <xf numFmtId="166" fontId="34" fillId="52" borderId="244" xfId="0" applyNumberFormat="1" applyFont="1" applyFill="1" applyBorder="1" applyAlignment="1" applyProtection="1">
      <alignment horizontal="center" vertical="center"/>
      <protection hidden="1"/>
    </xf>
    <xf numFmtId="166" fontId="34" fillId="52" borderId="243" xfId="0" applyNumberFormat="1" applyFont="1" applyFill="1" applyBorder="1" applyAlignment="1" applyProtection="1">
      <alignment horizontal="center" vertical="center"/>
      <protection hidden="1"/>
    </xf>
    <xf numFmtId="0" fontId="43" fillId="0" borderId="0" xfId="0" applyFont="1" applyFill="1" applyBorder="1" applyAlignment="1" applyProtection="1">
      <alignment vertical="center"/>
      <protection locked="0"/>
    </xf>
    <xf numFmtId="0" fontId="18" fillId="32" borderId="0" xfId="0" applyFont="1" applyFill="1" applyBorder="1" applyAlignment="1" applyProtection="1">
      <alignment horizontal="center"/>
      <protection locked="0"/>
    </xf>
    <xf numFmtId="165" fontId="44" fillId="31" borderId="0" xfId="0" applyNumberFormat="1" applyFont="1" applyFill="1" applyBorder="1" applyAlignment="1" applyProtection="1">
      <alignment horizontal="center"/>
      <protection locked="0"/>
    </xf>
    <xf numFmtId="0" fontId="16" fillId="0" borderId="167" xfId="0" applyFont="1" applyBorder="1" applyAlignment="1" applyProtection="1">
      <alignment horizontal="left" vertical="center" indent="1"/>
      <protection locked="0"/>
    </xf>
    <xf numFmtId="0" fontId="16" fillId="0" borderId="72" xfId="0" applyFont="1" applyBorder="1" applyAlignment="1" applyProtection="1">
      <alignment horizontal="left" vertical="center" indent="1"/>
      <protection locked="0"/>
    </xf>
    <xf numFmtId="0" fontId="16" fillId="0" borderId="224" xfId="0" applyFont="1" applyBorder="1" applyAlignment="1" applyProtection="1">
      <alignment horizontal="left" vertical="center" indent="1"/>
      <protection locked="0"/>
    </xf>
    <xf numFmtId="0" fontId="248" fillId="63" borderId="555" xfId="0" applyFont="1" applyFill="1" applyBorder="1" applyAlignment="1" applyProtection="1">
      <alignment horizontal="center" vertical="center" wrapText="1"/>
      <protection hidden="1"/>
    </xf>
    <xf numFmtId="0" fontId="252" fillId="84" borderId="244" xfId="0" applyNumberFormat="1" applyFont="1" applyFill="1" applyBorder="1" applyAlignment="1" applyProtection="1">
      <alignment horizontal="center" vertical="center"/>
      <protection locked="0"/>
    </xf>
    <xf numFmtId="208" fontId="57" fillId="0" borderId="166" xfId="0" applyNumberFormat="1" applyFont="1" applyBorder="1" applyAlignment="1" applyProtection="1">
      <alignment horizontal="center" vertical="center"/>
      <protection hidden="1"/>
    </xf>
    <xf numFmtId="208" fontId="57" fillId="0" borderId="500" xfId="0" applyNumberFormat="1" applyFont="1" applyBorder="1" applyAlignment="1" applyProtection="1">
      <alignment horizontal="center" vertical="center"/>
      <protection hidden="1"/>
    </xf>
    <xf numFmtId="208" fontId="57" fillId="0" borderId="413" xfId="0" applyNumberFormat="1" applyFont="1" applyBorder="1" applyAlignment="1" applyProtection="1">
      <alignment horizontal="center" vertical="center"/>
      <protection hidden="1"/>
    </xf>
    <xf numFmtId="180" fontId="292" fillId="46" borderId="70" xfId="0" applyNumberFormat="1" applyFont="1" applyFill="1" applyBorder="1" applyAlignment="1" applyProtection="1">
      <alignment horizontal="center" vertical="center"/>
      <protection locked="0"/>
    </xf>
    <xf numFmtId="169" fontId="23" fillId="0" borderId="185" xfId="0" applyNumberFormat="1" applyFont="1" applyFill="1" applyBorder="1" applyAlignment="1" applyProtection="1">
      <alignment horizontal="center" vertical="center"/>
      <protection locked="0"/>
    </xf>
    <xf numFmtId="169" fontId="60" fillId="0" borderId="153" xfId="0" applyNumberFormat="1" applyFont="1" applyBorder="1" applyAlignment="1" applyProtection="1">
      <alignment horizontal="center" vertical="center"/>
      <protection hidden="1"/>
    </xf>
    <xf numFmtId="169" fontId="23" fillId="0" borderId="365" xfId="0" applyNumberFormat="1" applyFont="1" applyFill="1" applyBorder="1" applyAlignment="1" applyProtection="1">
      <alignment horizontal="center" vertical="center"/>
      <protection locked="0"/>
    </xf>
    <xf numFmtId="169" fontId="60" fillId="0" borderId="242" xfId="0" applyNumberFormat="1" applyFont="1" applyBorder="1" applyAlignment="1" applyProtection="1">
      <alignment horizontal="center" vertical="center"/>
      <protection hidden="1"/>
    </xf>
    <xf numFmtId="169" fontId="314" fillId="0" borderId="224" xfId="0" applyNumberFormat="1" applyFont="1" applyFill="1" applyBorder="1" applyAlignment="1" applyProtection="1">
      <alignment horizontal="center" vertical="center"/>
      <protection locked="0"/>
    </xf>
    <xf numFmtId="169" fontId="314" fillId="0" borderId="413" xfId="0" applyNumberFormat="1" applyFont="1" applyBorder="1" applyAlignment="1" applyProtection="1">
      <alignment horizontal="center" vertical="center"/>
      <protection hidden="1"/>
    </xf>
    <xf numFmtId="0" fontId="4" fillId="0" borderId="114" xfId="0" applyFont="1" applyBorder="1" applyAlignment="1">
      <alignment vertical="center"/>
    </xf>
    <xf numFmtId="0" fontId="4" fillId="0" borderId="90" xfId="0" applyFont="1" applyBorder="1" applyAlignment="1">
      <alignment vertical="center"/>
    </xf>
    <xf numFmtId="166" fontId="16" fillId="0" borderId="185" xfId="0" applyNumberFormat="1" applyFont="1" applyFill="1" applyBorder="1" applyAlignment="1" applyProtection="1">
      <alignment horizontal="right" vertical="center"/>
      <protection hidden="1"/>
    </xf>
    <xf numFmtId="166" fontId="46" fillId="0" borderId="153" xfId="0" applyNumberFormat="1" applyFont="1" applyFill="1" applyBorder="1" applyAlignment="1" applyProtection="1">
      <alignment horizontal="right" vertical="center"/>
      <protection hidden="1"/>
    </xf>
    <xf numFmtId="166" fontId="23" fillId="0" borderId="153" xfId="0" applyNumberFormat="1" applyFont="1" applyFill="1" applyBorder="1" applyAlignment="1" applyProtection="1">
      <alignment horizontal="right" vertical="center"/>
      <protection hidden="1"/>
    </xf>
    <xf numFmtId="0" fontId="4" fillId="0" borderId="185" xfId="0" applyFont="1" applyBorder="1" applyAlignment="1">
      <alignment vertical="center"/>
    </xf>
    <xf numFmtId="166" fontId="65" fillId="0" borderId="185" xfId="0" applyNumberFormat="1" applyFont="1" applyFill="1" applyBorder="1" applyAlignment="1" applyProtection="1">
      <alignment horizontal="right" vertical="center"/>
      <protection hidden="1"/>
    </xf>
    <xf numFmtId="0" fontId="4" fillId="0" borderId="219" xfId="0" applyFont="1" applyBorder="1" applyAlignment="1">
      <alignment vertical="center"/>
    </xf>
    <xf numFmtId="0" fontId="4" fillId="0" borderId="150" xfId="0" applyFont="1" applyBorder="1" applyAlignment="1">
      <alignment vertical="center"/>
    </xf>
    <xf numFmtId="0" fontId="265" fillId="0" borderId="238" xfId="0" applyFont="1" applyBorder="1" applyAlignment="1" applyProtection="1">
      <alignment vertical="center"/>
      <protection hidden="1"/>
    </xf>
    <xf numFmtId="0" fontId="265" fillId="0" borderId="292" xfId="0" applyFont="1" applyBorder="1" applyAlignment="1">
      <alignment vertical="center" wrapText="1"/>
    </xf>
    <xf numFmtId="0" fontId="265" fillId="0" borderId="209" xfId="0" applyFont="1" applyBorder="1" applyAlignment="1">
      <alignment vertical="center" wrapText="1"/>
    </xf>
    <xf numFmtId="166" fontId="241" fillId="0" borderId="155" xfId="0" applyNumberFormat="1" applyFont="1" applyFill="1" applyBorder="1" applyAlignment="1" applyProtection="1">
      <alignment horizontal="right" vertical="center"/>
      <protection hidden="1"/>
    </xf>
    <xf numFmtId="166" fontId="16" fillId="0" borderId="238" xfId="0" applyNumberFormat="1" applyFont="1" applyFill="1" applyBorder="1" applyAlignment="1" applyProtection="1">
      <alignment horizontal="right" vertical="center"/>
      <protection hidden="1"/>
    </xf>
    <xf numFmtId="166" fontId="46" fillId="0" borderId="155" xfId="0" applyNumberFormat="1" applyFont="1" applyFill="1" applyBorder="1" applyAlignment="1" applyProtection="1">
      <alignment horizontal="right" vertical="center"/>
      <protection hidden="1"/>
    </xf>
    <xf numFmtId="0" fontId="42" fillId="0" borderId="185" xfId="0" applyFont="1" applyFill="1" applyBorder="1" applyAlignment="1" applyProtection="1">
      <alignment vertical="center" wrapText="1"/>
      <protection hidden="1"/>
    </xf>
    <xf numFmtId="0" fontId="42" fillId="0" borderId="90" xfId="0" applyFont="1" applyFill="1" applyBorder="1" applyAlignment="1" applyProtection="1">
      <alignment vertical="center" wrapText="1"/>
      <protection hidden="1"/>
    </xf>
    <xf numFmtId="0" fontId="91" fillId="0" borderId="90" xfId="0" applyFont="1" applyFill="1" applyBorder="1" applyAlignment="1">
      <alignment vertical="center" wrapText="1"/>
    </xf>
    <xf numFmtId="166" fontId="321" fillId="0" borderId="399" xfId="0" applyNumberFormat="1" applyFont="1" applyFill="1" applyBorder="1" applyAlignment="1" applyProtection="1">
      <alignment horizontal="right" vertical="center"/>
      <protection hidden="1"/>
    </xf>
    <xf numFmtId="166" fontId="164" fillId="0" borderId="153" xfId="0" applyNumberFormat="1" applyFont="1" applyFill="1" applyBorder="1" applyAlignment="1" applyProtection="1">
      <alignment horizontal="right" vertical="center"/>
      <protection hidden="1"/>
    </xf>
    <xf numFmtId="169" fontId="241" fillId="0" borderId="460" xfId="0" applyNumberFormat="1" applyFont="1" applyBorder="1" applyAlignment="1" applyProtection="1">
      <alignment horizontal="center" vertical="center"/>
      <protection hidden="1"/>
    </xf>
    <xf numFmtId="166" fontId="241" fillId="0" borderId="413" xfId="0" applyNumberFormat="1" applyFont="1" applyFill="1" applyBorder="1" applyAlignment="1" applyProtection="1">
      <alignment horizontal="right" vertical="center"/>
      <protection hidden="1"/>
    </xf>
    <xf numFmtId="169" fontId="241" fillId="0" borderId="242" xfId="0" applyNumberFormat="1" applyFont="1" applyBorder="1" applyAlignment="1" applyProtection="1">
      <alignment horizontal="center" vertical="center"/>
      <protection hidden="1"/>
    </xf>
    <xf numFmtId="166" fontId="241" fillId="0" borderId="153" xfId="0" applyNumberFormat="1" applyFont="1" applyFill="1" applyBorder="1" applyAlignment="1" applyProtection="1">
      <alignment horizontal="right" vertical="center"/>
      <protection hidden="1"/>
    </xf>
    <xf numFmtId="169" fontId="241" fillId="0" borderId="413" xfId="0" applyNumberFormat="1" applyFont="1" applyBorder="1" applyAlignment="1" applyProtection="1">
      <alignment horizontal="center" vertical="center"/>
      <protection hidden="1"/>
    </xf>
    <xf numFmtId="169" fontId="316" fillId="0" borderId="413" xfId="0" applyNumberFormat="1" applyFont="1" applyBorder="1" applyAlignment="1" applyProtection="1">
      <alignment horizontal="center" vertical="center"/>
      <protection hidden="1"/>
    </xf>
    <xf numFmtId="166" fontId="316" fillId="0" borderId="153" xfId="0" applyNumberFormat="1" applyFont="1" applyFill="1" applyBorder="1" applyAlignment="1" applyProtection="1">
      <alignment horizontal="right" vertical="center"/>
      <protection hidden="1"/>
    </xf>
    <xf numFmtId="169" fontId="316" fillId="0" borderId="153" xfId="0" applyNumberFormat="1" applyFont="1" applyBorder="1" applyAlignment="1" applyProtection="1">
      <alignment horizontal="center" vertical="center"/>
      <protection hidden="1"/>
    </xf>
    <xf numFmtId="166" fontId="316" fillId="0" borderId="413" xfId="0" applyNumberFormat="1" applyFont="1" applyFill="1" applyBorder="1" applyAlignment="1" applyProtection="1">
      <alignment horizontal="right" vertical="center"/>
      <protection hidden="1"/>
    </xf>
    <xf numFmtId="169" fontId="316" fillId="0" borderId="156" xfId="0" applyNumberFormat="1" applyFont="1" applyBorder="1" applyAlignment="1" applyProtection="1">
      <alignment horizontal="center" vertical="center"/>
      <protection hidden="1"/>
    </xf>
    <xf numFmtId="169" fontId="320" fillId="0" borderId="166" xfId="0" applyNumberFormat="1" applyFont="1" applyBorder="1" applyAlignment="1" applyProtection="1">
      <alignment horizontal="center" vertical="center"/>
      <protection hidden="1"/>
    </xf>
    <xf numFmtId="169" fontId="241" fillId="0" borderId="153" xfId="0" applyNumberFormat="1" applyFont="1" applyBorder="1" applyAlignment="1" applyProtection="1">
      <alignment horizontal="center" vertical="center"/>
      <protection hidden="1"/>
    </xf>
    <xf numFmtId="181" fontId="313" fillId="46" borderId="155" xfId="0" applyNumberFormat="1" applyFont="1" applyFill="1" applyBorder="1" applyAlignment="1" applyProtection="1">
      <alignment horizontal="center" vertical="center"/>
      <protection hidden="1"/>
    </xf>
    <xf numFmtId="166" fontId="241" fillId="0" borderId="156" xfId="0" applyNumberFormat="1" applyFont="1" applyFill="1" applyBorder="1" applyAlignment="1" applyProtection="1">
      <alignment horizontal="right" vertical="center"/>
      <protection hidden="1"/>
    </xf>
    <xf numFmtId="166" fontId="16" fillId="0" borderId="180" xfId="0" applyNumberFormat="1" applyFont="1" applyFill="1" applyBorder="1" applyAlignment="1" applyProtection="1">
      <alignment horizontal="right" vertical="center"/>
      <protection hidden="1"/>
    </xf>
    <xf numFmtId="166" fontId="46" fillId="0" borderId="156" xfId="0" applyNumberFormat="1" applyFont="1" applyFill="1" applyBorder="1" applyAlignment="1" applyProtection="1">
      <alignment horizontal="right" vertical="center"/>
      <protection hidden="1"/>
    </xf>
    <xf numFmtId="166" fontId="23" fillId="0" borderId="156" xfId="0" applyNumberFormat="1" applyFont="1" applyFill="1" applyBorder="1" applyAlignment="1" applyProtection="1">
      <alignment horizontal="right" vertical="center"/>
      <protection hidden="1"/>
    </xf>
    <xf numFmtId="169" fontId="241" fillId="0" borderId="558" xfId="0" applyNumberFormat="1" applyFont="1" applyBorder="1" applyAlignment="1" applyProtection="1">
      <alignment horizontal="center" vertical="center"/>
      <protection hidden="1"/>
    </xf>
    <xf numFmtId="169" fontId="23" fillId="0" borderId="366" xfId="0" applyNumberFormat="1" applyFont="1" applyFill="1" applyBorder="1" applyAlignment="1" applyProtection="1">
      <alignment horizontal="center" vertical="center"/>
      <protection locked="0"/>
    </xf>
    <xf numFmtId="169" fontId="60" fillId="0" borderId="558" xfId="0" applyNumberFormat="1" applyFont="1" applyBorder="1" applyAlignment="1" applyProtection="1">
      <alignment horizontal="center" vertical="center"/>
      <protection hidden="1"/>
    </xf>
    <xf numFmtId="0" fontId="60" fillId="0" borderId="160" xfId="0" applyFont="1" applyBorder="1" applyAlignment="1" applyProtection="1">
      <alignment horizontal="left" vertical="center" indent="1"/>
      <protection hidden="1"/>
    </xf>
    <xf numFmtId="0" fontId="182" fillId="0" borderId="0" xfId="0" applyFont="1" applyBorder="1" applyAlignment="1" applyProtection="1">
      <alignment horizontal="left" vertical="center" indent="1"/>
      <protection hidden="1"/>
    </xf>
    <xf numFmtId="0" fontId="314" fillId="0" borderId="0" xfId="0" applyFont="1" applyBorder="1" applyAlignment="1" applyProtection="1">
      <alignment vertical="center"/>
      <protection hidden="1"/>
    </xf>
    <xf numFmtId="0" fontId="265" fillId="0" borderId="209" xfId="0" applyFont="1" applyBorder="1" applyAlignment="1" applyProtection="1">
      <alignment vertical="center"/>
      <protection hidden="1"/>
    </xf>
    <xf numFmtId="183" fontId="20" fillId="33" borderId="136" xfId="0" applyNumberFormat="1" applyFont="1" applyFill="1" applyBorder="1" applyAlignment="1" applyProtection="1">
      <alignment horizontal="center" vertical="center"/>
      <protection locked="0"/>
    </xf>
    <xf numFmtId="183" fontId="133" fillId="33" borderId="395" xfId="0" applyNumberFormat="1" applyFont="1" applyFill="1" applyBorder="1" applyAlignment="1" applyProtection="1">
      <alignment horizontal="center" vertical="center"/>
      <protection locked="0"/>
    </xf>
    <xf numFmtId="9" fontId="305" fillId="0" borderId="371" xfId="0" applyNumberFormat="1" applyFont="1" applyFill="1" applyBorder="1" applyAlignment="1" applyProtection="1">
      <alignment horizontal="center" vertical="center"/>
      <protection hidden="1"/>
    </xf>
    <xf numFmtId="9" fontId="292" fillId="0" borderId="562" xfId="0" applyNumberFormat="1" applyFont="1" applyFill="1" applyBorder="1" applyAlignment="1" applyProtection="1">
      <alignment horizontal="center" vertical="center"/>
      <protection hidden="1"/>
    </xf>
    <xf numFmtId="9" fontId="292" fillId="0" borderId="480" xfId="0" applyNumberFormat="1" applyFont="1" applyFill="1" applyBorder="1" applyAlignment="1" applyProtection="1">
      <alignment horizontal="center" vertical="center"/>
      <protection hidden="1"/>
    </xf>
    <xf numFmtId="183" fontId="292" fillId="0" borderId="180" xfId="0" applyNumberFormat="1" applyFont="1" applyFill="1" applyBorder="1" applyAlignment="1" applyProtection="1">
      <alignment horizontal="center" vertical="center"/>
      <protection locked="0"/>
    </xf>
    <xf numFmtId="9" fontId="292" fillId="0" borderId="479" xfId="0" applyNumberFormat="1" applyFont="1" applyFill="1" applyBorder="1" applyAlignment="1" applyProtection="1">
      <alignment horizontal="center" vertical="center"/>
      <protection hidden="1"/>
    </xf>
    <xf numFmtId="183" fontId="274" fillId="46" borderId="238" xfId="0" applyNumberFormat="1" applyFont="1" applyFill="1" applyBorder="1" applyAlignment="1" applyProtection="1">
      <alignment horizontal="center" vertical="center"/>
      <protection hidden="1"/>
    </xf>
    <xf numFmtId="9" fontId="274" fillId="46" borderId="294" xfId="0" applyNumberFormat="1" applyFont="1" applyFill="1" applyBorder="1" applyAlignment="1" applyProtection="1">
      <alignment horizontal="center" vertical="center"/>
      <protection hidden="1"/>
    </xf>
    <xf numFmtId="9" fontId="292" fillId="0" borderId="156" xfId="0" applyNumberFormat="1" applyFont="1" applyFill="1" applyBorder="1" applyAlignment="1" applyProtection="1">
      <alignment horizontal="center" vertical="center"/>
      <protection hidden="1"/>
    </xf>
    <xf numFmtId="9" fontId="274" fillId="46" borderId="155" xfId="0" applyNumberFormat="1" applyFont="1" applyFill="1" applyBorder="1" applyAlignment="1" applyProtection="1">
      <alignment horizontal="center" vertical="center"/>
      <protection hidden="1"/>
    </xf>
    <xf numFmtId="0" fontId="455" fillId="0" borderId="480" xfId="0" applyFont="1" applyFill="1" applyBorder="1" applyAlignment="1" applyProtection="1">
      <alignment horizontal="center" vertical="center"/>
      <protection hidden="1"/>
    </xf>
    <xf numFmtId="166" fontId="455" fillId="0" borderId="363" xfId="0" applyNumberFormat="1" applyFont="1" applyFill="1" applyBorder="1" applyAlignment="1" applyProtection="1">
      <alignment vertical="center"/>
      <protection hidden="1"/>
    </xf>
    <xf numFmtId="166" fontId="455" fillId="0" borderId="146" xfId="0" applyNumberFormat="1" applyFont="1" applyFill="1" applyBorder="1" applyAlignment="1" applyProtection="1">
      <alignment vertical="center"/>
      <protection hidden="1"/>
    </xf>
    <xf numFmtId="166" fontId="279" fillId="46" borderId="224" xfId="0" applyNumberFormat="1" applyFont="1" applyFill="1" applyBorder="1" applyAlignment="1" applyProtection="1">
      <alignment vertical="center"/>
      <protection hidden="1"/>
    </xf>
    <xf numFmtId="166" fontId="464" fillId="0" borderId="563" xfId="0" applyNumberFormat="1" applyFont="1" applyFill="1" applyBorder="1" applyAlignment="1" applyProtection="1">
      <alignment vertical="center"/>
      <protection hidden="1"/>
    </xf>
    <xf numFmtId="166" fontId="464" fillId="0" borderId="363" xfId="0" applyNumberFormat="1" applyFont="1" applyFill="1" applyBorder="1" applyAlignment="1" applyProtection="1">
      <alignment vertical="center"/>
      <protection hidden="1"/>
    </xf>
    <xf numFmtId="166" fontId="464" fillId="0" borderId="364" xfId="0" applyNumberFormat="1" applyFont="1" applyFill="1" applyBorder="1" applyAlignment="1" applyProtection="1">
      <alignment vertical="center"/>
      <protection hidden="1"/>
    </xf>
    <xf numFmtId="0" fontId="281" fillId="0" borderId="371" xfId="0" applyFont="1" applyFill="1" applyBorder="1" applyAlignment="1" applyProtection="1">
      <alignment horizontal="center" vertical="center"/>
      <protection hidden="1"/>
    </xf>
    <xf numFmtId="168" fontId="307" fillId="0" borderId="225" xfId="0" applyNumberFormat="1" applyFont="1" applyFill="1" applyBorder="1" applyAlignment="1" applyProtection="1">
      <alignment horizontal="center" vertical="center"/>
      <protection hidden="1"/>
    </xf>
    <xf numFmtId="168" fontId="307" fillId="0" borderId="224" xfId="0" applyNumberFormat="1" applyFont="1" applyFill="1" applyBorder="1" applyAlignment="1" applyProtection="1">
      <alignment horizontal="center" vertical="center"/>
      <protection hidden="1"/>
    </xf>
    <xf numFmtId="168" fontId="307" fillId="46" borderId="224" xfId="0" applyNumberFormat="1" applyFont="1" applyFill="1" applyBorder="1" applyAlignment="1" applyProtection="1">
      <alignment horizontal="center" vertical="center"/>
      <protection hidden="1"/>
    </xf>
    <xf numFmtId="168" fontId="428" fillId="0" borderId="497" xfId="0" applyNumberFormat="1" applyFont="1" applyFill="1" applyBorder="1" applyAlignment="1" applyProtection="1">
      <alignment horizontal="center" vertical="center"/>
      <protection hidden="1"/>
    </xf>
    <xf numFmtId="168" fontId="428" fillId="0" borderId="225" xfId="0" applyNumberFormat="1" applyFont="1" applyFill="1" applyBorder="1" applyAlignment="1" applyProtection="1">
      <alignment horizontal="center" vertical="center"/>
      <protection hidden="1"/>
    </xf>
    <xf numFmtId="0" fontId="281" fillId="0" borderId="479" xfId="0" applyFont="1" applyFill="1" applyBorder="1" applyAlignment="1" applyProtection="1">
      <alignment horizontal="center" vertical="center"/>
      <protection hidden="1"/>
    </xf>
    <xf numFmtId="168" fontId="307" fillId="0" borderId="186" xfId="0" applyNumberFormat="1" applyFont="1" applyFill="1" applyBorder="1" applyAlignment="1" applyProtection="1">
      <alignment horizontal="center" vertical="center"/>
      <protection hidden="1"/>
    </xf>
    <xf numFmtId="168" fontId="307" fillId="0" borderId="180" xfId="0" applyNumberFormat="1" applyFont="1" applyFill="1" applyBorder="1" applyAlignment="1" applyProtection="1">
      <alignment horizontal="center" vertical="center"/>
      <protection hidden="1"/>
    </xf>
    <xf numFmtId="168" fontId="307" fillId="46" borderId="180" xfId="0" applyNumberFormat="1" applyFont="1" applyFill="1" applyBorder="1" applyAlignment="1" applyProtection="1">
      <alignment horizontal="center" vertical="center"/>
      <protection hidden="1"/>
    </xf>
    <xf numFmtId="168" fontId="428" fillId="0" borderId="564" xfId="0" applyNumberFormat="1" applyFont="1" applyFill="1" applyBorder="1" applyAlignment="1" applyProtection="1">
      <alignment horizontal="center" vertical="center"/>
      <protection hidden="1"/>
    </xf>
    <xf numFmtId="168" fontId="428" fillId="0" borderId="186" xfId="0" applyNumberFormat="1" applyFont="1" applyFill="1" applyBorder="1" applyAlignment="1" applyProtection="1">
      <alignment horizontal="center" vertical="center"/>
      <protection hidden="1"/>
    </xf>
    <xf numFmtId="0" fontId="455" fillId="0" borderId="562" xfId="0" applyFont="1" applyFill="1" applyBorder="1" applyAlignment="1" applyProtection="1">
      <alignment horizontal="center" vertical="center"/>
      <protection hidden="1"/>
    </xf>
    <xf numFmtId="166" fontId="279" fillId="46" borderId="459" xfId="0" applyNumberFormat="1" applyFont="1" applyFill="1" applyBorder="1" applyAlignment="1" applyProtection="1">
      <alignment vertical="center"/>
      <protection hidden="1"/>
    </xf>
    <xf numFmtId="166" fontId="455" fillId="46" borderId="363" xfId="0" applyNumberFormat="1" applyFont="1" applyFill="1" applyBorder="1" applyAlignment="1" applyProtection="1">
      <alignment vertical="center"/>
      <protection hidden="1"/>
    </xf>
    <xf numFmtId="166" fontId="455" fillId="46" borderId="365" xfId="0" applyNumberFormat="1" applyFont="1" applyFill="1" applyBorder="1" applyAlignment="1" applyProtection="1">
      <alignment vertical="center"/>
      <protection hidden="1"/>
    </xf>
    <xf numFmtId="166" fontId="279" fillId="46" borderId="225" xfId="0" applyNumberFormat="1" applyFont="1" applyFill="1" applyBorder="1" applyAlignment="1" applyProtection="1">
      <alignment vertical="center"/>
      <protection hidden="1"/>
    </xf>
    <xf numFmtId="168" fontId="285" fillId="0" borderId="455" xfId="0" applyNumberFormat="1" applyFont="1" applyFill="1" applyBorder="1" applyAlignment="1" applyProtection="1">
      <alignment horizontal="center" vertical="center"/>
      <protection locked="0"/>
    </xf>
    <xf numFmtId="168" fontId="428" fillId="46" borderId="225" xfId="0" applyNumberFormat="1" applyFont="1" applyFill="1" applyBorder="1" applyAlignment="1" applyProtection="1">
      <alignment horizontal="center" vertical="center"/>
      <protection hidden="1"/>
    </xf>
    <xf numFmtId="168" fontId="285" fillId="0" borderId="566" xfId="0" applyNumberFormat="1" applyFont="1" applyFill="1" applyBorder="1" applyAlignment="1" applyProtection="1">
      <alignment horizontal="center" vertical="center"/>
      <protection locked="0"/>
    </xf>
    <xf numFmtId="168" fontId="428" fillId="46" borderId="186" xfId="0" applyNumberFormat="1" applyFont="1" applyFill="1" applyBorder="1" applyAlignment="1" applyProtection="1">
      <alignment horizontal="center" vertical="center"/>
      <protection hidden="1"/>
    </xf>
    <xf numFmtId="166" fontId="455" fillId="46" borderId="179" xfId="0" applyNumberFormat="1" applyFont="1" applyFill="1" applyBorder="1" applyAlignment="1" applyProtection="1">
      <alignment vertical="center"/>
      <protection hidden="1"/>
    </xf>
    <xf numFmtId="166" fontId="279" fillId="46" borderId="179" xfId="0" applyNumberFormat="1" applyFont="1" applyFill="1" applyBorder="1" applyAlignment="1" applyProtection="1">
      <alignment vertical="center"/>
      <protection hidden="1"/>
    </xf>
    <xf numFmtId="0" fontId="292" fillId="0" borderId="365" xfId="0" applyFont="1" applyFill="1" applyBorder="1" applyAlignment="1" applyProtection="1">
      <alignment vertical="center"/>
      <protection hidden="1"/>
    </xf>
    <xf numFmtId="0" fontId="0" fillId="0" borderId="146" xfId="0" applyFill="1" applyBorder="1" applyAlignment="1" applyProtection="1">
      <protection hidden="1"/>
    </xf>
    <xf numFmtId="166" fontId="182" fillId="0" borderId="480" xfId="0" applyNumberFormat="1" applyFont="1" applyFill="1" applyBorder="1" applyAlignment="1" applyProtection="1">
      <alignment vertical="center"/>
      <protection hidden="1"/>
    </xf>
    <xf numFmtId="222" fontId="463" fillId="47" borderId="225" xfId="0" applyNumberFormat="1" applyFont="1" applyFill="1" applyBorder="1" applyAlignment="1" applyProtection="1">
      <alignment horizontal="center" vertical="center"/>
      <protection locked="0"/>
    </xf>
    <xf numFmtId="221" fontId="463" fillId="71" borderId="186" xfId="0" applyNumberFormat="1" applyFont="1" applyFill="1" applyBorder="1" applyAlignment="1" applyProtection="1">
      <alignment horizontal="center" vertical="center"/>
      <protection locked="0"/>
    </xf>
    <xf numFmtId="166" fontId="16" fillId="71" borderId="567" xfId="0" applyNumberFormat="1" applyFont="1" applyFill="1" applyBorder="1" applyAlignment="1" applyProtection="1">
      <alignment vertical="center"/>
      <protection hidden="1"/>
    </xf>
    <xf numFmtId="0" fontId="292" fillId="0" borderId="459" xfId="0" applyFont="1" applyFill="1" applyBorder="1" applyAlignment="1" applyProtection="1">
      <alignment vertical="center"/>
      <protection hidden="1"/>
    </xf>
    <xf numFmtId="0" fontId="0" fillId="0" borderId="169" xfId="0" applyFill="1" applyBorder="1" applyAlignment="1" applyProtection="1">
      <protection hidden="1"/>
    </xf>
    <xf numFmtId="166" fontId="182" fillId="0" borderId="562" xfId="0" applyNumberFormat="1" applyFont="1" applyFill="1" applyBorder="1" applyAlignment="1" applyProtection="1">
      <alignment vertical="center"/>
      <protection hidden="1"/>
    </xf>
    <xf numFmtId="221" fontId="463" fillId="71" borderId="184" xfId="0" applyNumberFormat="1" applyFont="1" applyFill="1" applyBorder="1" applyAlignment="1" applyProtection="1">
      <alignment horizontal="center" vertical="center"/>
      <protection locked="0"/>
    </xf>
    <xf numFmtId="166" fontId="16" fillId="71" borderId="513" xfId="0" applyNumberFormat="1" applyFont="1" applyFill="1" applyBorder="1" applyAlignment="1" applyProtection="1">
      <alignment vertical="center"/>
      <protection hidden="1"/>
    </xf>
    <xf numFmtId="0" fontId="461" fillId="46" borderId="157" xfId="0" applyFont="1" applyFill="1" applyBorder="1" applyAlignment="1" applyProtection="1">
      <alignment horizontal="center" wrapText="1"/>
      <protection hidden="1"/>
    </xf>
    <xf numFmtId="0" fontId="461" fillId="71" borderId="176" xfId="0" applyFont="1" applyFill="1" applyBorder="1" applyAlignment="1" applyProtection="1">
      <alignment horizontal="center" wrapText="1"/>
      <protection hidden="1"/>
    </xf>
    <xf numFmtId="0" fontId="461" fillId="47" borderId="569" xfId="0" applyFont="1" applyFill="1" applyBorder="1" applyAlignment="1" applyProtection="1">
      <alignment horizontal="center" wrapText="1"/>
      <protection hidden="1"/>
    </xf>
    <xf numFmtId="0" fontId="461" fillId="46" borderId="157" xfId="0" applyFont="1" applyFill="1" applyBorder="1" applyAlignment="1" applyProtection="1">
      <alignment horizontal="center" vertical="center" wrapText="1"/>
      <protection hidden="1"/>
    </xf>
    <xf numFmtId="0" fontId="461" fillId="71" borderId="176" xfId="0" applyFont="1" applyFill="1" applyBorder="1" applyAlignment="1" applyProtection="1">
      <alignment horizontal="center" vertical="center" wrapText="1"/>
      <protection hidden="1"/>
    </xf>
    <xf numFmtId="0" fontId="461" fillId="47" borderId="569" xfId="0" applyFont="1" applyFill="1" applyBorder="1" applyAlignment="1" applyProtection="1">
      <alignment horizontal="center" vertical="center" wrapText="1"/>
      <protection hidden="1"/>
    </xf>
    <xf numFmtId="10" fontId="478" fillId="46" borderId="66" xfId="0" applyNumberFormat="1" applyFont="1" applyFill="1" applyBorder="1" applyAlignment="1" applyProtection="1">
      <alignment horizontal="center" vertical="center"/>
      <protection hidden="1"/>
    </xf>
    <xf numFmtId="10" fontId="456" fillId="46" borderId="66" xfId="0" applyNumberFormat="1" applyFont="1" applyFill="1" applyBorder="1" applyAlignment="1" applyProtection="1">
      <alignment horizontal="center" vertical="center"/>
      <protection hidden="1"/>
    </xf>
    <xf numFmtId="222" fontId="463" fillId="47" borderId="391" xfId="0" applyNumberFormat="1" applyFont="1" applyFill="1" applyBorder="1" applyAlignment="1" applyProtection="1">
      <alignment vertical="center"/>
      <protection hidden="1"/>
    </xf>
    <xf numFmtId="0" fontId="23" fillId="0" borderId="224" xfId="0" applyFont="1" applyBorder="1" applyAlignment="1" applyProtection="1">
      <alignment horizontal="center" vertical="center"/>
      <protection hidden="1"/>
    </xf>
    <xf numFmtId="0" fontId="23" fillId="0" borderId="185" xfId="0" applyFont="1" applyBorder="1" applyAlignment="1" applyProtection="1">
      <alignment horizontal="center" vertical="center"/>
      <protection hidden="1"/>
    </xf>
    <xf numFmtId="0" fontId="23" fillId="0" borderId="72" xfId="0" applyFont="1" applyBorder="1" applyAlignment="1" applyProtection="1">
      <alignment horizontal="center" vertical="center"/>
      <protection hidden="1"/>
    </xf>
    <xf numFmtId="0" fontId="23" fillId="0" borderId="293" xfId="0" applyFont="1" applyBorder="1" applyAlignment="1" applyProtection="1">
      <alignment horizontal="center" vertical="center"/>
      <protection hidden="1"/>
    </xf>
    <xf numFmtId="0" fontId="23" fillId="0" borderId="399" xfId="0" applyFont="1" applyBorder="1" applyAlignment="1" applyProtection="1">
      <alignment horizontal="center" vertical="center"/>
      <protection hidden="1"/>
    </xf>
    <xf numFmtId="0" fontId="23" fillId="0" borderId="323" xfId="0" applyFont="1" applyBorder="1" applyAlignment="1" applyProtection="1">
      <alignment horizontal="center" vertical="center"/>
      <protection hidden="1"/>
    </xf>
    <xf numFmtId="0" fontId="23" fillId="0" borderId="569" xfId="0" applyFont="1" applyBorder="1" applyAlignment="1" applyProtection="1">
      <alignment horizontal="center" vertical="center"/>
      <protection hidden="1"/>
    </xf>
    <xf numFmtId="0" fontId="23" fillId="0" borderId="152" xfId="0" applyFont="1" applyBorder="1" applyAlignment="1" applyProtection="1">
      <alignment horizontal="center" vertical="center"/>
      <protection hidden="1"/>
    </xf>
    <xf numFmtId="0" fontId="23" fillId="0" borderId="187" xfId="0" applyFont="1" applyBorder="1" applyAlignment="1" applyProtection="1">
      <alignment horizontal="center" vertical="center"/>
      <protection hidden="1"/>
    </xf>
    <xf numFmtId="0" fontId="292" fillId="0" borderId="225" xfId="0" applyFont="1" applyBorder="1" applyAlignment="1" applyProtection="1">
      <alignment horizontal="left" vertical="center" indent="1"/>
      <protection hidden="1"/>
    </xf>
    <xf numFmtId="0" fontId="292" fillId="0" borderId="184" xfId="0" applyFont="1" applyBorder="1" applyAlignment="1" applyProtection="1">
      <alignment horizontal="left" vertical="center" indent="1"/>
      <protection hidden="1"/>
    </xf>
    <xf numFmtId="0" fontId="292" fillId="0" borderId="67" xfId="0" applyFont="1" applyBorder="1" applyAlignment="1" applyProtection="1">
      <alignment horizontal="left" vertical="center" indent="1"/>
      <protection hidden="1"/>
    </xf>
    <xf numFmtId="0" fontId="278" fillId="0" borderId="0" xfId="0" applyFont="1" applyBorder="1" applyAlignment="1">
      <alignment horizontal="left" vertical="center" indent="1"/>
    </xf>
    <xf numFmtId="2" fontId="16" fillId="0" borderId="224" xfId="0" applyNumberFormat="1" applyFont="1" applyBorder="1" applyAlignment="1">
      <alignment horizontal="center" vertical="center"/>
    </xf>
    <xf numFmtId="2" fontId="16" fillId="0" borderId="185" xfId="0" applyNumberFormat="1" applyFont="1" applyBorder="1" applyAlignment="1" applyProtection="1">
      <alignment horizontal="center" vertical="center"/>
      <protection hidden="1"/>
    </xf>
    <xf numFmtId="2" fontId="16" fillId="0" borderId="185" xfId="0" applyNumberFormat="1" applyFont="1" applyFill="1" applyBorder="1" applyAlignment="1" applyProtection="1">
      <alignment horizontal="center" vertical="center"/>
      <protection hidden="1"/>
    </xf>
    <xf numFmtId="2" fontId="16" fillId="0" borderId="72" xfId="0" applyNumberFormat="1" applyFont="1" applyBorder="1" applyAlignment="1" applyProtection="1">
      <alignment horizontal="center" vertical="center"/>
      <protection hidden="1"/>
    </xf>
    <xf numFmtId="2" fontId="292" fillId="28" borderId="293" xfId="0" applyNumberFormat="1" applyFont="1" applyFill="1" applyBorder="1" applyAlignment="1" applyProtection="1">
      <alignment horizontal="center" vertical="center"/>
      <protection hidden="1"/>
    </xf>
    <xf numFmtId="2" fontId="292" fillId="28" borderId="399" xfId="0" applyNumberFormat="1" applyFont="1" applyFill="1" applyBorder="1" applyAlignment="1" applyProtection="1">
      <alignment horizontal="center" vertical="center"/>
      <protection hidden="1"/>
    </xf>
    <xf numFmtId="2" fontId="292" fillId="28" borderId="323" xfId="0" applyNumberFormat="1" applyFont="1" applyFill="1" applyBorder="1" applyAlignment="1" applyProtection="1">
      <alignment horizontal="center" vertical="center"/>
      <protection hidden="1"/>
    </xf>
    <xf numFmtId="2" fontId="16" fillId="0" borderId="66" xfId="0" applyNumberFormat="1" applyFont="1" applyBorder="1" applyAlignment="1">
      <alignment horizontal="center" vertical="center"/>
    </xf>
    <xf numFmtId="2" fontId="16" fillId="0" borderId="184" xfId="0" applyNumberFormat="1" applyFont="1" applyBorder="1" applyAlignment="1" applyProtection="1">
      <alignment horizontal="center" vertical="center"/>
      <protection hidden="1"/>
    </xf>
    <xf numFmtId="2" fontId="16" fillId="0" borderId="67" xfId="0" applyNumberFormat="1" applyFont="1" applyBorder="1" applyAlignment="1" applyProtection="1">
      <alignment horizontal="center" vertical="center"/>
      <protection hidden="1"/>
    </xf>
    <xf numFmtId="2" fontId="274" fillId="46" borderId="135" xfId="0" applyNumberFormat="1" applyFont="1" applyFill="1" applyBorder="1" applyAlignment="1" applyProtection="1">
      <alignment horizontal="center" vertical="center"/>
      <protection hidden="1"/>
    </xf>
    <xf numFmtId="2" fontId="274" fillId="46" borderId="418" xfId="0" applyNumberFormat="1" applyFont="1" applyFill="1" applyBorder="1" applyAlignment="1" applyProtection="1">
      <alignment horizontal="center" vertical="center" wrapText="1"/>
      <protection hidden="1"/>
    </xf>
    <xf numFmtId="0" fontId="20" fillId="59" borderId="573" xfId="0" applyFont="1" applyFill="1" applyBorder="1" applyAlignment="1" applyProtection="1">
      <alignment horizontal="center" vertical="center"/>
      <protection hidden="1"/>
    </xf>
    <xf numFmtId="0" fontId="20" fillId="59" borderId="572" xfId="0" applyFont="1" applyFill="1" applyBorder="1" applyAlignment="1" applyProtection="1">
      <alignment horizontal="center" vertical="center"/>
      <protection hidden="1"/>
    </xf>
    <xf numFmtId="4" fontId="188" fillId="46" borderId="0" xfId="0" applyNumberFormat="1" applyFont="1" applyFill="1" applyBorder="1" applyAlignment="1" applyProtection="1">
      <alignment vertical="center"/>
      <protection locked="0"/>
    </xf>
    <xf numFmtId="0" fontId="188" fillId="0" borderId="264" xfId="0" applyFont="1" applyBorder="1" applyAlignment="1" applyProtection="1">
      <protection locked="0"/>
    </xf>
    <xf numFmtId="0" fontId="185" fillId="0" borderId="264" xfId="0" applyNumberFormat="1" applyFont="1" applyBorder="1" applyAlignment="1" applyProtection="1">
      <alignment horizontal="center" vertical="center"/>
      <protection hidden="1"/>
    </xf>
    <xf numFmtId="0" fontId="191" fillId="0" borderId="0" xfId="0" applyNumberFormat="1" applyFont="1" applyFill="1" applyBorder="1" applyAlignment="1" applyProtection="1">
      <alignment horizontal="centerContinuous" vertical="center"/>
      <protection hidden="1"/>
    </xf>
    <xf numFmtId="0" fontId="190" fillId="0" borderId="264" xfId="0" applyNumberFormat="1" applyFont="1" applyBorder="1" applyAlignment="1" applyProtection="1">
      <alignment horizontal="center" vertical="center"/>
      <protection hidden="1"/>
    </xf>
    <xf numFmtId="0" fontId="190" fillId="43" borderId="581" xfId="0" applyFont="1" applyFill="1" applyBorder="1" applyAlignment="1" applyProtection="1">
      <alignment horizontal="center" vertical="center"/>
      <protection hidden="1"/>
    </xf>
    <xf numFmtId="10" fontId="190" fillId="42" borderId="582" xfId="0" applyNumberFormat="1" applyFont="1" applyFill="1" applyBorder="1" applyAlignment="1" applyProtection="1">
      <alignment horizontal="center" vertical="center"/>
      <protection hidden="1"/>
    </xf>
    <xf numFmtId="166" fontId="191" fillId="43" borderId="224" xfId="0" applyNumberFormat="1" applyFont="1" applyFill="1" applyBorder="1" applyAlignment="1" applyProtection="1">
      <alignment vertical="center"/>
      <protection hidden="1"/>
    </xf>
    <xf numFmtId="166" fontId="190" fillId="42" borderId="583" xfId="0" applyNumberFormat="1" applyFont="1" applyFill="1" applyBorder="1" applyAlignment="1" applyProtection="1">
      <alignment horizontal="right" vertical="center"/>
      <protection hidden="1"/>
    </xf>
    <xf numFmtId="170" fontId="191" fillId="43" borderId="167" xfId="0" applyNumberFormat="1" applyFont="1" applyFill="1" applyBorder="1" applyAlignment="1" applyProtection="1">
      <alignment horizontal="center" vertical="center"/>
      <protection hidden="1"/>
    </xf>
    <xf numFmtId="209" fontId="190" fillId="42" borderId="582" xfId="19" applyNumberFormat="1" applyFont="1" applyFill="1" applyBorder="1" applyAlignment="1" applyProtection="1">
      <alignment horizontal="center" vertical="center"/>
      <protection hidden="1"/>
    </xf>
    <xf numFmtId="10" fontId="191" fillId="43" borderId="224" xfId="0" applyNumberFormat="1" applyFont="1" applyFill="1" applyBorder="1" applyAlignment="1" applyProtection="1">
      <alignment horizontal="center" vertical="center"/>
      <protection hidden="1"/>
    </xf>
    <xf numFmtId="166" fontId="190" fillId="42" borderId="583" xfId="19" applyNumberFormat="1" applyFont="1" applyFill="1" applyBorder="1" applyAlignment="1" applyProtection="1">
      <alignment horizontal="right" vertical="center"/>
      <protection hidden="1"/>
    </xf>
    <xf numFmtId="0" fontId="281" fillId="0" borderId="167" xfId="0" applyNumberFormat="1" applyFont="1" applyBorder="1" applyAlignment="1" applyProtection="1">
      <alignment horizontal="center" vertical="center"/>
      <protection locked="0"/>
    </xf>
    <xf numFmtId="0" fontId="281" fillId="0" borderId="365" xfId="0" applyNumberFormat="1" applyFont="1" applyBorder="1" applyAlignment="1" applyProtection="1">
      <alignment horizontal="center" vertical="center"/>
      <protection locked="0"/>
    </xf>
    <xf numFmtId="0" fontId="191" fillId="59" borderId="377" xfId="0" applyFont="1" applyFill="1" applyBorder="1" applyAlignment="1" applyProtection="1">
      <alignment horizontal="left" vertical="center" indent="1"/>
      <protection hidden="1"/>
    </xf>
    <xf numFmtId="10" fontId="191" fillId="59" borderId="585" xfId="0" applyNumberFormat="1" applyFont="1" applyFill="1" applyBorder="1" applyAlignment="1" applyProtection="1">
      <alignment horizontal="center" vertical="center"/>
      <protection locked="0"/>
    </xf>
    <xf numFmtId="0" fontId="191" fillId="59" borderId="224" xfId="0" applyFont="1" applyFill="1" applyBorder="1" applyAlignment="1" applyProtection="1">
      <alignment horizontal="left" vertical="center" indent="1"/>
      <protection hidden="1"/>
    </xf>
    <xf numFmtId="174" fontId="191" fillId="59" borderId="585" xfId="0" applyNumberFormat="1" applyFont="1" applyFill="1" applyBorder="1" applyAlignment="1" applyProtection="1">
      <alignment horizontal="centerContinuous" vertical="center"/>
      <protection locked="0"/>
    </xf>
    <xf numFmtId="209" fontId="191" fillId="59" borderId="443" xfId="19" applyNumberFormat="1" applyFont="1" applyFill="1" applyBorder="1" applyAlignment="1" applyProtection="1">
      <alignment horizontal="center" vertical="center"/>
      <protection hidden="1"/>
    </xf>
    <xf numFmtId="0" fontId="281" fillId="0" borderId="258" xfId="0" applyNumberFormat="1" applyFont="1" applyBorder="1" applyAlignment="1" applyProtection="1">
      <alignment horizontal="center" vertical="center"/>
      <protection locked="0"/>
    </xf>
    <xf numFmtId="187" fontId="188" fillId="0" borderId="309" xfId="0" applyNumberFormat="1" applyFont="1" applyBorder="1" applyAlignment="1" applyProtection="1">
      <alignment vertical="center"/>
      <protection hidden="1"/>
    </xf>
    <xf numFmtId="0" fontId="281" fillId="0" borderId="298" xfId="0" applyNumberFormat="1" applyFont="1" applyBorder="1" applyAlignment="1" applyProtection="1">
      <alignment horizontal="center" vertical="center"/>
      <protection locked="0"/>
    </xf>
    <xf numFmtId="187" fontId="188" fillId="0" borderId="147" xfId="0" applyNumberFormat="1" applyFont="1" applyBorder="1" applyAlignment="1" applyProtection="1">
      <alignment vertical="center"/>
      <protection hidden="1"/>
    </xf>
    <xf numFmtId="187" fontId="188" fillId="0" borderId="204" xfId="0" applyNumberFormat="1" applyFont="1" applyBorder="1" applyAlignment="1" applyProtection="1">
      <alignment vertical="center"/>
      <protection hidden="1"/>
    </xf>
    <xf numFmtId="0" fontId="191" fillId="59" borderId="397" xfId="0" applyFont="1" applyFill="1" applyBorder="1" applyAlignment="1" applyProtection="1">
      <alignment horizontal="center" vertical="center"/>
      <protection hidden="1"/>
    </xf>
    <xf numFmtId="0" fontId="191" fillId="59" borderId="359" xfId="0" applyFont="1" applyFill="1" applyBorder="1" applyAlignment="1" applyProtection="1">
      <alignment horizontal="center" vertical="center"/>
      <protection hidden="1"/>
    </xf>
    <xf numFmtId="0" fontId="191" fillId="59" borderId="396" xfId="0" applyFont="1" applyFill="1" applyBorder="1" applyAlignment="1" applyProtection="1">
      <alignment horizontal="center" vertical="center"/>
      <protection hidden="1"/>
    </xf>
    <xf numFmtId="0" fontId="191" fillId="59" borderId="586" xfId="0" applyFont="1" applyFill="1" applyBorder="1" applyAlignment="1" applyProtection="1">
      <alignment horizontal="center" vertical="center"/>
      <protection hidden="1"/>
    </xf>
    <xf numFmtId="0" fontId="191" fillId="59" borderId="398" xfId="0" applyFont="1" applyFill="1" applyBorder="1" applyAlignment="1" applyProtection="1">
      <alignment horizontal="center" vertical="center"/>
      <protection hidden="1"/>
    </xf>
    <xf numFmtId="187" fontId="188" fillId="0" borderId="353" xfId="0" applyNumberFormat="1" applyFont="1" applyBorder="1" applyAlignment="1" applyProtection="1">
      <alignment vertical="center"/>
      <protection hidden="1"/>
    </xf>
    <xf numFmtId="187" fontId="188" fillId="0" borderId="68" xfId="0" applyNumberFormat="1" applyFont="1" applyBorder="1" applyAlignment="1" applyProtection="1">
      <alignment vertical="center"/>
      <protection hidden="1"/>
    </xf>
    <xf numFmtId="187" fontId="188" fillId="0" borderId="363" xfId="0" applyNumberFormat="1" applyFont="1" applyBorder="1" applyAlignment="1" applyProtection="1">
      <alignment vertical="center"/>
      <protection hidden="1"/>
    </xf>
    <xf numFmtId="187" fontId="188" fillId="0" borderId="257" xfId="0" applyNumberFormat="1" applyFont="1" applyBorder="1" applyAlignment="1" applyProtection="1">
      <alignment vertical="center"/>
      <protection hidden="1"/>
    </xf>
    <xf numFmtId="187" fontId="188" fillId="0" borderId="318" xfId="0" applyNumberFormat="1" applyFont="1" applyBorder="1" applyAlignment="1" applyProtection="1">
      <alignment vertical="center"/>
      <protection hidden="1"/>
    </xf>
    <xf numFmtId="187" fontId="188" fillId="0" borderId="245" xfId="0" applyNumberFormat="1" applyFont="1" applyBorder="1" applyAlignment="1" applyProtection="1">
      <alignment vertical="center"/>
      <protection hidden="1"/>
    </xf>
    <xf numFmtId="187" fontId="188" fillId="0" borderId="364" xfId="0" applyNumberFormat="1" applyFont="1" applyBorder="1" applyAlignment="1" applyProtection="1">
      <alignment vertical="center"/>
      <protection hidden="1"/>
    </xf>
    <xf numFmtId="187" fontId="188" fillId="0" borderId="260" xfId="0" applyNumberFormat="1" applyFont="1" applyBorder="1" applyAlignment="1" applyProtection="1">
      <alignment vertical="center"/>
      <protection hidden="1"/>
    </xf>
    <xf numFmtId="187" fontId="188" fillId="0" borderId="460" xfId="0" applyNumberFormat="1" applyFont="1" applyBorder="1" applyAlignment="1" applyProtection="1">
      <alignment vertical="center"/>
      <protection hidden="1"/>
    </xf>
    <xf numFmtId="187" fontId="188" fillId="0" borderId="168" xfId="0" applyNumberFormat="1" applyFont="1" applyBorder="1" applyAlignment="1" applyProtection="1">
      <alignment vertical="center"/>
      <protection hidden="1"/>
    </xf>
    <xf numFmtId="187" fontId="188" fillId="0" borderId="242" xfId="0" applyNumberFormat="1" applyFont="1" applyBorder="1" applyAlignment="1" applyProtection="1">
      <alignment vertical="center"/>
      <protection hidden="1"/>
    </xf>
    <xf numFmtId="187" fontId="188" fillId="0" borderId="259" xfId="0" applyNumberFormat="1" applyFont="1" applyBorder="1" applyAlignment="1" applyProtection="1">
      <alignment vertical="center"/>
      <protection hidden="1"/>
    </xf>
    <xf numFmtId="0" fontId="191" fillId="43" borderId="397" xfId="0" applyFont="1" applyFill="1" applyBorder="1" applyAlignment="1" applyProtection="1">
      <alignment horizontal="center" vertical="center"/>
      <protection hidden="1"/>
    </xf>
    <xf numFmtId="0" fontId="191" fillId="43" borderId="359" xfId="0" applyFont="1" applyFill="1" applyBorder="1" applyAlignment="1" applyProtection="1">
      <alignment horizontal="center" vertical="center"/>
      <protection hidden="1"/>
    </xf>
    <xf numFmtId="0" fontId="191" fillId="43" borderId="396" xfId="0" applyFont="1" applyFill="1" applyBorder="1" applyAlignment="1" applyProtection="1">
      <alignment horizontal="center" vertical="center"/>
      <protection hidden="1"/>
    </xf>
    <xf numFmtId="0" fontId="191" fillId="43" borderId="586" xfId="0" applyFont="1" applyFill="1" applyBorder="1" applyAlignment="1" applyProtection="1">
      <alignment horizontal="center" vertical="center"/>
      <protection hidden="1"/>
    </xf>
    <xf numFmtId="0" fontId="191" fillId="36" borderId="452" xfId="0" applyFont="1" applyFill="1" applyBorder="1" applyAlignment="1" applyProtection="1">
      <alignment horizontal="center" vertical="center"/>
      <protection locked="0"/>
    </xf>
    <xf numFmtId="4" fontId="188" fillId="46" borderId="293" xfId="0" applyNumberFormat="1" applyFont="1" applyFill="1" applyBorder="1" applyAlignment="1" applyProtection="1">
      <alignment vertical="center"/>
      <protection locked="0"/>
    </xf>
    <xf numFmtId="0" fontId="283" fillId="40" borderId="136" xfId="0" applyFont="1" applyFill="1" applyBorder="1" applyAlignment="1" applyProtection="1">
      <alignment horizontal="right" vertical="center" indent="1"/>
      <protection hidden="1"/>
    </xf>
    <xf numFmtId="187" fontId="189" fillId="40" borderId="70" xfId="0" applyNumberFormat="1" applyFont="1" applyFill="1" applyBorder="1" applyAlignment="1" applyProtection="1">
      <alignment vertical="center"/>
      <protection locked="0"/>
    </xf>
    <xf numFmtId="187" fontId="189" fillId="40" borderId="137" xfId="0" applyNumberFormat="1" applyFont="1" applyFill="1" applyBorder="1" applyAlignment="1" applyProtection="1">
      <alignment vertical="center"/>
      <protection locked="0"/>
    </xf>
    <xf numFmtId="187" fontId="189" fillId="40" borderId="395" xfId="0" applyNumberFormat="1" applyFont="1" applyFill="1" applyBorder="1" applyAlignment="1" applyProtection="1">
      <alignment vertical="center"/>
      <protection locked="0"/>
    </xf>
    <xf numFmtId="0" fontId="281" fillId="0" borderId="167" xfId="0" applyNumberFormat="1" applyFont="1" applyFill="1" applyBorder="1" applyAlignment="1" applyProtection="1">
      <alignment horizontal="center" vertical="center"/>
      <protection locked="0"/>
    </xf>
    <xf numFmtId="0" fontId="281" fillId="0" borderId="167" xfId="0" applyNumberFormat="1" applyFont="1" applyFill="1" applyBorder="1" applyAlignment="1" applyProtection="1">
      <alignment horizontal="center" vertical="center"/>
      <protection hidden="1"/>
    </xf>
    <xf numFmtId="187" fontId="188" fillId="0" borderId="161" xfId="33" applyNumberFormat="1" applyFont="1" applyFill="1" applyBorder="1" applyAlignment="1" applyProtection="1">
      <alignment vertical="center"/>
      <protection hidden="1"/>
    </xf>
    <xf numFmtId="187" fontId="188" fillId="0" borderId="68" xfId="33" applyNumberFormat="1" applyFont="1" applyFill="1" applyBorder="1" applyAlignment="1" applyProtection="1">
      <alignment vertical="center"/>
      <protection hidden="1"/>
    </xf>
    <xf numFmtId="187" fontId="188" fillId="0" borderId="221" xfId="33" applyNumberFormat="1" applyFont="1" applyFill="1" applyBorder="1" applyAlignment="1" applyProtection="1">
      <alignment vertical="center"/>
      <protection hidden="1"/>
    </xf>
    <xf numFmtId="0" fontId="281" fillId="0" borderId="224" xfId="0" applyNumberFormat="1" applyFont="1" applyFill="1" applyBorder="1" applyAlignment="1" applyProtection="1">
      <alignment horizontal="center" vertical="center"/>
      <protection locked="0"/>
    </xf>
    <xf numFmtId="187" fontId="188" fillId="0" borderId="352" xfId="33" applyNumberFormat="1" applyFont="1" applyFill="1" applyBorder="1" applyAlignment="1" applyProtection="1">
      <alignment vertical="center"/>
      <protection hidden="1"/>
    </xf>
    <xf numFmtId="187" fontId="188" fillId="0" borderId="0" xfId="33" applyNumberFormat="1" applyFont="1" applyFill="1" applyBorder="1" applyAlignment="1" applyProtection="1">
      <alignment vertical="center"/>
      <protection hidden="1"/>
    </xf>
    <xf numFmtId="187" fontId="188" fillId="0" borderId="131" xfId="33" applyNumberFormat="1" applyFont="1" applyFill="1" applyBorder="1" applyAlignment="1" applyProtection="1">
      <alignment vertical="center"/>
      <protection hidden="1"/>
    </xf>
    <xf numFmtId="187" fontId="188" fillId="0" borderId="225" xfId="33" applyNumberFormat="1" applyFont="1" applyFill="1" applyBorder="1" applyAlignment="1" applyProtection="1">
      <alignment vertical="center"/>
      <protection hidden="1"/>
    </xf>
    <xf numFmtId="0" fontId="191" fillId="59" borderId="243" xfId="0" applyFont="1" applyFill="1" applyBorder="1" applyAlignment="1" applyProtection="1">
      <alignment horizontal="center" vertical="center"/>
      <protection hidden="1"/>
    </xf>
    <xf numFmtId="0" fontId="191" fillId="59" borderId="218" xfId="0" applyFont="1" applyFill="1" applyBorder="1" applyAlignment="1" applyProtection="1">
      <alignment horizontal="center" vertical="center"/>
      <protection hidden="1"/>
    </xf>
    <xf numFmtId="0" fontId="191" fillId="59" borderId="246" xfId="0" quotePrefix="1" applyFont="1" applyFill="1" applyBorder="1" applyAlignment="1" applyProtection="1">
      <alignment horizontal="center" vertical="center"/>
      <protection hidden="1"/>
    </xf>
    <xf numFmtId="0" fontId="191" fillId="59" borderId="587" xfId="0" applyFont="1" applyFill="1" applyBorder="1" applyAlignment="1" applyProtection="1">
      <alignment horizontal="center" vertical="center"/>
      <protection hidden="1"/>
    </xf>
    <xf numFmtId="0" fontId="191" fillId="59" borderId="244" xfId="0" applyFont="1" applyFill="1" applyBorder="1" applyAlignment="1" applyProtection="1">
      <alignment horizontal="center" vertical="center"/>
      <protection hidden="1"/>
    </xf>
    <xf numFmtId="0" fontId="281" fillId="0" borderId="365" xfId="0" applyNumberFormat="1" applyFont="1" applyFill="1" applyBorder="1" applyAlignment="1" applyProtection="1">
      <alignment horizontal="center" vertical="center"/>
      <protection hidden="1"/>
    </xf>
    <xf numFmtId="187" fontId="188" fillId="0" borderId="363" xfId="33" applyNumberFormat="1" applyFont="1" applyFill="1" applyBorder="1" applyAlignment="1" applyProtection="1">
      <alignment vertical="center"/>
      <protection hidden="1"/>
    </xf>
    <xf numFmtId="187" fontId="188" fillId="0" borderId="146" xfId="33" applyNumberFormat="1" applyFont="1" applyFill="1" applyBorder="1" applyAlignment="1" applyProtection="1">
      <alignment vertical="center"/>
      <protection hidden="1"/>
    </xf>
    <xf numFmtId="187" fontId="188" fillId="0" borderId="291" xfId="33" applyNumberFormat="1" applyFont="1" applyFill="1" applyBorder="1" applyAlignment="1" applyProtection="1">
      <alignment vertical="center"/>
      <protection hidden="1"/>
    </xf>
    <xf numFmtId="187" fontId="283" fillId="46" borderId="136" xfId="0" applyNumberFormat="1" applyFont="1" applyFill="1" applyBorder="1" applyAlignment="1" applyProtection="1">
      <alignment horizontal="right" vertical="center" indent="1"/>
      <protection hidden="1"/>
    </xf>
    <xf numFmtId="187" fontId="189" fillId="46" borderId="70" xfId="0" applyNumberFormat="1" applyFont="1" applyFill="1" applyBorder="1" applyAlignment="1" applyProtection="1">
      <alignment vertical="center"/>
      <protection hidden="1"/>
    </xf>
    <xf numFmtId="187" fontId="189" fillId="59" borderId="70" xfId="0" applyNumberFormat="1" applyFont="1" applyFill="1" applyBorder="1" applyAlignment="1" applyProtection="1">
      <alignment vertical="center"/>
      <protection locked="0"/>
    </xf>
    <xf numFmtId="187" fontId="189" fillId="46" borderId="137" xfId="0" applyNumberFormat="1" applyFont="1" applyFill="1" applyBorder="1" applyAlignment="1" applyProtection="1">
      <alignment vertical="center"/>
      <protection hidden="1"/>
    </xf>
    <xf numFmtId="187" fontId="189" fillId="46" borderId="418" xfId="0" applyNumberFormat="1" applyFont="1" applyFill="1" applyBorder="1" applyAlignment="1" applyProtection="1">
      <alignment vertical="center"/>
      <protection hidden="1"/>
    </xf>
    <xf numFmtId="0" fontId="0" fillId="0" borderId="0" xfId="0" applyBorder="1" applyAlignment="1"/>
    <xf numFmtId="0" fontId="0" fillId="0" borderId="0" xfId="0" applyBorder="1" applyAlignment="1">
      <alignment vertical="center"/>
    </xf>
    <xf numFmtId="166" fontId="104" fillId="0" borderId="0" xfId="0" applyNumberFormat="1" applyFont="1" applyFill="1" applyBorder="1" applyAlignment="1" applyProtection="1">
      <alignment horizontal="center" vertical="center" wrapText="1"/>
      <protection hidden="1"/>
    </xf>
    <xf numFmtId="195" fontId="57" fillId="0" borderId="225" xfId="0" applyNumberFormat="1" applyFont="1" applyFill="1" applyBorder="1" applyAlignment="1" applyProtection="1">
      <alignment vertical="center"/>
      <protection hidden="1"/>
    </xf>
    <xf numFmtId="0" fontId="172" fillId="0" borderId="225" xfId="0" applyFont="1" applyFill="1" applyBorder="1" applyProtection="1">
      <alignment horizontal="right"/>
      <protection locked="0"/>
    </xf>
    <xf numFmtId="168" fontId="214" fillId="0" borderId="362" xfId="0" applyNumberFormat="1" applyFont="1" applyFill="1" applyBorder="1" applyAlignment="1" applyProtection="1">
      <alignment horizontal="center" vertical="center"/>
      <protection hidden="1"/>
    </xf>
    <xf numFmtId="166" fontId="293" fillId="0" borderId="0" xfId="0" applyNumberFormat="1" applyFont="1" applyFill="1" applyBorder="1" applyAlignment="1" applyProtection="1">
      <alignment vertical="center"/>
      <protection hidden="1"/>
    </xf>
    <xf numFmtId="0" fontId="329" fillId="69" borderId="476" xfId="0" applyFont="1" applyFill="1" applyBorder="1" applyAlignment="1" applyProtection="1">
      <alignment horizontal="center" vertical="center" wrapText="1"/>
      <protection hidden="1"/>
    </xf>
    <xf numFmtId="0" fontId="329" fillId="69" borderId="477" xfId="0" applyFont="1" applyFill="1" applyBorder="1" applyAlignment="1" applyProtection="1">
      <alignment horizontal="center" vertical="center" wrapText="1"/>
      <protection hidden="1"/>
    </xf>
    <xf numFmtId="168" fontId="214" fillId="0" borderId="294" xfId="0" applyNumberFormat="1" applyFont="1" applyFill="1" applyBorder="1" applyAlignment="1" applyProtection="1">
      <alignment horizontal="center" vertical="center"/>
      <protection hidden="1"/>
    </xf>
    <xf numFmtId="168" fontId="214" fillId="0" borderId="371" xfId="0" applyNumberFormat="1" applyFont="1" applyFill="1" applyBorder="1" applyAlignment="1" applyProtection="1">
      <alignment horizontal="center" vertical="center"/>
      <protection hidden="1"/>
    </xf>
    <xf numFmtId="168" fontId="128" fillId="52" borderId="395" xfId="0" applyNumberFormat="1" applyFont="1" applyFill="1" applyBorder="1" applyAlignment="1" applyProtection="1">
      <alignment horizontal="center" vertical="center"/>
      <protection locked="0"/>
    </xf>
    <xf numFmtId="9" fontId="30" fillId="52" borderId="395" xfId="0" applyNumberFormat="1" applyFont="1" applyFill="1" applyBorder="1" applyAlignment="1" applyProtection="1">
      <alignment horizontal="center" vertical="center"/>
      <protection hidden="1"/>
    </xf>
    <xf numFmtId="166" fontId="221" fillId="0" borderId="162" xfId="0" quotePrefix="1" applyNumberFormat="1" applyFont="1" applyBorder="1" applyAlignment="1" applyProtection="1">
      <alignment vertical="center"/>
      <protection locked="0"/>
    </xf>
    <xf numFmtId="9" fontId="218" fillId="0" borderId="371" xfId="0" applyNumberFormat="1" applyFont="1" applyBorder="1" applyAlignment="1" applyProtection="1">
      <alignment horizontal="center" vertical="center"/>
      <protection hidden="1"/>
    </xf>
    <xf numFmtId="9" fontId="219" fillId="0" borderId="394" xfId="0" applyNumberFormat="1" applyFont="1" applyBorder="1" applyAlignment="1" applyProtection="1">
      <alignment horizontal="center" vertical="center"/>
      <protection hidden="1"/>
    </xf>
    <xf numFmtId="9" fontId="219" fillId="0" borderId="394" xfId="0" applyNumberFormat="1" applyFont="1" applyFill="1" applyBorder="1" applyAlignment="1" applyProtection="1">
      <alignment horizontal="center" vertical="center"/>
      <protection hidden="1"/>
    </xf>
    <xf numFmtId="166" fontId="212" fillId="0" borderId="151" xfId="0" quotePrefix="1" applyNumberFormat="1" applyFont="1" applyBorder="1" applyAlignment="1" applyProtection="1">
      <alignment vertical="center"/>
      <protection locked="0"/>
    </xf>
    <xf numFmtId="0" fontId="252" fillId="54" borderId="223" xfId="13" applyFont="1" applyFill="1" applyBorder="1" applyAlignment="1" applyProtection="1">
      <alignment horizontal="center" vertical="center"/>
      <protection hidden="1"/>
    </xf>
    <xf numFmtId="0" fontId="253" fillId="54" borderId="598" xfId="13" applyFont="1" applyFill="1" applyBorder="1" applyAlignment="1" applyProtection="1">
      <alignment horizontal="center" vertical="top"/>
      <protection hidden="1"/>
    </xf>
    <xf numFmtId="166" fontId="253" fillId="54" borderId="182" xfId="13" applyNumberFormat="1" applyFont="1" applyFill="1" applyBorder="1" applyAlignment="1" applyProtection="1">
      <alignment horizontal="center" vertical="center"/>
      <protection hidden="1"/>
    </xf>
    <xf numFmtId="166" fontId="253" fillId="54" borderId="598" xfId="13" applyNumberFormat="1" applyFont="1" applyFill="1" applyBorder="1" applyAlignment="1" applyProtection="1">
      <alignment horizontal="center" vertical="center"/>
      <protection hidden="1"/>
    </xf>
    <xf numFmtId="0" fontId="261" fillId="54" borderId="508" xfId="13" applyFont="1" applyFill="1" applyBorder="1" applyAlignment="1" applyProtection="1">
      <alignment horizontal="center" vertical="center" wrapText="1"/>
      <protection hidden="1"/>
    </xf>
    <xf numFmtId="10" fontId="219" fillId="0" borderId="371" xfId="0" applyNumberFormat="1" applyFont="1" applyFill="1" applyBorder="1" applyAlignment="1" applyProtection="1">
      <alignment horizontal="center" vertical="center"/>
      <protection locked="0"/>
    </xf>
    <xf numFmtId="10" fontId="219" fillId="0" borderId="394" xfId="0" applyNumberFormat="1" applyFont="1" applyFill="1" applyBorder="1" applyAlignment="1" applyProtection="1">
      <alignment horizontal="center" vertical="center"/>
      <protection locked="0"/>
    </xf>
    <xf numFmtId="176" fontId="214" fillId="0" borderId="613" xfId="0" applyNumberFormat="1" applyFont="1" applyBorder="1" applyAlignment="1" applyProtection="1">
      <alignment horizontal="center" vertical="center"/>
      <protection locked="0"/>
    </xf>
    <xf numFmtId="176" fontId="214" fillId="0" borderId="592" xfId="0" applyNumberFormat="1" applyFont="1" applyBorder="1" applyAlignment="1" applyProtection="1">
      <alignment horizontal="center" vertical="center"/>
      <protection locked="0" hidden="1"/>
    </xf>
    <xf numFmtId="176" fontId="214" fillId="0" borderId="592" xfId="0" applyNumberFormat="1" applyFont="1" applyBorder="1" applyAlignment="1" applyProtection="1">
      <alignment horizontal="center" vertical="center"/>
      <protection locked="0"/>
    </xf>
    <xf numFmtId="166" fontId="30" fillId="54" borderId="136" xfId="0" applyNumberFormat="1" applyFont="1" applyFill="1" applyBorder="1" applyAlignment="1" applyProtection="1">
      <alignment vertical="center"/>
      <protection hidden="1"/>
    </xf>
    <xf numFmtId="166" fontId="30" fillId="54" borderId="243" xfId="0" applyNumberFormat="1" applyFont="1" applyFill="1" applyBorder="1" applyAlignment="1" applyProtection="1">
      <alignment vertical="center"/>
      <protection hidden="1"/>
    </xf>
    <xf numFmtId="166" fontId="30" fillId="54" borderId="244" xfId="0" applyNumberFormat="1" applyFont="1" applyFill="1" applyBorder="1" applyAlignment="1" applyProtection="1">
      <alignment vertical="center"/>
      <protection hidden="1"/>
    </xf>
    <xf numFmtId="168" fontId="30" fillId="54" borderId="395" xfId="0" applyNumberFormat="1" applyFont="1" applyFill="1" applyBorder="1" applyAlignment="1" applyProtection="1">
      <alignment horizontal="center" vertical="center"/>
      <protection locked="0"/>
    </xf>
    <xf numFmtId="0" fontId="213" fillId="54" borderId="615" xfId="0" applyFont="1" applyFill="1" applyBorder="1" applyAlignment="1" applyProtection="1">
      <alignment horizontal="center" vertical="center" wrapText="1"/>
      <protection hidden="1"/>
    </xf>
    <xf numFmtId="0" fontId="256" fillId="54" borderId="556" xfId="0" applyFont="1" applyFill="1" applyBorder="1" applyAlignment="1" applyProtection="1">
      <alignment horizontal="center" vertical="center" wrapText="1"/>
      <protection hidden="1"/>
    </xf>
    <xf numFmtId="166" fontId="213" fillId="54" borderId="616" xfId="0" applyNumberFormat="1" applyFont="1" applyFill="1" applyBorder="1" applyAlignment="1" applyProtection="1">
      <alignment horizontal="center" vertical="center"/>
      <protection hidden="1"/>
    </xf>
    <xf numFmtId="166" fontId="213" fillId="54" borderId="555" xfId="0" applyNumberFormat="1" applyFont="1" applyFill="1" applyBorder="1" applyAlignment="1" applyProtection="1">
      <alignment horizontal="center" vertical="center"/>
      <protection hidden="1"/>
    </xf>
    <xf numFmtId="0" fontId="24" fillId="0" borderId="75" xfId="0" applyFont="1" applyBorder="1" applyAlignment="1" applyProtection="1">
      <alignment horizontal="left" vertical="center" wrapText="1" indent="1"/>
      <protection locked="0" hidden="1"/>
    </xf>
    <xf numFmtId="3" fontId="65" fillId="0" borderId="75" xfId="0" applyNumberFormat="1" applyFont="1" applyFill="1" applyBorder="1" applyAlignment="1" applyProtection="1">
      <alignment horizontal="right" vertical="center" indent="1"/>
      <protection locked="0"/>
    </xf>
    <xf numFmtId="0" fontId="24" fillId="0" borderId="162" xfId="0" applyFont="1" applyBorder="1" applyAlignment="1" applyProtection="1">
      <alignment horizontal="left" vertical="center" wrapText="1" indent="1"/>
      <protection locked="0" hidden="1"/>
    </xf>
    <xf numFmtId="10" fontId="112" fillId="0" borderId="162" xfId="0" applyNumberFormat="1" applyFont="1" applyFill="1" applyBorder="1" applyAlignment="1" applyProtection="1">
      <alignment horizontal="center" vertical="center"/>
      <protection locked="0"/>
    </xf>
    <xf numFmtId="0" fontId="24" fillId="0" borderId="321" xfId="0" applyFont="1" applyBorder="1" applyAlignment="1" applyProtection="1">
      <alignment horizontal="left" vertical="center" wrapText="1" indent="1"/>
      <protection locked="0" hidden="1"/>
    </xf>
    <xf numFmtId="10" fontId="112" fillId="0" borderId="321" xfId="0" applyNumberFormat="1" applyFont="1" applyFill="1" applyBorder="1" applyAlignment="1" applyProtection="1">
      <alignment horizontal="center" vertical="center"/>
      <protection locked="0"/>
    </xf>
    <xf numFmtId="166" fontId="213" fillId="54" borderId="354" xfId="0" applyNumberFormat="1" applyFont="1" applyFill="1" applyBorder="1" applyAlignment="1" applyProtection="1">
      <alignment horizontal="center" vertical="center"/>
      <protection hidden="1"/>
    </xf>
    <xf numFmtId="0" fontId="256" fillId="54" borderId="478" xfId="0" applyFont="1" applyFill="1" applyBorder="1" applyAlignment="1" applyProtection="1">
      <alignment horizontal="center" vertical="center" wrapText="1"/>
      <protection hidden="1"/>
    </xf>
    <xf numFmtId="3" fontId="65" fillId="0" borderId="371" xfId="0" applyNumberFormat="1" applyFont="1" applyFill="1" applyBorder="1" applyAlignment="1" applyProtection="1">
      <alignment horizontal="right" vertical="center" indent="1"/>
      <protection locked="0"/>
    </xf>
    <xf numFmtId="10" fontId="112" fillId="0" borderId="394" xfId="0" applyNumberFormat="1" applyFont="1" applyFill="1" applyBorder="1" applyAlignment="1" applyProtection="1">
      <alignment horizontal="center" vertical="center"/>
      <protection locked="0"/>
    </xf>
    <xf numFmtId="10" fontId="112" fillId="0" borderId="392" xfId="0" applyNumberFormat="1" applyFont="1" applyFill="1" applyBorder="1" applyAlignment="1" applyProtection="1">
      <alignment horizontal="center" vertical="center"/>
      <protection locked="0"/>
    </xf>
    <xf numFmtId="0" fontId="34" fillId="54" borderId="136" xfId="0" applyFont="1" applyFill="1" applyBorder="1" applyAlignment="1" applyProtection="1">
      <alignment horizontal="center" vertical="center"/>
      <protection hidden="1"/>
    </xf>
    <xf numFmtId="168" fontId="128" fillId="54" borderId="554" xfId="0" applyNumberFormat="1" applyFont="1" applyFill="1" applyBorder="1" applyAlignment="1" applyProtection="1">
      <alignment horizontal="center" vertical="center"/>
      <protection locked="0"/>
    </xf>
    <xf numFmtId="0" fontId="34" fillId="54" borderId="244" xfId="0" applyFont="1" applyFill="1" applyBorder="1" applyAlignment="1" applyProtection="1">
      <alignment horizontal="center" vertical="center"/>
      <protection hidden="1"/>
    </xf>
    <xf numFmtId="0" fontId="34" fillId="54" borderId="70" xfId="0" applyFont="1" applyFill="1" applyBorder="1" applyAlignment="1" applyProtection="1">
      <alignment horizontal="center" vertical="center"/>
      <protection hidden="1"/>
    </xf>
    <xf numFmtId="0" fontId="34" fillId="54" borderId="243" xfId="0" applyFont="1" applyFill="1" applyBorder="1" applyAlignment="1" applyProtection="1">
      <alignment horizontal="center" vertical="center"/>
      <protection hidden="1"/>
    </xf>
    <xf numFmtId="0" fontId="34" fillId="54" borderId="135" xfId="0" applyFont="1" applyFill="1" applyBorder="1" applyAlignment="1" applyProtection="1">
      <alignment horizontal="center" vertical="center"/>
      <protection hidden="1"/>
    </xf>
    <xf numFmtId="0" fontId="20" fillId="38" borderId="390" xfId="0" applyFont="1" applyFill="1" applyBorder="1" applyAlignment="1" applyProtection="1">
      <alignment horizontal="center" vertical="center" wrapText="1"/>
      <protection hidden="1"/>
    </xf>
    <xf numFmtId="9" fontId="219" fillId="0" borderId="241" xfId="0" applyNumberFormat="1" applyFont="1" applyBorder="1" applyAlignment="1" applyProtection="1">
      <alignment horizontal="center" vertical="center"/>
      <protection hidden="1"/>
    </xf>
    <xf numFmtId="9" fontId="219" fillId="0" borderId="241" xfId="0" applyNumberFormat="1" applyFont="1" applyFill="1" applyBorder="1" applyAlignment="1" applyProtection="1">
      <alignment horizontal="center" vertical="center"/>
      <protection hidden="1"/>
    </xf>
    <xf numFmtId="175" fontId="185" fillId="0" borderId="150" xfId="0" applyNumberFormat="1" applyFont="1" applyFill="1" applyBorder="1" applyAlignment="1" applyProtection="1">
      <alignment horizontal="center" vertical="center"/>
      <protection hidden="1"/>
    </xf>
    <xf numFmtId="166" fontId="214" fillId="71" borderId="72" xfId="0" applyNumberFormat="1" applyFont="1" applyFill="1" applyBorder="1" applyAlignment="1" applyProtection="1">
      <alignment vertical="center"/>
      <protection hidden="1"/>
    </xf>
    <xf numFmtId="168" fontId="214" fillId="71" borderId="160" xfId="0" applyNumberFormat="1" applyFont="1" applyFill="1" applyBorder="1" applyAlignment="1" applyProtection="1">
      <alignment horizontal="center" vertical="center"/>
      <protection hidden="1"/>
    </xf>
    <xf numFmtId="168" fontId="214" fillId="0" borderId="241" xfId="0" applyNumberFormat="1" applyFont="1" applyFill="1" applyBorder="1" applyAlignment="1" applyProtection="1">
      <alignment horizontal="center" vertical="center"/>
      <protection hidden="1"/>
    </xf>
    <xf numFmtId="168" fontId="214" fillId="71" borderId="167" xfId="0" applyNumberFormat="1" applyFont="1" applyFill="1" applyBorder="1" applyAlignment="1" applyProtection="1">
      <alignment vertical="center"/>
      <protection hidden="1"/>
    </xf>
    <xf numFmtId="166" fontId="16" fillId="0" borderId="162" xfId="0" applyNumberFormat="1" applyFont="1" applyFill="1" applyBorder="1" applyAlignment="1" applyProtection="1">
      <alignment vertical="center"/>
      <protection locked="0"/>
    </xf>
    <xf numFmtId="166" fontId="16" fillId="0" borderId="151" xfId="0" applyNumberFormat="1" applyFont="1" applyBorder="1" applyAlignment="1" applyProtection="1">
      <alignment horizontal="right" vertical="center"/>
      <protection locked="0"/>
    </xf>
    <xf numFmtId="0" fontId="184" fillId="38" borderId="595" xfId="0" applyFont="1" applyFill="1" applyBorder="1" applyAlignment="1" applyProtection="1">
      <alignment horizontal="center" vertical="center" wrapText="1"/>
      <protection hidden="1"/>
    </xf>
    <xf numFmtId="0" fontId="217" fillId="0" borderId="0" xfId="0" applyFont="1" applyFill="1" applyBorder="1" applyAlignment="1" applyProtection="1">
      <alignment vertical="center"/>
      <protection locked="0"/>
    </xf>
    <xf numFmtId="0" fontId="213" fillId="54" borderId="172" xfId="13" applyFont="1" applyFill="1" applyBorder="1" applyAlignment="1" applyProtection="1">
      <alignment horizontal="center" vertical="center"/>
      <protection hidden="1"/>
    </xf>
    <xf numFmtId="0" fontId="248" fillId="54" borderId="183" xfId="13" applyFont="1" applyFill="1" applyBorder="1" applyAlignment="1" applyProtection="1">
      <alignment horizontal="center" vertical="top"/>
      <protection hidden="1"/>
    </xf>
    <xf numFmtId="10" fontId="219" fillId="0" borderId="290" xfId="0" applyNumberFormat="1" applyFont="1" applyFill="1" applyBorder="1" applyAlignment="1" applyProtection="1">
      <alignment horizontal="center" vertical="center"/>
      <protection locked="0"/>
    </xf>
    <xf numFmtId="10" fontId="219" fillId="0" borderId="241" xfId="0" applyNumberFormat="1" applyFont="1" applyFill="1" applyBorder="1" applyAlignment="1" applyProtection="1">
      <alignment horizontal="center" vertical="center"/>
      <protection locked="0"/>
    </xf>
    <xf numFmtId="168" fontId="30" fillId="54" borderId="551" xfId="0" applyNumberFormat="1" applyFont="1" applyFill="1" applyBorder="1" applyAlignment="1" applyProtection="1">
      <alignment horizontal="center" vertical="center"/>
      <protection locked="0"/>
    </xf>
    <xf numFmtId="166" fontId="30" fillId="54" borderId="135" xfId="0" applyNumberFormat="1" applyFont="1" applyFill="1" applyBorder="1" applyAlignment="1" applyProtection="1">
      <alignment vertical="center"/>
      <protection hidden="1"/>
    </xf>
    <xf numFmtId="166" fontId="30" fillId="54" borderId="70" xfId="0" applyNumberFormat="1" applyFont="1" applyFill="1" applyBorder="1" applyAlignment="1" applyProtection="1">
      <alignment vertical="center"/>
      <protection hidden="1"/>
    </xf>
    <xf numFmtId="166" fontId="427" fillId="46" borderId="71" xfId="0" applyNumberFormat="1" applyFont="1" applyFill="1" applyBorder="1" applyAlignment="1" applyProtection="1">
      <alignment vertical="center"/>
      <protection hidden="1"/>
    </xf>
    <xf numFmtId="0" fontId="4" fillId="59" borderId="137" xfId="0" applyFont="1" applyFill="1" applyBorder="1" applyAlignment="1" applyProtection="1">
      <protection hidden="1"/>
    </xf>
    <xf numFmtId="0" fontId="185" fillId="59" borderId="135" xfId="0" applyFont="1" applyFill="1" applyBorder="1" applyAlignment="1" applyProtection="1">
      <alignment horizontal="left" vertical="center" wrapText="1" indent="1"/>
      <protection hidden="1"/>
    </xf>
    <xf numFmtId="0" fontId="185" fillId="59" borderId="218" xfId="0" applyFont="1" applyFill="1" applyBorder="1" applyAlignment="1" applyProtection="1">
      <alignment horizontal="center" vertical="center" wrapText="1"/>
      <protection hidden="1"/>
    </xf>
    <xf numFmtId="0" fontId="185" fillId="59" borderId="244" xfId="0" applyFont="1" applyFill="1" applyBorder="1" applyAlignment="1" applyProtection="1">
      <alignment horizontal="left" vertical="center" wrapText="1" indent="1"/>
      <protection hidden="1"/>
    </xf>
    <xf numFmtId="166" fontId="74" fillId="0" borderId="355" xfId="0" applyNumberFormat="1" applyFont="1" applyFill="1" applyBorder="1" applyAlignment="1" applyProtection="1">
      <alignment horizontal="center" vertical="center"/>
      <protection hidden="1"/>
    </xf>
    <xf numFmtId="166" fontId="34" fillId="54" borderId="136" xfId="0" applyNumberFormat="1" applyFont="1" applyFill="1" applyBorder="1" applyAlignment="1" applyProtection="1">
      <alignment horizontal="center" vertical="center"/>
      <protection hidden="1"/>
    </xf>
    <xf numFmtId="168" fontId="309" fillId="54" borderId="395" xfId="0" applyNumberFormat="1" applyFont="1" applyFill="1" applyBorder="1" applyAlignment="1" applyProtection="1">
      <alignment horizontal="center" vertical="center"/>
      <protection locked="0"/>
    </xf>
    <xf numFmtId="168" fontId="128" fillId="0" borderId="0" xfId="0" applyNumberFormat="1" applyFont="1" applyFill="1" applyBorder="1" applyAlignment="1" applyProtection="1">
      <alignment horizontal="center" vertical="center"/>
      <protection locked="0"/>
    </xf>
    <xf numFmtId="166" fontId="34" fillId="54" borderId="243" xfId="0" applyNumberFormat="1" applyFont="1" applyFill="1" applyBorder="1" applyAlignment="1" applyProtection="1">
      <alignment horizontal="center" vertical="center"/>
      <protection hidden="1"/>
    </xf>
    <xf numFmtId="166" fontId="34" fillId="54" borderId="244" xfId="0" applyNumberFormat="1" applyFont="1" applyFill="1" applyBorder="1" applyAlignment="1" applyProtection="1">
      <alignment horizontal="center" vertical="center"/>
      <protection hidden="1"/>
    </xf>
    <xf numFmtId="0" fontId="16" fillId="0" borderId="225" xfId="0" applyFont="1" applyFill="1" applyBorder="1" applyAlignment="1" applyProtection="1">
      <alignment horizontal="right" indent="1"/>
      <protection locked="0"/>
    </xf>
    <xf numFmtId="166" fontId="16" fillId="46" borderId="258" xfId="0" applyNumberFormat="1" applyFont="1" applyFill="1" applyBorder="1" applyAlignment="1" applyProtection="1">
      <alignment vertical="center"/>
      <protection hidden="1"/>
    </xf>
    <xf numFmtId="166" fontId="16" fillId="46" borderId="257" xfId="0" applyNumberFormat="1" applyFont="1" applyFill="1" applyBorder="1" applyAlignment="1" applyProtection="1">
      <alignment vertical="center"/>
      <protection hidden="1"/>
    </xf>
    <xf numFmtId="166" fontId="16" fillId="46" borderId="260" xfId="0" applyNumberFormat="1" applyFont="1" applyFill="1" applyBorder="1" applyAlignment="1" applyProtection="1">
      <alignment vertical="center"/>
      <protection hidden="1"/>
    </xf>
    <xf numFmtId="0" fontId="249" fillId="0" borderId="0" xfId="0" applyFont="1" applyBorder="1" applyProtection="1">
      <alignment horizontal="right"/>
      <protection locked="0"/>
    </xf>
    <xf numFmtId="166" fontId="490" fillId="0" borderId="167" xfId="0" applyNumberFormat="1" applyFont="1" applyBorder="1" applyAlignment="1" applyProtection="1">
      <alignment horizontal="right" vertical="center"/>
      <protection locked="0"/>
    </xf>
    <xf numFmtId="166" fontId="490" fillId="0" borderId="68" xfId="0" applyNumberFormat="1" applyFont="1" applyBorder="1" applyAlignment="1" applyProtection="1">
      <alignment horizontal="right" vertical="center"/>
      <protection locked="0"/>
    </xf>
    <xf numFmtId="166" fontId="490" fillId="0" borderId="245" xfId="0" applyNumberFormat="1" applyFont="1" applyBorder="1" applyAlignment="1" applyProtection="1">
      <alignment horizontal="right" vertical="center"/>
      <protection locked="0"/>
    </xf>
    <xf numFmtId="0" fontId="274" fillId="46" borderId="70" xfId="16" applyFont="1" applyFill="1" applyBorder="1" applyAlignment="1" applyProtection="1">
      <alignment horizontal="center" vertical="center"/>
      <protection hidden="1"/>
    </xf>
    <xf numFmtId="166" fontId="185" fillId="59" borderId="359" xfId="0" applyNumberFormat="1" applyFont="1" applyFill="1" applyBorder="1" applyAlignment="1" applyProtection="1">
      <alignment vertical="center"/>
      <protection hidden="1"/>
    </xf>
    <xf numFmtId="166" fontId="185" fillId="59" borderId="382" xfId="0" applyNumberFormat="1" applyFont="1" applyFill="1" applyBorder="1" applyAlignment="1" applyProtection="1">
      <alignment vertical="center"/>
      <protection hidden="1"/>
    </xf>
    <xf numFmtId="0" fontId="310" fillId="0" borderId="0" xfId="0" applyFont="1" applyBorder="1" applyAlignment="1" applyProtection="1">
      <alignment horizontal="center" vertical="center"/>
      <protection hidden="1"/>
    </xf>
    <xf numFmtId="0" fontId="274" fillId="0" borderId="57" xfId="0" applyFont="1" applyBorder="1" applyAlignment="1" applyProtection="1">
      <alignment horizontal="center" vertical="center"/>
      <protection locked="0" hidden="1"/>
    </xf>
    <xf numFmtId="166" fontId="364" fillId="47" borderId="57" xfId="0" applyNumberFormat="1" applyFont="1" applyFill="1" applyBorder="1" applyAlignment="1" applyProtection="1">
      <alignment vertical="center"/>
      <protection hidden="1"/>
    </xf>
    <xf numFmtId="166" fontId="224" fillId="47" borderId="57" xfId="0" applyNumberFormat="1" applyFont="1" applyFill="1" applyBorder="1" applyAlignment="1" applyProtection="1">
      <alignment vertical="center"/>
      <protection hidden="1"/>
    </xf>
    <xf numFmtId="11" fontId="220" fillId="45" borderId="53" xfId="0" applyNumberFormat="1" applyFont="1" applyFill="1" applyBorder="1" applyAlignment="1">
      <alignment horizontal="center" vertical="center"/>
    </xf>
    <xf numFmtId="9" fontId="220" fillId="45" borderId="640" xfId="0" applyNumberFormat="1" applyFont="1" applyFill="1" applyBorder="1" applyAlignment="1" applyProtection="1">
      <alignment horizontal="center" vertical="center"/>
      <protection locked="0"/>
    </xf>
    <xf numFmtId="166" fontId="362" fillId="45" borderId="46" xfId="0" applyNumberFormat="1" applyFont="1" applyFill="1" applyBorder="1" applyAlignment="1" applyProtection="1">
      <alignment vertical="center"/>
      <protection hidden="1"/>
    </xf>
    <xf numFmtId="9" fontId="220" fillId="45" borderId="641" xfId="0" applyNumberFormat="1" applyFont="1" applyFill="1" applyBorder="1" applyAlignment="1" applyProtection="1">
      <alignment horizontal="center" vertical="center"/>
      <protection locked="0"/>
    </xf>
    <xf numFmtId="166" fontId="16" fillId="0" borderId="529" xfId="0" applyNumberFormat="1" applyFont="1" applyBorder="1" applyAlignment="1" applyProtection="1">
      <alignment horizontal="right" vertical="center"/>
      <protection locked="0"/>
    </xf>
    <xf numFmtId="168" fontId="60" fillId="0" borderId="450" xfId="0" applyNumberFormat="1" applyFont="1" applyBorder="1" applyAlignment="1" applyProtection="1">
      <alignment horizontal="center" vertical="center"/>
      <protection hidden="1"/>
    </xf>
    <xf numFmtId="3" fontId="186" fillId="0" borderId="371" xfId="0" applyNumberFormat="1" applyFont="1" applyBorder="1" applyAlignment="1" applyProtection="1">
      <alignment horizontal="center" vertical="center"/>
      <protection locked="0"/>
    </xf>
    <xf numFmtId="0" fontId="185" fillId="59" borderId="357" xfId="0" applyFont="1" applyFill="1" applyBorder="1" applyAlignment="1" applyProtection="1">
      <alignment horizontal="left" vertical="center" indent="1"/>
      <protection hidden="1"/>
    </xf>
    <xf numFmtId="0" fontId="183" fillId="59" borderId="645" xfId="0" applyFont="1" applyFill="1" applyBorder="1" applyAlignment="1" applyProtection="1">
      <alignment horizontal="center" vertical="center"/>
      <protection hidden="1"/>
    </xf>
    <xf numFmtId="0" fontId="491" fillId="0" borderId="0" xfId="0" applyFont="1" applyFill="1" applyBorder="1" applyAlignment="1" applyProtection="1">
      <alignment horizontal="left" vertical="center"/>
      <protection hidden="1"/>
    </xf>
    <xf numFmtId="166" fontId="20" fillId="25" borderId="66" xfId="0" applyNumberFormat="1" applyFont="1" applyFill="1" applyBorder="1" applyAlignment="1" applyProtection="1">
      <alignment horizontal="right" vertical="center"/>
      <protection hidden="1"/>
    </xf>
    <xf numFmtId="166" fontId="20" fillId="25" borderId="415" xfId="0" applyNumberFormat="1" applyFont="1" applyFill="1" applyBorder="1" applyAlignment="1" applyProtection="1">
      <alignment horizontal="right" vertical="center"/>
      <protection hidden="1"/>
    </xf>
    <xf numFmtId="166" fontId="20" fillId="44" borderId="66" xfId="0" applyNumberFormat="1" applyFont="1" applyFill="1" applyBorder="1" applyAlignment="1" applyProtection="1">
      <alignment horizontal="right" vertical="center"/>
      <protection hidden="1"/>
    </xf>
    <xf numFmtId="166" fontId="20" fillId="25" borderId="70" xfId="0" applyNumberFormat="1" applyFont="1" applyFill="1" applyBorder="1" applyAlignment="1" applyProtection="1">
      <alignment horizontal="right" vertical="center"/>
      <protection hidden="1"/>
    </xf>
    <xf numFmtId="9" fontId="246" fillId="0" borderId="646" xfId="0" applyNumberFormat="1" applyFont="1" applyBorder="1" applyAlignment="1" applyProtection="1">
      <alignment horizontal="center" vertical="center"/>
      <protection locked="0"/>
    </xf>
    <xf numFmtId="9" fontId="246" fillId="0" borderId="241" xfId="0" applyNumberFormat="1" applyFont="1" applyBorder="1" applyAlignment="1" applyProtection="1">
      <alignment horizontal="center" vertical="center"/>
      <protection locked="0"/>
    </xf>
    <xf numFmtId="9" fontId="246" fillId="0" borderId="241" xfId="0" applyNumberFormat="1" applyFont="1" applyFill="1" applyBorder="1" applyAlignment="1" applyProtection="1">
      <alignment horizontal="center" vertical="center"/>
      <protection locked="0"/>
    </xf>
    <xf numFmtId="9" fontId="246" fillId="71" borderId="241" xfId="0" applyNumberFormat="1" applyFont="1" applyFill="1" applyBorder="1" applyAlignment="1" applyProtection="1">
      <alignment horizontal="center" vertical="center"/>
      <protection hidden="1"/>
    </xf>
    <xf numFmtId="9" fontId="246" fillId="71" borderId="634" xfId="0" applyNumberFormat="1" applyFont="1" applyFill="1" applyBorder="1" applyAlignment="1" applyProtection="1">
      <alignment horizontal="center" vertical="center"/>
      <protection hidden="1"/>
    </xf>
    <xf numFmtId="9" fontId="246" fillId="0" borderId="166" xfId="0" applyNumberFormat="1" applyFont="1" applyBorder="1" applyAlignment="1" applyProtection="1">
      <alignment horizontal="center" vertical="center"/>
      <protection locked="0"/>
    </xf>
    <xf numFmtId="166" fontId="246" fillId="0" borderId="168" xfId="0" applyNumberFormat="1" applyFont="1" applyBorder="1" applyAlignment="1" applyProtection="1">
      <alignment vertical="center"/>
      <protection locked="0"/>
    </xf>
    <xf numFmtId="9" fontId="246" fillId="0" borderId="413" xfId="0" applyNumberFormat="1" applyFont="1" applyFill="1" applyBorder="1" applyAlignment="1" applyProtection="1">
      <alignment horizontal="center" vertical="center"/>
      <protection locked="0"/>
    </xf>
    <xf numFmtId="166" fontId="246" fillId="0" borderId="168" xfId="0" applyNumberFormat="1" applyFont="1" applyFill="1" applyBorder="1" applyAlignment="1" applyProtection="1">
      <alignment vertical="center"/>
      <protection locked="0"/>
    </xf>
    <xf numFmtId="166" fontId="246" fillId="0" borderId="168" xfId="0" applyNumberFormat="1" applyFont="1" applyFill="1" applyBorder="1" applyAlignment="1" applyProtection="1">
      <alignment vertical="center"/>
      <protection hidden="1"/>
    </xf>
    <xf numFmtId="166" fontId="246" fillId="0" borderId="412" xfId="0" applyNumberFormat="1" applyFont="1" applyFill="1" applyBorder="1" applyAlignment="1" applyProtection="1">
      <alignment vertical="center"/>
      <protection locked="0"/>
    </xf>
    <xf numFmtId="9" fontId="235" fillId="0" borderId="554" xfId="0" applyNumberFormat="1" applyFont="1" applyFill="1" applyBorder="1" applyAlignment="1" applyProtection="1">
      <alignment horizontal="center" vertical="center"/>
      <protection hidden="1"/>
    </xf>
    <xf numFmtId="168" fontId="214" fillId="71" borderId="168" xfId="0" applyNumberFormat="1" applyFont="1" applyFill="1" applyBorder="1" applyAlignment="1" applyProtection="1">
      <alignment vertical="center"/>
      <protection hidden="1"/>
    </xf>
    <xf numFmtId="166" fontId="235" fillId="0" borderId="418" xfId="0" applyNumberFormat="1" applyFont="1" applyFill="1" applyBorder="1" applyAlignment="1" applyProtection="1">
      <alignment vertical="center"/>
      <protection hidden="1"/>
    </xf>
    <xf numFmtId="166" fontId="455" fillId="0" borderId="179" xfId="0" applyNumberFormat="1" applyFont="1" applyFill="1" applyBorder="1" applyAlignment="1" applyProtection="1">
      <alignment horizontal="right" vertical="center"/>
      <protection hidden="1"/>
    </xf>
    <xf numFmtId="166" fontId="455" fillId="0" borderId="257" xfId="0" applyNumberFormat="1" applyFont="1" applyFill="1" applyBorder="1" applyAlignment="1" applyProtection="1">
      <alignment horizontal="right" vertical="center"/>
      <protection hidden="1"/>
    </xf>
    <xf numFmtId="166" fontId="455" fillId="0" borderId="169" xfId="0" applyNumberFormat="1" applyFont="1" applyFill="1" applyBorder="1" applyAlignment="1" applyProtection="1">
      <alignment horizontal="right" vertical="center"/>
      <protection hidden="1"/>
    </xf>
    <xf numFmtId="166" fontId="455" fillId="0" borderId="206" xfId="0" applyNumberFormat="1" applyFont="1" applyFill="1" applyBorder="1" applyAlignment="1" applyProtection="1">
      <alignment horizontal="right" vertical="center"/>
      <protection hidden="1"/>
    </xf>
    <xf numFmtId="166" fontId="464" fillId="0" borderId="565" xfId="0" applyNumberFormat="1" applyFont="1" applyFill="1" applyBorder="1" applyAlignment="1" applyProtection="1">
      <alignment horizontal="right" vertical="center"/>
      <protection hidden="1"/>
    </xf>
    <xf numFmtId="166" fontId="464" fillId="0" borderId="385" xfId="0" applyNumberFormat="1" applyFont="1" applyFill="1" applyBorder="1" applyAlignment="1" applyProtection="1">
      <alignment horizontal="right" vertical="center"/>
      <protection hidden="1"/>
    </xf>
    <xf numFmtId="166" fontId="464" fillId="0" borderId="179" xfId="0" applyNumberFormat="1" applyFont="1" applyFill="1" applyBorder="1" applyAlignment="1" applyProtection="1">
      <alignment horizontal="right" vertical="center"/>
      <protection hidden="1"/>
    </xf>
    <xf numFmtId="166" fontId="464" fillId="0" borderId="174" xfId="0" applyNumberFormat="1" applyFont="1" applyFill="1" applyBorder="1" applyAlignment="1" applyProtection="1">
      <alignment horizontal="right" vertical="center"/>
      <protection hidden="1"/>
    </xf>
    <xf numFmtId="166" fontId="464" fillId="0" borderId="260" xfId="0" applyNumberFormat="1" applyFont="1" applyFill="1" applyBorder="1" applyAlignment="1" applyProtection="1">
      <alignment horizontal="right" vertical="center"/>
      <protection hidden="1"/>
    </xf>
    <xf numFmtId="166" fontId="464" fillId="0" borderId="257" xfId="0" applyNumberFormat="1" applyFont="1" applyFill="1" applyBorder="1" applyAlignment="1" applyProtection="1">
      <alignment horizontal="right" vertical="center"/>
      <protection hidden="1"/>
    </xf>
    <xf numFmtId="176" fontId="53" fillId="67" borderId="224" xfId="0" applyNumberFormat="1" applyFont="1" applyFill="1" applyBorder="1" applyAlignment="1" applyProtection="1">
      <alignment vertical="center"/>
      <protection locked="0"/>
    </xf>
    <xf numFmtId="176" fontId="97" fillId="67" borderId="224" xfId="0" applyNumberFormat="1" applyFont="1" applyFill="1" applyBorder="1" applyAlignment="1" applyProtection="1">
      <alignment vertical="center"/>
      <protection locked="0"/>
    </xf>
    <xf numFmtId="176" fontId="60" fillId="0" borderId="71" xfId="0" applyNumberFormat="1" applyFont="1" applyFill="1" applyBorder="1" applyAlignment="1" applyProtection="1">
      <alignment horizontal="center" vertical="center"/>
      <protection locked="0"/>
    </xf>
    <xf numFmtId="176" fontId="60" fillId="0" borderId="238" xfId="0" applyNumberFormat="1" applyFont="1" applyFill="1" applyBorder="1" applyAlignment="1" applyProtection="1">
      <alignment horizontal="center" vertical="center"/>
      <protection locked="0"/>
    </xf>
    <xf numFmtId="170" fontId="53" fillId="0" borderId="413" xfId="0" applyNumberFormat="1" applyFont="1" applyFill="1" applyBorder="1" applyAlignment="1" applyProtection="1">
      <alignment horizontal="center" vertical="center"/>
      <protection locked="0"/>
    </xf>
    <xf numFmtId="170" fontId="53" fillId="0" borderId="156" xfId="0" applyNumberFormat="1" applyFont="1" applyFill="1" applyBorder="1" applyAlignment="1" applyProtection="1">
      <alignment horizontal="center" vertical="center"/>
      <protection locked="0"/>
    </xf>
    <xf numFmtId="170" fontId="53" fillId="0" borderId="166" xfId="0" applyNumberFormat="1" applyFont="1" applyFill="1" applyBorder="1" applyAlignment="1" applyProtection="1">
      <alignment horizontal="center" vertical="center"/>
      <protection locked="0"/>
    </xf>
    <xf numFmtId="170" fontId="53" fillId="0" borderId="155" xfId="0" applyNumberFormat="1" applyFont="1" applyFill="1" applyBorder="1" applyAlignment="1" applyProtection="1">
      <alignment horizontal="center" vertical="center"/>
      <protection locked="0"/>
    </xf>
    <xf numFmtId="0" fontId="20" fillId="84" borderId="420" xfId="0" applyFont="1" applyFill="1" applyBorder="1" applyAlignment="1" applyProtection="1">
      <alignment horizontal="center" vertical="center"/>
      <protection hidden="1"/>
    </xf>
    <xf numFmtId="0" fontId="20" fillId="84" borderId="647" xfId="0" applyFont="1" applyFill="1" applyBorder="1" applyAlignment="1" applyProtection="1">
      <alignment horizontal="center" vertical="center"/>
      <protection hidden="1"/>
    </xf>
    <xf numFmtId="166" fontId="20" fillId="65" borderId="70" xfId="23" applyNumberFormat="1" applyFont="1" applyFill="1" applyBorder="1" applyAlignment="1" applyProtection="1">
      <alignment vertical="center"/>
      <protection hidden="1"/>
    </xf>
    <xf numFmtId="166" fontId="20" fillId="65" borderId="70" xfId="23" applyNumberFormat="1" applyFont="1" applyFill="1" applyBorder="1" applyAlignment="1" applyProtection="1">
      <alignment horizontal="right" vertical="center"/>
      <protection hidden="1"/>
    </xf>
    <xf numFmtId="166" fontId="16" fillId="0" borderId="150" xfId="0" applyNumberFormat="1" applyFont="1" applyBorder="1" applyAlignment="1" applyProtection="1">
      <alignment vertical="center"/>
      <protection locked="0"/>
    </xf>
    <xf numFmtId="198" fontId="216" fillId="0" borderId="292" xfId="0" applyNumberFormat="1" applyFont="1" applyBorder="1" applyAlignment="1" applyProtection="1">
      <alignment horizontal="right" vertical="center"/>
      <protection locked="0"/>
    </xf>
    <xf numFmtId="0" fontId="20" fillId="65" borderId="420" xfId="23" applyFont="1" applyFill="1" applyBorder="1" applyAlignment="1" applyProtection="1">
      <alignment horizontal="center" vertical="center"/>
      <protection hidden="1"/>
    </xf>
    <xf numFmtId="204" fontId="204" fillId="0" borderId="445" xfId="0" applyNumberFormat="1" applyFont="1" applyBorder="1" applyAlignment="1" applyProtection="1">
      <alignment horizontal="center" vertical="center"/>
      <protection locked="0"/>
    </xf>
    <xf numFmtId="204" fontId="60" fillId="0" borderId="259" xfId="0" applyNumberFormat="1" applyFont="1" applyFill="1" applyBorder="1" applyAlignment="1" applyProtection="1">
      <alignment horizontal="center" vertical="center"/>
      <protection locked="0"/>
    </xf>
    <xf numFmtId="0" fontId="20" fillId="59" borderId="475" xfId="0" applyFont="1" applyFill="1" applyBorder="1" applyAlignment="1" applyProtection="1">
      <alignment horizontal="center" vertical="center"/>
      <protection hidden="1"/>
    </xf>
    <xf numFmtId="0" fontId="20" fillId="59" borderId="648" xfId="0" applyFont="1" applyFill="1" applyBorder="1" applyAlignment="1" applyProtection="1">
      <alignment horizontal="center" vertical="center"/>
      <protection hidden="1"/>
    </xf>
    <xf numFmtId="0" fontId="20" fillId="59" borderId="475" xfId="0" applyFont="1" applyFill="1" applyBorder="1" applyAlignment="1" applyProtection="1">
      <alignment horizontal="center" vertical="center" wrapText="1"/>
      <protection hidden="1"/>
    </xf>
    <xf numFmtId="0" fontId="20" fillId="59" borderId="649" xfId="0" applyFont="1" applyFill="1" applyBorder="1" applyAlignment="1" applyProtection="1">
      <alignment horizontal="center" vertical="center"/>
      <protection hidden="1"/>
    </xf>
    <xf numFmtId="0" fontId="118" fillId="59" borderId="649" xfId="0" applyFont="1" applyFill="1" applyBorder="1" applyAlignment="1" applyProtection="1">
      <alignment horizontal="center" vertical="center"/>
      <protection hidden="1"/>
    </xf>
    <xf numFmtId="179" fontId="16" fillId="0" borderId="170" xfId="0" applyNumberFormat="1" applyFont="1" applyFill="1" applyBorder="1" applyAlignment="1" applyProtection="1">
      <alignment vertical="center"/>
      <protection hidden="1"/>
    </xf>
    <xf numFmtId="179" fontId="16" fillId="0" borderId="162" xfId="0" applyNumberFormat="1" applyFont="1" applyFill="1" applyBorder="1" applyAlignment="1" applyProtection="1">
      <alignment vertical="center"/>
      <protection hidden="1"/>
    </xf>
    <xf numFmtId="179" fontId="16" fillId="46" borderId="162" xfId="0" applyNumberFormat="1" applyFont="1" applyFill="1" applyBorder="1" applyAlignment="1" applyProtection="1">
      <alignment vertical="center"/>
      <protection hidden="1"/>
    </xf>
    <xf numFmtId="179" fontId="16" fillId="0" borderId="650" xfId="0" applyNumberFormat="1" applyFont="1" applyFill="1" applyBorder="1" applyAlignment="1" applyProtection="1">
      <alignment vertical="center"/>
      <protection hidden="1"/>
    </xf>
    <xf numFmtId="179" fontId="18" fillId="46" borderId="649" xfId="0" applyNumberFormat="1" applyFont="1" applyFill="1" applyBorder="1" applyAlignment="1" applyProtection="1">
      <alignment vertical="center"/>
      <protection hidden="1"/>
    </xf>
    <xf numFmtId="179" fontId="16" fillId="0" borderId="651" xfId="0" applyNumberFormat="1" applyFont="1" applyFill="1" applyBorder="1" applyAlignment="1" applyProtection="1">
      <alignment vertical="center"/>
      <protection hidden="1"/>
    </xf>
    <xf numFmtId="0" fontId="20" fillId="65" borderId="218" xfId="0" applyFont="1" applyFill="1" applyBorder="1" applyAlignment="1" applyProtection="1">
      <alignment horizontal="center" vertical="center"/>
      <protection hidden="1"/>
    </xf>
    <xf numFmtId="0" fontId="207" fillId="0" borderId="653" xfId="0" applyFont="1" applyBorder="1" applyAlignment="1" applyProtection="1">
      <alignment horizontal="center" vertical="center"/>
      <protection hidden="1"/>
    </xf>
    <xf numFmtId="1" fontId="205" fillId="0" borderId="652" xfId="0" applyNumberFormat="1" applyFont="1" applyBorder="1" applyAlignment="1" applyProtection="1">
      <alignment horizontal="center" vertical="center"/>
      <protection hidden="1"/>
    </xf>
    <xf numFmtId="0" fontId="207" fillId="0" borderId="652" xfId="0" applyFont="1" applyBorder="1" applyAlignment="1" applyProtection="1">
      <alignment horizontal="center" vertical="center"/>
      <protection hidden="1"/>
    </xf>
    <xf numFmtId="166" fontId="208" fillId="0" borderId="654" xfId="0" applyNumberFormat="1" applyFont="1" applyBorder="1" applyAlignment="1" applyProtection="1">
      <alignment horizontal="right" vertical="center"/>
      <protection hidden="1"/>
    </xf>
    <xf numFmtId="166" fontId="208" fillId="0" borderId="655" xfId="0" applyNumberFormat="1" applyFont="1" applyBorder="1" applyAlignment="1" applyProtection="1">
      <alignment horizontal="right" vertical="center"/>
      <protection hidden="1"/>
    </xf>
    <xf numFmtId="166" fontId="208" fillId="0" borderId="653" xfId="0" applyNumberFormat="1" applyFont="1" applyBorder="1" applyAlignment="1" applyProtection="1">
      <alignment horizontal="right" vertical="center"/>
      <protection hidden="1"/>
    </xf>
    <xf numFmtId="166" fontId="208" fillId="0" borderId="656" xfId="0" applyNumberFormat="1" applyFont="1" applyBorder="1" applyAlignment="1" applyProtection="1">
      <alignment horizontal="right" vertical="center"/>
      <protection hidden="1"/>
    </xf>
    <xf numFmtId="166" fontId="292" fillId="0" borderId="651" xfId="0" applyNumberFormat="1" applyFont="1" applyBorder="1" applyAlignment="1" applyProtection="1">
      <alignment horizontal="right" vertical="center"/>
      <protection hidden="1"/>
    </xf>
    <xf numFmtId="166" fontId="292" fillId="0" borderId="162" xfId="0" applyNumberFormat="1" applyFont="1" applyBorder="1" applyAlignment="1" applyProtection="1">
      <alignment horizontal="right" vertical="center"/>
      <protection hidden="1"/>
    </xf>
    <xf numFmtId="166" fontId="292" fillId="0" borderId="151" xfId="0" applyNumberFormat="1" applyFont="1" applyBorder="1" applyAlignment="1" applyProtection="1">
      <alignment horizontal="right" vertical="center"/>
      <protection hidden="1"/>
    </xf>
    <xf numFmtId="166" fontId="208" fillId="0" borderId="651" xfId="0" applyNumberFormat="1" applyFont="1" applyBorder="1" applyAlignment="1" applyProtection="1">
      <alignment horizontal="right" vertical="center"/>
      <protection hidden="1"/>
    </xf>
    <xf numFmtId="166" fontId="208" fillId="0" borderId="162" xfId="0" applyNumberFormat="1" applyFont="1" applyBorder="1" applyAlignment="1" applyProtection="1">
      <alignment horizontal="right" vertical="center"/>
      <protection hidden="1"/>
    </xf>
    <xf numFmtId="166" fontId="208" fillId="0" borderId="151" xfId="0" applyNumberFormat="1" applyFont="1" applyBorder="1" applyAlignment="1" applyProtection="1">
      <alignment horizontal="right" vertical="center"/>
      <protection hidden="1"/>
    </xf>
    <xf numFmtId="166" fontId="292" fillId="0" borderId="321" xfId="0" applyNumberFormat="1" applyFont="1" applyBorder="1" applyAlignment="1" applyProtection="1">
      <alignment horizontal="right" vertical="center"/>
      <protection hidden="1"/>
    </xf>
    <xf numFmtId="166" fontId="208" fillId="0" borderId="321" xfId="0" applyNumberFormat="1" applyFont="1" applyBorder="1" applyAlignment="1" applyProtection="1">
      <alignment horizontal="right" vertical="center"/>
      <protection hidden="1"/>
    </xf>
    <xf numFmtId="166" fontId="273" fillId="46" borderId="649" xfId="0" applyNumberFormat="1" applyFont="1" applyFill="1" applyBorder="1" applyAlignment="1" applyProtection="1">
      <alignment vertical="center"/>
      <protection hidden="1"/>
    </xf>
    <xf numFmtId="166" fontId="273" fillId="46" borderId="292" xfId="0" applyNumberFormat="1" applyFont="1" applyFill="1" applyBorder="1" applyAlignment="1" applyProtection="1">
      <alignment vertical="center"/>
      <protection hidden="1"/>
    </xf>
    <xf numFmtId="166" fontId="273" fillId="46" borderId="391" xfId="0" applyNumberFormat="1" applyFont="1" applyFill="1" applyBorder="1" applyAlignment="1" applyProtection="1">
      <alignment vertical="center"/>
      <protection hidden="1"/>
    </xf>
    <xf numFmtId="166" fontId="16" fillId="46" borderId="459" xfId="0" applyNumberFormat="1" applyFont="1" applyFill="1" applyBorder="1" applyAlignment="1" applyProtection="1">
      <alignment vertical="center"/>
      <protection hidden="1"/>
    </xf>
    <xf numFmtId="166" fontId="16" fillId="46" borderId="179" xfId="0" applyNumberFormat="1" applyFont="1" applyFill="1" applyBorder="1" applyAlignment="1" applyProtection="1">
      <alignment vertical="center"/>
      <protection hidden="1"/>
    </xf>
    <xf numFmtId="166" fontId="16" fillId="46" borderId="174" xfId="0" applyNumberFormat="1" applyFont="1" applyFill="1" applyBorder="1" applyAlignment="1" applyProtection="1">
      <alignment vertical="center"/>
      <protection hidden="1"/>
    </xf>
    <xf numFmtId="0" fontId="16" fillId="0" borderId="225" xfId="0" applyFont="1" applyBorder="1" applyProtection="1">
      <alignment horizontal="right"/>
      <protection locked="0"/>
    </xf>
    <xf numFmtId="1" fontId="190" fillId="59" borderId="544" xfId="23" applyNumberFormat="1" applyFont="1" applyFill="1" applyBorder="1" applyAlignment="1" applyProtection="1">
      <alignment horizontal="center"/>
      <protection hidden="1"/>
    </xf>
    <xf numFmtId="166" fontId="213" fillId="59" borderId="374" xfId="0" applyNumberFormat="1" applyFont="1" applyFill="1" applyBorder="1" applyAlignment="1" applyProtection="1">
      <alignment horizontal="center" vertical="top"/>
      <protection hidden="1"/>
    </xf>
    <xf numFmtId="0" fontId="16" fillId="0" borderId="225" xfId="0" applyFont="1" applyFill="1" applyBorder="1" applyProtection="1">
      <alignment horizontal="right"/>
      <protection locked="0"/>
    </xf>
    <xf numFmtId="166" fontId="16" fillId="46" borderId="365" xfId="0" applyNumberFormat="1" applyFont="1" applyFill="1" applyBorder="1" applyAlignment="1" applyProtection="1">
      <alignment vertical="center"/>
      <protection hidden="1"/>
    </xf>
    <xf numFmtId="166" fontId="16" fillId="46" borderId="363" xfId="0" applyNumberFormat="1" applyFont="1" applyFill="1" applyBorder="1" applyAlignment="1" applyProtection="1">
      <alignment vertical="center"/>
      <protection hidden="1"/>
    </xf>
    <xf numFmtId="166" fontId="16" fillId="46" borderId="364" xfId="0" applyNumberFormat="1" applyFont="1" applyFill="1" applyBorder="1" applyAlignment="1" applyProtection="1">
      <alignment vertical="center"/>
      <protection hidden="1"/>
    </xf>
    <xf numFmtId="166" fontId="185" fillId="59" borderId="218" xfId="0" applyNumberFormat="1" applyFont="1" applyFill="1" applyBorder="1" applyAlignment="1" applyProtection="1">
      <alignment vertical="center"/>
      <protection hidden="1"/>
    </xf>
    <xf numFmtId="166" fontId="185" fillId="59" borderId="135" xfId="0" applyNumberFormat="1" applyFont="1" applyFill="1" applyBorder="1" applyAlignment="1" applyProtection="1">
      <alignment vertical="center"/>
      <protection hidden="1"/>
    </xf>
    <xf numFmtId="0" fontId="292" fillId="0" borderId="0" xfId="0" applyFont="1" applyBorder="1" applyAlignment="1" applyProtection="1">
      <alignment horizontal="left" vertical="center"/>
      <protection hidden="1"/>
    </xf>
    <xf numFmtId="168" fontId="305" fillId="93" borderId="171" xfId="0" applyNumberFormat="1" applyFont="1" applyFill="1" applyBorder="1" applyAlignment="1" applyProtection="1">
      <alignment vertical="center"/>
      <protection hidden="1"/>
    </xf>
    <xf numFmtId="0" fontId="353" fillId="93" borderId="172" xfId="0" applyFont="1" applyFill="1" applyBorder="1" applyAlignment="1" applyProtection="1">
      <alignment vertical="center"/>
      <protection hidden="1"/>
    </xf>
    <xf numFmtId="0" fontId="353" fillId="93" borderId="131" xfId="0" applyFont="1" applyFill="1" applyBorder="1" applyAlignment="1" applyProtection="1">
      <alignment vertical="center"/>
      <protection hidden="1"/>
    </xf>
    <xf numFmtId="0" fontId="353" fillId="93" borderId="293" xfId="0" applyFont="1" applyFill="1" applyBorder="1" applyAlignment="1" applyProtection="1">
      <alignment vertical="center"/>
      <protection hidden="1"/>
    </xf>
    <xf numFmtId="0" fontId="353" fillId="93" borderId="492" xfId="0" applyFont="1" applyFill="1" applyBorder="1" applyAlignment="1" applyProtection="1">
      <alignment vertical="center"/>
      <protection hidden="1"/>
    </xf>
    <xf numFmtId="0" fontId="353" fillId="93" borderId="183" xfId="0" applyFont="1" applyFill="1" applyBorder="1" applyAlignment="1" applyProtection="1">
      <alignment vertical="center"/>
      <protection hidden="1"/>
    </xf>
    <xf numFmtId="0" fontId="16" fillId="93" borderId="66" xfId="0" applyFont="1" applyFill="1" applyBorder="1" applyAlignment="1" applyProtection="1">
      <protection locked="0"/>
    </xf>
    <xf numFmtId="0" fontId="16" fillId="93" borderId="225" xfId="0" applyFont="1" applyFill="1" applyBorder="1" applyAlignment="1" applyProtection="1">
      <protection locked="0"/>
    </xf>
    <xf numFmtId="0" fontId="92" fillId="93" borderId="225" xfId="0" applyFont="1" applyFill="1" applyBorder="1" applyAlignment="1" applyProtection="1">
      <protection locked="0"/>
    </xf>
    <xf numFmtId="0" fontId="0" fillId="93" borderId="67" xfId="0" applyFill="1" applyBorder="1" applyAlignment="1"/>
    <xf numFmtId="10" fontId="481" fillId="46" borderId="412" xfId="0" applyNumberFormat="1" applyFont="1" applyFill="1" applyBorder="1" applyAlignment="1" applyProtection="1">
      <alignment horizontal="center" vertical="center"/>
      <protection hidden="1"/>
    </xf>
    <xf numFmtId="0" fontId="485" fillId="46" borderId="658" xfId="0" applyFont="1" applyFill="1" applyBorder="1" applyAlignment="1" applyProtection="1">
      <alignment horizontal="center" vertical="center"/>
      <protection locked="0"/>
    </xf>
    <xf numFmtId="0" fontId="485" fillId="46" borderId="659" xfId="0" applyFont="1" applyFill="1" applyBorder="1" applyAlignment="1" applyProtection="1">
      <alignment horizontal="center" vertical="center"/>
      <protection locked="0"/>
    </xf>
    <xf numFmtId="166" fontId="16" fillId="40" borderId="182" xfId="0" applyNumberFormat="1" applyFont="1" applyFill="1" applyBorder="1" applyAlignment="1" applyProtection="1">
      <alignment vertical="center"/>
      <protection locked="0"/>
    </xf>
    <xf numFmtId="0" fontId="243" fillId="28" borderId="290" xfId="0" applyFont="1" applyFill="1" applyBorder="1" applyAlignment="1" applyProtection="1">
      <alignment horizontal="left" vertical="center" indent="1"/>
      <protection hidden="1"/>
    </xf>
    <xf numFmtId="0" fontId="23" fillId="28" borderId="293" xfId="0" applyFont="1" applyFill="1" applyBorder="1" applyAlignment="1" applyProtection="1">
      <alignment horizontal="left" vertical="center" indent="1"/>
      <protection locked="0"/>
    </xf>
    <xf numFmtId="166" fontId="16" fillId="40" borderId="224" xfId="0" applyNumberFormat="1" applyFont="1" applyFill="1" applyBorder="1" applyAlignment="1" applyProtection="1">
      <alignment vertical="center"/>
      <protection locked="0"/>
    </xf>
    <xf numFmtId="166" fontId="16" fillId="28" borderId="225" xfId="0" applyNumberFormat="1" applyFont="1" applyFill="1" applyBorder="1" applyAlignment="1" applyProtection="1">
      <alignment vertical="center"/>
      <protection locked="0"/>
    </xf>
    <xf numFmtId="166" fontId="16" fillId="28" borderId="293" xfId="0" applyNumberFormat="1" applyFont="1" applyFill="1" applyBorder="1" applyAlignment="1" applyProtection="1">
      <alignment vertical="center"/>
      <protection locked="0"/>
    </xf>
    <xf numFmtId="9" fontId="428" fillId="40" borderId="167" xfId="0" applyNumberFormat="1" applyFont="1" applyFill="1" applyBorder="1" applyAlignment="1" applyProtection="1">
      <alignment horizontal="center" vertical="center" wrapText="1"/>
      <protection hidden="1"/>
    </xf>
    <xf numFmtId="9" fontId="428" fillId="40" borderId="68" xfId="0" applyNumberFormat="1" applyFont="1" applyFill="1" applyBorder="1" applyAlignment="1" applyProtection="1">
      <alignment horizontal="center" vertical="center" wrapText="1"/>
      <protection hidden="1"/>
    </xf>
    <xf numFmtId="166" fontId="18" fillId="93" borderId="182" xfId="0" applyNumberFormat="1" applyFont="1" applyFill="1" applyBorder="1" applyAlignment="1" applyProtection="1">
      <alignment vertical="center"/>
      <protection hidden="1"/>
    </xf>
    <xf numFmtId="166" fontId="18" fillId="93" borderId="183" xfId="0" applyNumberFormat="1" applyFont="1" applyFill="1" applyBorder="1" applyAlignment="1" applyProtection="1">
      <alignment vertical="center"/>
      <protection hidden="1"/>
    </xf>
    <xf numFmtId="166" fontId="348" fillId="46" borderId="167" xfId="0" applyNumberFormat="1" applyFont="1" applyFill="1" applyBorder="1" applyAlignment="1" applyProtection="1">
      <alignment vertical="center"/>
      <protection hidden="1"/>
    </xf>
    <xf numFmtId="9" fontId="348" fillId="46" borderId="241" xfId="0" applyNumberFormat="1" applyFont="1" applyFill="1" applyBorder="1" applyAlignment="1" applyProtection="1">
      <alignment horizontal="center" vertical="center"/>
      <protection hidden="1"/>
    </xf>
    <xf numFmtId="166" fontId="246" fillId="46" borderId="168" xfId="0" applyNumberFormat="1" applyFont="1" applyFill="1" applyBorder="1" applyAlignment="1" applyProtection="1">
      <alignment vertical="center"/>
      <protection locked="0"/>
    </xf>
    <xf numFmtId="166" fontId="348" fillId="46" borderId="68" xfId="0" applyNumberFormat="1" applyFont="1" applyFill="1" applyBorder="1" applyAlignment="1" applyProtection="1">
      <alignment vertical="center"/>
      <protection hidden="1"/>
    </xf>
    <xf numFmtId="166" fontId="292" fillId="0" borderId="167" xfId="0" applyNumberFormat="1" applyFont="1" applyFill="1" applyBorder="1" applyAlignment="1" applyProtection="1">
      <alignment vertical="center"/>
      <protection hidden="1"/>
    </xf>
    <xf numFmtId="166" fontId="292" fillId="0" borderId="166" xfId="0" applyNumberFormat="1" applyFont="1" applyFill="1" applyBorder="1" applyAlignment="1" applyProtection="1">
      <alignment vertical="center"/>
      <protection hidden="1"/>
    </xf>
    <xf numFmtId="166" fontId="292" fillId="0" borderId="66" xfId="0" applyNumberFormat="1" applyFont="1" applyFill="1" applyBorder="1" applyAlignment="1" applyProtection="1">
      <alignment vertical="center"/>
      <protection hidden="1"/>
    </xf>
    <xf numFmtId="166" fontId="292" fillId="0" borderId="68" xfId="0" applyNumberFormat="1" applyFont="1" applyFill="1" applyBorder="1" applyAlignment="1" applyProtection="1">
      <alignment vertical="center"/>
      <protection hidden="1"/>
    </xf>
    <xf numFmtId="166" fontId="292" fillId="0" borderId="67" xfId="0" applyNumberFormat="1" applyFont="1" applyFill="1" applyBorder="1" applyAlignment="1" applyProtection="1">
      <alignment vertical="center"/>
      <protection hidden="1"/>
    </xf>
    <xf numFmtId="166" fontId="292" fillId="0" borderId="168" xfId="0" applyNumberFormat="1" applyFont="1" applyFill="1" applyBorder="1" applyAlignment="1" applyProtection="1">
      <alignment vertical="center"/>
      <protection hidden="1"/>
    </xf>
    <xf numFmtId="166" fontId="292" fillId="0" borderId="412" xfId="0" applyNumberFormat="1" applyFont="1" applyFill="1" applyBorder="1" applyAlignment="1" applyProtection="1">
      <alignment vertical="center"/>
      <protection locked="0"/>
    </xf>
    <xf numFmtId="166" fontId="292" fillId="0" borderId="71" xfId="0" applyNumberFormat="1" applyFont="1" applyFill="1" applyBorder="1" applyAlignment="1" applyProtection="1">
      <alignment vertical="center"/>
      <protection hidden="1"/>
    </xf>
    <xf numFmtId="166" fontId="292" fillId="0" borderId="72" xfId="0" applyNumberFormat="1" applyFont="1" applyFill="1" applyBorder="1" applyAlignment="1" applyProtection="1">
      <alignment vertical="center"/>
      <protection locked="0"/>
    </xf>
    <xf numFmtId="0" fontId="283" fillId="0" borderId="0" xfId="0" applyFont="1" applyBorder="1" applyAlignment="1" applyProtection="1">
      <alignment horizontal="left" vertical="center" indent="1"/>
      <protection hidden="1"/>
    </xf>
    <xf numFmtId="166" fontId="292" fillId="0" borderId="401" xfId="0" quotePrefix="1" applyNumberFormat="1" applyFont="1" applyBorder="1" applyAlignment="1" applyProtection="1">
      <alignment vertical="center"/>
      <protection locked="0"/>
    </xf>
    <xf numFmtId="166" fontId="292" fillId="0" borderId="593" xfId="0" quotePrefix="1" applyNumberFormat="1" applyFont="1" applyBorder="1" applyAlignment="1" applyProtection="1">
      <alignment vertical="center"/>
      <protection locked="0"/>
    </xf>
    <xf numFmtId="166" fontId="292" fillId="0" borderId="293" xfId="0" quotePrefix="1" applyNumberFormat="1" applyFont="1" applyBorder="1" applyAlignment="1" applyProtection="1">
      <alignment vertical="center"/>
      <protection hidden="1"/>
    </xf>
    <xf numFmtId="166" fontId="292" fillId="0" borderId="410" xfId="0" quotePrefix="1" applyNumberFormat="1" applyFont="1" applyBorder="1" applyAlignment="1" applyProtection="1">
      <alignment vertical="center"/>
      <protection locked="0"/>
    </xf>
    <xf numFmtId="166" fontId="292" fillId="0" borderId="592" xfId="0" quotePrefix="1" applyNumberFormat="1" applyFont="1" applyBorder="1" applyAlignment="1" applyProtection="1">
      <alignment vertical="center"/>
      <protection locked="0"/>
    </xf>
    <xf numFmtId="166" fontId="292" fillId="0" borderId="245" xfId="0" quotePrefix="1" applyNumberFormat="1" applyFont="1" applyBorder="1" applyAlignment="1" applyProtection="1">
      <alignment vertical="center"/>
      <protection hidden="1"/>
    </xf>
    <xf numFmtId="166" fontId="274" fillId="0" borderId="224" xfId="0" applyNumberFormat="1" applyFont="1" applyFill="1" applyBorder="1" applyAlignment="1" applyProtection="1">
      <alignment vertical="center"/>
      <protection hidden="1"/>
    </xf>
    <xf numFmtId="166" fontId="274" fillId="0" borderId="156" xfId="0" applyNumberFormat="1" applyFont="1" applyFill="1" applyBorder="1" applyAlignment="1" applyProtection="1">
      <alignment vertical="center"/>
      <protection locked="0"/>
    </xf>
    <xf numFmtId="166" fontId="292" fillId="0" borderId="168" xfId="0" applyNumberFormat="1" applyFont="1" applyFill="1" applyBorder="1" applyAlignment="1" applyProtection="1">
      <alignment vertical="center"/>
      <protection locked="0"/>
    </xf>
    <xf numFmtId="166" fontId="274" fillId="0" borderId="225" xfId="0" applyNumberFormat="1" applyFont="1" applyFill="1" applyBorder="1" applyAlignment="1" applyProtection="1">
      <alignment vertical="center"/>
      <protection hidden="1"/>
    </xf>
    <xf numFmtId="166" fontId="274" fillId="0" borderId="224" xfId="0" applyNumberFormat="1" applyFont="1" applyFill="1" applyBorder="1" applyAlignment="1" applyProtection="1">
      <alignment vertical="center"/>
      <protection locked="0"/>
    </xf>
    <xf numFmtId="166" fontId="292" fillId="0" borderId="167" xfId="0" applyNumberFormat="1" applyFont="1" applyFill="1" applyBorder="1" applyAlignment="1" applyProtection="1">
      <alignment vertical="center"/>
      <protection locked="0"/>
    </xf>
    <xf numFmtId="0" fontId="283" fillId="0" borderId="224" xfId="0" applyFont="1" applyBorder="1" applyAlignment="1" applyProtection="1">
      <alignment horizontal="left" vertical="center" indent="1"/>
      <protection hidden="1"/>
    </xf>
    <xf numFmtId="0" fontId="220" fillId="0" borderId="293" xfId="0" applyFont="1" applyFill="1" applyBorder="1" applyAlignment="1" applyProtection="1">
      <alignment horizontal="center" vertical="center"/>
      <protection locked="0" hidden="1"/>
    </xf>
    <xf numFmtId="0" fontId="220" fillId="0" borderId="245" xfId="0" applyFont="1" applyFill="1" applyBorder="1" applyAlignment="1" applyProtection="1">
      <alignment horizontal="center" vertical="center"/>
      <protection locked="0" hidden="1"/>
    </xf>
    <xf numFmtId="166" fontId="292" fillId="0" borderId="71" xfId="0" applyNumberFormat="1" applyFont="1" applyFill="1" applyBorder="1" applyAlignment="1" applyProtection="1">
      <alignment vertical="center"/>
      <protection locked="0"/>
    </xf>
    <xf numFmtId="166" fontId="292" fillId="0" borderId="366" xfId="0" applyNumberFormat="1" applyFont="1" applyFill="1" applyBorder="1" applyAlignment="1" applyProtection="1">
      <alignment vertical="center"/>
      <protection hidden="1"/>
    </xf>
    <xf numFmtId="166" fontId="292" fillId="0" borderId="224" xfId="0" applyNumberFormat="1" applyFont="1" applyFill="1" applyBorder="1" applyAlignment="1" applyProtection="1">
      <alignment vertical="center"/>
      <protection hidden="1"/>
    </xf>
    <xf numFmtId="166" fontId="292" fillId="0" borderId="238" xfId="0" applyNumberFormat="1" applyFont="1" applyFill="1" applyBorder="1" applyAlignment="1" applyProtection="1">
      <alignment vertical="center"/>
      <protection hidden="1"/>
    </xf>
    <xf numFmtId="0" fontId="274" fillId="0" borderId="0" xfId="0" applyFont="1" applyBorder="1" applyAlignment="1" applyProtection="1">
      <alignment horizontal="left" vertical="center"/>
      <protection hidden="1"/>
    </xf>
    <xf numFmtId="166" fontId="292" fillId="0" borderId="401" xfId="0" applyNumberFormat="1" applyFont="1" applyBorder="1" applyAlignment="1" applyProtection="1">
      <alignment vertical="center"/>
      <protection locked="0"/>
    </xf>
    <xf numFmtId="166" fontId="292" fillId="0" borderId="333" xfId="0" quotePrefix="1" applyNumberFormat="1" applyFont="1" applyBorder="1" applyAlignment="1" applyProtection="1">
      <alignment vertical="center"/>
      <protection locked="0" hidden="1"/>
    </xf>
    <xf numFmtId="166" fontId="292" fillId="0" borderId="593" xfId="0" quotePrefix="1" applyNumberFormat="1" applyFont="1" applyBorder="1" applyAlignment="1" applyProtection="1">
      <alignment vertical="center"/>
      <protection hidden="1"/>
    </xf>
    <xf numFmtId="166" fontId="292" fillId="0" borderId="334" xfId="0" quotePrefix="1" applyNumberFormat="1" applyFont="1" applyBorder="1" applyAlignment="1" applyProtection="1">
      <alignment vertical="center"/>
      <protection locked="0" hidden="1"/>
    </xf>
    <xf numFmtId="166" fontId="292" fillId="0" borderId="592" xfId="0" quotePrefix="1" applyNumberFormat="1" applyFont="1" applyBorder="1" applyAlignment="1" applyProtection="1">
      <alignment vertical="center"/>
      <protection hidden="1"/>
    </xf>
    <xf numFmtId="0" fontId="292" fillId="0" borderId="161" xfId="0" applyFont="1" applyBorder="1" applyAlignment="1" applyProtection="1">
      <alignment horizontal="left" vertical="center"/>
      <protection locked="0"/>
    </xf>
    <xf numFmtId="166" fontId="292" fillId="0" borderId="58" xfId="0" quotePrefix="1" applyNumberFormat="1" applyFont="1" applyBorder="1" applyAlignment="1" applyProtection="1">
      <alignment vertical="center"/>
      <protection locked="0" hidden="1"/>
    </xf>
    <xf numFmtId="166" fontId="292" fillId="0" borderId="588" xfId="0" quotePrefix="1" applyNumberFormat="1" applyFont="1" applyBorder="1" applyAlignment="1" applyProtection="1">
      <alignment vertical="center"/>
      <protection hidden="1"/>
    </xf>
    <xf numFmtId="166" fontId="292" fillId="0" borderId="589" xfId="0" quotePrefix="1" applyNumberFormat="1" applyFont="1" applyBorder="1" applyAlignment="1" applyProtection="1">
      <alignment vertical="center"/>
      <protection locked="0" hidden="1"/>
    </xf>
    <xf numFmtId="166" fontId="292" fillId="0" borderId="591" xfId="0" quotePrefix="1" applyNumberFormat="1" applyFont="1" applyBorder="1" applyAlignment="1" applyProtection="1">
      <alignment vertical="center"/>
      <protection hidden="1"/>
    </xf>
    <xf numFmtId="166" fontId="292" fillId="0" borderId="167" xfId="0" quotePrefix="1" applyNumberFormat="1" applyFont="1" applyFill="1" applyBorder="1" applyAlignment="1" applyProtection="1">
      <alignment vertical="center"/>
      <protection locked="0"/>
    </xf>
    <xf numFmtId="166" fontId="292" fillId="0" borderId="167" xfId="0" quotePrefix="1" applyNumberFormat="1" applyFont="1" applyBorder="1" applyAlignment="1" applyProtection="1">
      <alignment vertical="center"/>
      <protection locked="0"/>
    </xf>
    <xf numFmtId="0" fontId="279" fillId="0" borderId="602" xfId="0" applyFont="1" applyBorder="1" applyAlignment="1" applyProtection="1">
      <alignment horizontal="left" vertical="center"/>
      <protection hidden="1"/>
    </xf>
    <xf numFmtId="0" fontId="279" fillId="0" borderId="589" xfId="0" applyFont="1" applyBorder="1" applyAlignment="1" applyProtection="1">
      <alignment horizontal="left" vertical="center"/>
      <protection hidden="1"/>
    </xf>
    <xf numFmtId="0" fontId="279" fillId="0" borderId="603" xfId="0" applyFont="1" applyBorder="1" applyAlignment="1" applyProtection="1">
      <alignment horizontal="left" vertical="center"/>
      <protection hidden="1"/>
    </xf>
    <xf numFmtId="0" fontId="292" fillId="0" borderId="167" xfId="0" applyFont="1" applyFill="1" applyBorder="1" applyAlignment="1" applyProtection="1">
      <alignment horizontal="left" vertical="center" wrapText="1" indent="1"/>
      <protection locked="0"/>
    </xf>
    <xf numFmtId="0" fontId="353" fillId="0" borderId="161" xfId="0" applyFont="1" applyBorder="1" applyAlignment="1">
      <alignment horizontal="left" vertical="center" indent="1"/>
    </xf>
    <xf numFmtId="0" fontId="279" fillId="0" borderId="75" xfId="0" applyFont="1" applyBorder="1" applyAlignment="1" applyProtection="1">
      <alignment horizontal="left" vertical="center" wrapText="1"/>
      <protection locked="0" hidden="1"/>
    </xf>
    <xf numFmtId="0" fontId="279" fillId="0" borderId="162" xfId="0" applyFont="1" applyBorder="1" applyAlignment="1" applyProtection="1">
      <alignment horizontal="left" vertical="center" wrapText="1"/>
      <protection locked="0" hidden="1"/>
    </xf>
    <xf numFmtId="0" fontId="279" fillId="0" borderId="321" xfId="0" applyFont="1" applyBorder="1" applyAlignment="1" applyProtection="1">
      <alignment horizontal="left" vertical="center" wrapText="1"/>
      <protection locked="0" hidden="1"/>
    </xf>
    <xf numFmtId="3" fontId="292" fillId="0" borderId="293" xfId="0" applyNumberFormat="1" applyFont="1" applyFill="1" applyBorder="1" applyAlignment="1" applyProtection="1">
      <alignment horizontal="right" vertical="center" indent="1"/>
      <protection locked="0"/>
    </xf>
    <xf numFmtId="3" fontId="292" fillId="0" borderId="245" xfId="0" applyNumberFormat="1" applyFont="1" applyFill="1" applyBorder="1" applyAlignment="1" applyProtection="1">
      <alignment horizontal="right" vertical="center" indent="1"/>
      <protection locked="0"/>
    </xf>
    <xf numFmtId="3" fontId="292" fillId="0" borderId="323" xfId="0" applyNumberFormat="1" applyFont="1" applyFill="1" applyBorder="1" applyAlignment="1" applyProtection="1">
      <alignment horizontal="right" vertical="center" indent="1"/>
      <protection locked="0"/>
    </xf>
    <xf numFmtId="0" fontId="214" fillId="93" borderId="366" xfId="0" applyFont="1" applyFill="1" applyBorder="1" applyAlignment="1" applyProtection="1">
      <alignment horizontal="center" vertical="center"/>
      <protection hidden="1"/>
    </xf>
    <xf numFmtId="0" fontId="214" fillId="93" borderId="368" xfId="0" applyFont="1" applyFill="1" applyBorder="1" applyAlignment="1" applyProtection="1">
      <alignment horizontal="center" vertical="center"/>
      <protection hidden="1"/>
    </xf>
    <xf numFmtId="0" fontId="498" fillId="0" borderId="0" xfId="0" applyFont="1" applyBorder="1" applyProtection="1">
      <alignment horizontal="right"/>
      <protection locked="0"/>
    </xf>
    <xf numFmtId="0" fontId="254" fillId="0" borderId="0" xfId="0" applyFont="1" applyBorder="1" applyAlignment="1" applyProtection="1">
      <alignment horizontal="left" vertical="center"/>
      <protection hidden="1"/>
    </xf>
    <xf numFmtId="0" fontId="132" fillId="0" borderId="15" xfId="0" applyFont="1" applyBorder="1" applyAlignment="1" applyProtection="1">
      <alignment horizontal="center" vertical="center"/>
      <protection locked="0" hidden="1"/>
    </xf>
    <xf numFmtId="180" fontId="292" fillId="0" borderId="0" xfId="0" applyNumberFormat="1" applyFont="1" applyFill="1" applyBorder="1" applyAlignment="1" applyProtection="1">
      <alignment horizontal="center" vertical="center"/>
      <protection hidden="1"/>
    </xf>
    <xf numFmtId="0" fontId="254" fillId="0" borderId="463" xfId="0" applyFont="1" applyBorder="1" applyAlignment="1" applyProtection="1">
      <alignment horizontal="left" vertical="center"/>
      <protection hidden="1"/>
    </xf>
    <xf numFmtId="0" fontId="282" fillId="0" borderId="294" xfId="0" applyFont="1" applyBorder="1" applyAlignment="1" applyProtection="1">
      <alignment horizontal="center" vertical="center"/>
      <protection locked="0" hidden="1"/>
    </xf>
    <xf numFmtId="177" fontId="427" fillId="71" borderId="153" xfId="16" applyNumberFormat="1" applyFont="1" applyFill="1" applyBorder="1" applyAlignment="1" applyProtection="1">
      <alignment vertical="center"/>
      <protection locked="0"/>
    </xf>
    <xf numFmtId="177" fontId="361" fillId="46" borderId="153" xfId="0" applyNumberFormat="1" applyFont="1" applyFill="1" applyBorder="1" applyAlignment="1" applyProtection="1">
      <alignment vertical="center"/>
      <protection hidden="1"/>
    </xf>
    <xf numFmtId="0" fontId="503" fillId="0" borderId="0" xfId="0" applyFont="1" applyBorder="1" applyAlignment="1" applyProtection="1">
      <alignment horizontal="left" vertical="center" indent="1"/>
      <protection hidden="1"/>
    </xf>
    <xf numFmtId="0" fontId="484" fillId="0" borderId="0" xfId="0" applyFont="1" applyBorder="1" applyAlignment="1" applyProtection="1">
      <alignment horizontal="left" vertical="center" indent="1"/>
      <protection hidden="1"/>
    </xf>
    <xf numFmtId="0" fontId="292" fillId="0" borderId="0" xfId="0" applyFont="1" applyBorder="1" applyAlignment="1" applyProtection="1">
      <alignment horizontal="right" vertical="center"/>
      <protection locked="0"/>
    </xf>
    <xf numFmtId="0" fontId="292" fillId="0" borderId="0" xfId="0" applyFont="1" applyBorder="1" applyProtection="1">
      <alignment horizontal="right"/>
      <protection locked="0"/>
    </xf>
    <xf numFmtId="0" fontId="504" fillId="0" borderId="0" xfId="0" applyFont="1" applyBorder="1" applyAlignment="1" applyProtection="1">
      <alignment horizontal="left" indent="2"/>
      <protection locked="0"/>
    </xf>
    <xf numFmtId="0" fontId="505" fillId="0" borderId="0" xfId="0" applyFont="1" applyBorder="1" applyAlignment="1" applyProtection="1">
      <alignment horizontal="left" vertical="center" indent="1"/>
      <protection hidden="1"/>
    </xf>
    <xf numFmtId="0" fontId="292" fillId="0" borderId="0" xfId="0" applyFont="1" applyBorder="1" applyAlignment="1" applyProtection="1">
      <alignment horizontal="left" vertical="center" indent="1"/>
      <protection hidden="1"/>
    </xf>
    <xf numFmtId="0" fontId="292" fillId="0" borderId="0" xfId="0" applyFont="1" applyBorder="1" applyProtection="1">
      <alignment horizontal="right"/>
      <protection hidden="1"/>
    </xf>
    <xf numFmtId="0" fontId="226" fillId="47" borderId="408" xfId="0" applyFont="1" applyFill="1" applyBorder="1" applyAlignment="1" applyProtection="1">
      <alignment horizontal="center" vertical="center"/>
      <protection hidden="1"/>
    </xf>
    <xf numFmtId="0" fontId="226" fillId="47" borderId="135" xfId="0" applyFont="1" applyFill="1" applyBorder="1" applyAlignment="1" applyProtection="1">
      <alignment horizontal="center" vertical="center"/>
      <protection hidden="1"/>
    </xf>
    <xf numFmtId="0" fontId="226" fillId="47" borderId="395" xfId="0" applyFont="1" applyFill="1" applyBorder="1" applyAlignment="1" applyProtection="1">
      <alignment horizontal="center" vertical="center"/>
      <protection hidden="1"/>
    </xf>
    <xf numFmtId="9" fontId="136" fillId="0" borderId="371" xfId="0" applyNumberFormat="1" applyFont="1" applyBorder="1" applyAlignment="1" applyProtection="1">
      <alignment horizontal="center" vertical="center"/>
      <protection locked="0"/>
    </xf>
    <xf numFmtId="9" fontId="136" fillId="0" borderId="400" xfId="0" applyNumberFormat="1" applyFont="1" applyBorder="1" applyAlignment="1" applyProtection="1">
      <alignment horizontal="center" vertical="center"/>
      <protection locked="0"/>
    </xf>
    <xf numFmtId="9" fontId="136" fillId="0" borderId="392" xfId="0" applyNumberFormat="1" applyFont="1" applyBorder="1" applyAlignment="1" applyProtection="1">
      <alignment horizontal="center" vertical="center"/>
      <protection locked="0"/>
    </xf>
    <xf numFmtId="0" fontId="368" fillId="0" borderId="0" xfId="0" applyFont="1" applyBorder="1" applyAlignment="1" applyProtection="1">
      <alignment horizontal="right" vertical="center"/>
      <protection locked="0"/>
    </xf>
    <xf numFmtId="0" fontId="188" fillId="0" borderId="0" xfId="0" applyFont="1" applyBorder="1" applyAlignment="1" applyProtection="1">
      <alignment horizontal="left" vertical="center" indent="1"/>
      <protection locked="0"/>
    </xf>
    <xf numFmtId="177" fontId="350" fillId="0" borderId="413" xfId="0" applyNumberFormat="1" applyFont="1" applyBorder="1" applyAlignment="1" applyProtection="1">
      <alignment vertical="center"/>
      <protection locked="0"/>
    </xf>
    <xf numFmtId="179" fontId="427" fillId="47" borderId="667" xfId="0" applyNumberFormat="1" applyFont="1" applyFill="1" applyBorder="1" applyAlignment="1" applyProtection="1">
      <alignment horizontal="center" vertical="center" wrapText="1"/>
      <protection hidden="1"/>
    </xf>
    <xf numFmtId="0" fontId="427" fillId="47" borderId="174" xfId="0" applyFont="1" applyFill="1" applyBorder="1" applyAlignment="1" applyProtection="1">
      <alignment horizontal="center" vertical="center"/>
      <protection hidden="1"/>
    </xf>
    <xf numFmtId="0" fontId="361" fillId="47" borderId="137" xfId="0" applyFont="1" applyFill="1" applyBorder="1" applyAlignment="1" applyProtection="1">
      <alignment horizontal="center" vertical="center"/>
      <protection hidden="1"/>
    </xf>
    <xf numFmtId="0" fontId="361" fillId="47" borderId="395" xfId="0" applyFont="1" applyFill="1" applyBorder="1" applyAlignment="1" applyProtection="1">
      <alignment horizontal="center" vertical="center"/>
      <protection hidden="1"/>
    </xf>
    <xf numFmtId="0" fontId="361" fillId="47" borderId="668" xfId="0" applyFont="1" applyFill="1" applyBorder="1" applyAlignment="1" applyProtection="1">
      <alignment horizontal="center" vertical="center"/>
      <protection hidden="1"/>
    </xf>
    <xf numFmtId="0" fontId="361" fillId="47" borderId="135" xfId="0" applyFont="1" applyFill="1" applyBorder="1" applyAlignment="1" applyProtection="1">
      <alignment horizontal="center" vertical="center"/>
      <protection hidden="1"/>
    </xf>
    <xf numFmtId="0" fontId="198" fillId="0" borderId="172" xfId="32" applyFont="1" applyFill="1" applyBorder="1" applyAlignment="1" applyProtection="1">
      <alignment horizontal="left" vertical="center"/>
      <protection locked="0"/>
    </xf>
    <xf numFmtId="0" fontId="198" fillId="0" borderId="174" xfId="32" applyFont="1" applyFill="1" applyBorder="1" applyAlignment="1" applyProtection="1">
      <alignment horizontal="left" vertical="center"/>
      <protection locked="0"/>
    </xf>
    <xf numFmtId="0" fontId="135" fillId="71" borderId="354" xfId="0" applyFont="1" applyFill="1" applyBorder="1" applyProtection="1">
      <alignment horizontal="right"/>
      <protection locked="0"/>
    </xf>
    <xf numFmtId="171" fontId="226" fillId="0" borderId="669" xfId="0" applyNumberFormat="1" applyFont="1" applyBorder="1" applyAlignment="1" applyProtection="1">
      <alignment horizontal="center" vertical="center"/>
      <protection locked="0" hidden="1"/>
    </xf>
    <xf numFmtId="171" fontId="361" fillId="0" borderId="224" xfId="0" applyNumberFormat="1" applyFont="1" applyBorder="1" applyAlignment="1" applyProtection="1">
      <alignment horizontal="center" vertical="center"/>
      <protection locked="0" hidden="1"/>
    </xf>
    <xf numFmtId="0" fontId="226" fillId="0" borderId="413" xfId="0" applyFont="1" applyBorder="1" applyAlignment="1" applyProtection="1">
      <alignment horizontal="center" vertical="center"/>
      <protection locked="0"/>
    </xf>
    <xf numFmtId="0" fontId="361" fillId="0" borderId="72" xfId="0" applyFont="1" applyBorder="1" applyAlignment="1" applyProtection="1">
      <alignment horizontal="center" vertical="center"/>
      <protection locked="0" hidden="1"/>
    </xf>
    <xf numFmtId="0" fontId="361" fillId="71" borderId="412" xfId="0" applyFont="1" applyFill="1" applyBorder="1" applyAlignment="1" applyProtection="1">
      <alignment horizontal="center" vertical="center"/>
      <protection locked="0" hidden="1"/>
    </xf>
    <xf numFmtId="0" fontId="226" fillId="0" borderId="412" xfId="0" applyFont="1" applyBorder="1" applyAlignment="1" applyProtection="1">
      <alignment horizontal="center" vertical="center"/>
      <protection locked="0"/>
    </xf>
    <xf numFmtId="171" fontId="361" fillId="0" borderId="167" xfId="0" applyNumberFormat="1" applyFont="1" applyBorder="1" applyAlignment="1" applyProtection="1">
      <alignment horizontal="center" vertical="center"/>
      <protection locked="0" hidden="1"/>
    </xf>
    <xf numFmtId="0" fontId="226" fillId="0" borderId="168" xfId="0" applyFont="1" applyBorder="1" applyAlignment="1" applyProtection="1">
      <alignment horizontal="center" vertical="center"/>
      <protection locked="0"/>
    </xf>
    <xf numFmtId="0" fontId="361" fillId="71" borderId="413" xfId="0" applyFont="1" applyFill="1" applyBorder="1" applyAlignment="1" applyProtection="1">
      <alignment horizontal="center" vertical="center"/>
      <protection locked="0" hidden="1"/>
    </xf>
    <xf numFmtId="0" fontId="360" fillId="0" borderId="168" xfId="0" applyNumberFormat="1" applyFont="1" applyBorder="1" applyAlignment="1" applyProtection="1">
      <alignment horizontal="center" vertical="center"/>
      <protection locked="0" hidden="1"/>
    </xf>
    <xf numFmtId="0" fontId="361" fillId="0" borderId="167" xfId="0" applyFont="1" applyBorder="1" applyAlignment="1" applyProtection="1">
      <alignment horizontal="center" vertical="center"/>
      <protection locked="0" hidden="1"/>
    </xf>
    <xf numFmtId="171" fontId="361" fillId="0" borderId="71" xfId="0" applyNumberFormat="1" applyFont="1" applyBorder="1" applyAlignment="1" applyProtection="1">
      <alignment horizontal="center" vertical="center"/>
      <protection locked="0" hidden="1"/>
    </xf>
    <xf numFmtId="171" fontId="361" fillId="0" borderId="72" xfId="0" applyNumberFormat="1" applyFont="1" applyBorder="1" applyAlignment="1" applyProtection="1">
      <alignment horizontal="center" vertical="center"/>
      <protection locked="0" hidden="1"/>
    </xf>
    <xf numFmtId="171" fontId="361" fillId="0" borderId="531" xfId="0" applyNumberFormat="1" applyFont="1" applyBorder="1" applyAlignment="1" applyProtection="1">
      <alignment horizontal="center" vertical="center"/>
      <protection locked="0" hidden="1"/>
    </xf>
    <xf numFmtId="0" fontId="292" fillId="0" borderId="66" xfId="0" applyFont="1" applyBorder="1" applyAlignment="1" applyProtection="1">
      <alignment horizontal="center" vertical="center"/>
      <protection locked="0"/>
    </xf>
    <xf numFmtId="171" fontId="361" fillId="71" borderId="293" xfId="0" applyNumberFormat="1" applyFont="1" applyFill="1" applyBorder="1" applyAlignment="1" applyProtection="1">
      <alignment horizontal="center" vertical="center"/>
      <protection locked="0" hidden="1"/>
    </xf>
    <xf numFmtId="171" fontId="361" fillId="71" borderId="323" xfId="0" applyNumberFormat="1" applyFont="1" applyFill="1" applyBorder="1" applyAlignment="1" applyProtection="1">
      <alignment horizontal="center" vertical="center"/>
      <protection locked="0" hidden="1"/>
    </xf>
    <xf numFmtId="0" fontId="274" fillId="47" borderId="670" xfId="0" applyFont="1" applyFill="1" applyBorder="1" applyAlignment="1" applyProtection="1">
      <alignment horizontal="center" vertical="center"/>
      <protection locked="0"/>
    </xf>
    <xf numFmtId="0" fontId="274" fillId="0" borderId="671" xfId="0" applyFont="1" applyBorder="1" applyAlignment="1" applyProtection="1">
      <alignment horizontal="center" vertical="center"/>
      <protection locked="0"/>
    </xf>
    <xf numFmtId="0" fontId="274" fillId="47" borderId="672" xfId="0" applyFont="1" applyFill="1" applyBorder="1" applyAlignment="1" applyProtection="1">
      <alignment horizontal="center" vertical="center"/>
      <protection locked="0"/>
    </xf>
    <xf numFmtId="0" fontId="274" fillId="0" borderId="673" xfId="0" applyFont="1" applyBorder="1" applyAlignment="1" applyProtection="1">
      <alignment horizontal="center" vertical="center"/>
      <protection locked="0"/>
    </xf>
    <xf numFmtId="0" fontId="274" fillId="47" borderId="674" xfId="0" applyFont="1" applyFill="1" applyBorder="1" applyAlignment="1" applyProtection="1">
      <alignment horizontal="center" vertical="center"/>
      <protection locked="0"/>
    </xf>
    <xf numFmtId="0" fontId="274" fillId="0" borderId="675" xfId="0" applyFont="1" applyBorder="1" applyAlignment="1" applyProtection="1">
      <alignment horizontal="center" vertical="center"/>
      <protection locked="0"/>
    </xf>
    <xf numFmtId="171" fontId="361" fillId="71" borderId="0" xfId="0" applyNumberFormat="1" applyFont="1" applyFill="1" applyBorder="1" applyAlignment="1" applyProtection="1">
      <alignment horizontal="center" vertical="center"/>
      <protection locked="0" hidden="1"/>
    </xf>
    <xf numFmtId="171" fontId="361" fillId="71" borderId="160" xfId="0" applyNumberFormat="1" applyFont="1" applyFill="1" applyBorder="1" applyAlignment="1" applyProtection="1">
      <alignment horizontal="center" vertical="center"/>
      <protection locked="0" hidden="1"/>
    </xf>
    <xf numFmtId="171" fontId="361" fillId="0" borderId="176" xfId="0" applyNumberFormat="1" applyFont="1" applyBorder="1" applyAlignment="1" applyProtection="1">
      <alignment horizontal="center" vertical="center"/>
      <protection locked="0" hidden="1"/>
    </xf>
    <xf numFmtId="171" fontId="361" fillId="0" borderId="187" xfId="0" applyNumberFormat="1" applyFont="1" applyBorder="1" applyAlignment="1" applyProtection="1">
      <alignment horizontal="center" vertical="center"/>
      <protection locked="0" hidden="1"/>
    </xf>
    <xf numFmtId="171" fontId="361" fillId="0" borderId="67" xfId="0" applyNumberFormat="1" applyFont="1" applyBorder="1" applyAlignment="1" applyProtection="1">
      <alignment horizontal="center" vertical="center"/>
      <protection locked="0" hidden="1"/>
    </xf>
    <xf numFmtId="171" fontId="361" fillId="0" borderId="351" xfId="0" applyNumberFormat="1" applyFont="1" applyBorder="1" applyAlignment="1" applyProtection="1">
      <alignment horizontal="center" vertical="center"/>
      <protection locked="0" hidden="1"/>
    </xf>
    <xf numFmtId="9" fontId="361" fillId="0" borderId="68" xfId="0" applyNumberFormat="1" applyFont="1" applyBorder="1" applyAlignment="1" applyProtection="1">
      <alignment horizontal="center" vertical="center"/>
      <protection locked="0" hidden="1"/>
    </xf>
    <xf numFmtId="236" fontId="102" fillId="0" borderId="15" xfId="0" applyNumberFormat="1" applyFont="1" applyBorder="1" applyAlignment="1" applyProtection="1">
      <alignment horizontal="center" vertical="center"/>
      <protection locked="0"/>
    </xf>
    <xf numFmtId="0" fontId="510" fillId="0" borderId="0" xfId="0" applyFont="1" applyBorder="1" applyAlignment="1" applyProtection="1">
      <protection hidden="1"/>
    </xf>
    <xf numFmtId="0" fontId="510" fillId="0" borderId="0" xfId="0" applyFont="1" applyBorder="1" applyAlignment="1" applyProtection="1">
      <alignment horizontal="left" vertical="center" indent="1"/>
      <protection hidden="1"/>
    </xf>
    <xf numFmtId="0" fontId="361" fillId="0" borderId="224" xfId="0" applyFont="1" applyFill="1" applyBorder="1" applyAlignment="1" applyProtection="1">
      <alignment vertical="center"/>
      <protection hidden="1"/>
    </xf>
    <xf numFmtId="0" fontId="361" fillId="0" borderId="167" xfId="0" applyFont="1" applyFill="1" applyBorder="1" applyAlignment="1" applyProtection="1">
      <alignment vertical="center"/>
      <protection hidden="1"/>
    </xf>
    <xf numFmtId="0" fontId="361" fillId="0" borderId="72" xfId="0" applyFont="1" applyFill="1" applyBorder="1" applyAlignment="1" applyProtection="1">
      <alignment vertical="center"/>
      <protection hidden="1"/>
    </xf>
    <xf numFmtId="177" fontId="135" fillId="0" borderId="613" xfId="0" applyNumberFormat="1" applyFont="1" applyFill="1" applyBorder="1" applyAlignment="1" applyProtection="1">
      <alignment horizontal="right" vertical="center"/>
      <protection locked="0"/>
    </xf>
    <xf numFmtId="177" fontId="135" fillId="0" borderId="592" xfId="0" applyNumberFormat="1" applyFont="1" applyFill="1" applyBorder="1" applyAlignment="1" applyProtection="1">
      <alignment horizontal="right" vertical="center"/>
      <protection locked="0"/>
    </xf>
    <xf numFmtId="177" fontId="135" fillId="0" borderId="614" xfId="0" applyNumberFormat="1" applyFont="1" applyFill="1" applyBorder="1" applyAlignment="1" applyProtection="1">
      <alignment horizontal="right" vertical="center"/>
      <protection locked="0"/>
    </xf>
    <xf numFmtId="177" fontId="135" fillId="0" borderId="479" xfId="0" applyNumberFormat="1" applyFont="1" applyFill="1" applyBorder="1" applyAlignment="1" applyProtection="1">
      <alignment horizontal="right" vertical="center"/>
      <protection locked="0"/>
    </xf>
    <xf numFmtId="177" fontId="135" fillId="0" borderId="394" xfId="0" applyNumberFormat="1" applyFont="1" applyFill="1" applyBorder="1" applyAlignment="1" applyProtection="1">
      <alignment horizontal="right" vertical="center"/>
      <protection locked="0"/>
    </xf>
    <xf numFmtId="177" fontId="135" fillId="0" borderId="392" xfId="0" applyNumberFormat="1" applyFont="1" applyFill="1" applyBorder="1" applyAlignment="1" applyProtection="1">
      <alignment horizontal="right" vertical="center"/>
      <protection locked="0"/>
    </xf>
    <xf numFmtId="0" fontId="0" fillId="0" borderId="0" xfId="0" applyBorder="1" applyAlignment="1" applyProtection="1">
      <alignment vertical="center"/>
      <protection hidden="1"/>
    </xf>
    <xf numFmtId="0" fontId="0" fillId="0" borderId="0" xfId="0" applyBorder="1" applyAlignment="1"/>
    <xf numFmtId="0" fontId="0" fillId="0" borderId="0" xfId="0" applyBorder="1" applyAlignment="1">
      <alignment vertical="center"/>
    </xf>
    <xf numFmtId="0" fontId="185" fillId="59" borderId="137" xfId="0" applyFont="1" applyFill="1" applyBorder="1" applyAlignment="1" applyProtection="1">
      <alignment horizontal="center" vertical="center"/>
      <protection locked="0"/>
    </xf>
    <xf numFmtId="0" fontId="353" fillId="0" borderId="0" xfId="0" applyFont="1" applyBorder="1" applyAlignment="1">
      <alignment horizontal="left" vertical="center" indent="1"/>
    </xf>
    <xf numFmtId="0" fontId="353" fillId="0" borderId="161" xfId="0" applyFont="1" applyBorder="1" applyAlignment="1">
      <alignment horizontal="left" vertical="center" indent="1"/>
    </xf>
    <xf numFmtId="0" fontId="279" fillId="0" borderId="0" xfId="0" applyFont="1" applyBorder="1" applyAlignment="1">
      <alignment horizontal="left" vertical="center"/>
    </xf>
    <xf numFmtId="0" fontId="0" fillId="0" borderId="0" xfId="0" applyBorder="1" applyAlignment="1">
      <alignment horizontal="left" vertical="center"/>
    </xf>
    <xf numFmtId="0" fontId="353" fillId="0" borderId="206" xfId="0" applyFont="1" applyBorder="1" applyAlignment="1">
      <alignment horizontal="left" vertical="center" indent="1"/>
    </xf>
    <xf numFmtId="166" fontId="246" fillId="93" borderId="180" xfId="0" applyNumberFormat="1" applyFont="1" applyFill="1" applyBorder="1" applyAlignment="1" applyProtection="1">
      <alignment horizontal="right" vertical="center"/>
      <protection hidden="1"/>
    </xf>
    <xf numFmtId="166" fontId="246" fillId="93" borderId="181" xfId="0" applyNumberFormat="1" applyFont="1" applyFill="1" applyBorder="1" applyAlignment="1" applyProtection="1">
      <alignment horizontal="right" vertical="center"/>
      <protection hidden="1"/>
    </xf>
    <xf numFmtId="0" fontId="252" fillId="54" borderId="203" xfId="0" applyFont="1" applyFill="1" applyBorder="1" applyAlignment="1" applyProtection="1">
      <alignment horizontal="center" vertical="center" wrapText="1"/>
      <protection hidden="1"/>
    </xf>
    <xf numFmtId="0" fontId="252" fillId="54" borderId="133" xfId="0" applyFont="1" applyFill="1" applyBorder="1" applyAlignment="1" applyProtection="1">
      <alignment horizontal="center" vertical="center" wrapText="1"/>
      <protection hidden="1"/>
    </xf>
    <xf numFmtId="0" fontId="292" fillId="0" borderId="161" xfId="0" applyFont="1" applyBorder="1" applyAlignment="1" applyProtection="1">
      <alignment horizontal="left" vertical="center"/>
      <protection hidden="1"/>
    </xf>
    <xf numFmtId="166" fontId="274" fillId="0" borderId="224" xfId="0" quotePrefix="1" applyNumberFormat="1" applyFont="1" applyBorder="1" applyAlignment="1" applyProtection="1">
      <alignment vertical="center"/>
      <protection locked="0"/>
    </xf>
    <xf numFmtId="166" fontId="292" fillId="0" borderId="224" xfId="0" applyNumberFormat="1" applyFont="1" applyFill="1" applyBorder="1" applyAlignment="1" applyProtection="1">
      <alignment vertical="center"/>
      <protection locked="0"/>
    </xf>
    <xf numFmtId="0" fontId="20" fillId="42" borderId="222" xfId="14" applyFont="1" applyFill="1" applyBorder="1" applyAlignment="1" applyProtection="1">
      <alignment horizontal="center" vertical="center" wrapText="1"/>
      <protection hidden="1"/>
    </xf>
    <xf numFmtId="0" fontId="30" fillId="42" borderId="596" xfId="14" applyFont="1" applyFill="1" applyBorder="1" applyAlignment="1" applyProtection="1">
      <alignment horizontal="center" vertical="top" wrapText="1"/>
      <protection hidden="1"/>
    </xf>
    <xf numFmtId="166" fontId="427" fillId="91" borderId="238" xfId="0" applyNumberFormat="1" applyFont="1" applyFill="1" applyBorder="1" applyAlignment="1" applyProtection="1">
      <alignment vertical="center"/>
      <protection hidden="1"/>
    </xf>
    <xf numFmtId="168" fontId="511" fillId="0" borderId="0" xfId="0" applyNumberFormat="1" applyFont="1" applyFill="1" applyBorder="1" applyAlignment="1" applyProtection="1">
      <alignment horizontal="center" vertical="center"/>
      <protection locked="0"/>
    </xf>
    <xf numFmtId="166" fontId="246" fillId="0" borderId="71" xfId="0" applyNumberFormat="1" applyFont="1" applyFill="1" applyBorder="1" applyAlignment="1" applyProtection="1">
      <alignment horizontal="right" vertical="center"/>
      <protection hidden="1"/>
    </xf>
    <xf numFmtId="166" fontId="246" fillId="0" borderId="459" xfId="0" applyNumberFormat="1" applyFont="1" applyFill="1" applyBorder="1" applyAlignment="1" applyProtection="1">
      <alignment horizontal="right" vertical="center"/>
      <protection hidden="1"/>
    </xf>
    <xf numFmtId="166" fontId="246" fillId="0" borderId="180" xfId="0" applyNumberFormat="1" applyFont="1" applyFill="1" applyBorder="1" applyAlignment="1" applyProtection="1">
      <alignment horizontal="right" vertical="center"/>
      <protection hidden="1"/>
    </xf>
    <xf numFmtId="166" fontId="246" fillId="40" borderId="459" xfId="0" applyNumberFormat="1" applyFont="1" applyFill="1" applyBorder="1" applyAlignment="1" applyProtection="1">
      <alignment horizontal="right" vertical="center"/>
      <protection locked="0"/>
    </xf>
    <xf numFmtId="166" fontId="246" fillId="0" borderId="185" xfId="0" applyNumberFormat="1" applyFont="1" applyFill="1" applyBorder="1" applyAlignment="1" applyProtection="1">
      <alignment horizontal="right" vertical="center"/>
      <protection hidden="1"/>
    </xf>
    <xf numFmtId="166" fontId="246" fillId="40" borderId="185" xfId="0" applyNumberFormat="1" applyFont="1" applyFill="1" applyBorder="1" applyAlignment="1" applyProtection="1">
      <alignment horizontal="right" vertical="center"/>
      <protection locked="0"/>
    </xf>
    <xf numFmtId="166" fontId="246" fillId="40" borderId="180" xfId="0" applyNumberFormat="1" applyFont="1" applyFill="1" applyBorder="1" applyAlignment="1" applyProtection="1">
      <alignment horizontal="right" vertical="center"/>
      <protection locked="0"/>
    </xf>
    <xf numFmtId="166" fontId="246" fillId="40" borderId="238" xfId="0" applyNumberFormat="1" applyFont="1" applyFill="1" applyBorder="1" applyAlignment="1" applyProtection="1">
      <alignment horizontal="right" vertical="center"/>
      <protection locked="0"/>
    </xf>
    <xf numFmtId="168" fontId="246" fillId="0" borderId="362" xfId="0" applyNumberFormat="1" applyFont="1" applyFill="1" applyBorder="1" applyAlignment="1" applyProtection="1">
      <alignment horizontal="center" vertical="center"/>
      <protection hidden="1"/>
    </xf>
    <xf numFmtId="168" fontId="496" fillId="0" borderId="562" xfId="0" applyNumberFormat="1" applyFont="1" applyFill="1" applyBorder="1" applyAlignment="1" applyProtection="1">
      <alignment horizontal="center" vertical="center"/>
      <protection hidden="1"/>
    </xf>
    <xf numFmtId="168" fontId="496" fillId="0" borderId="479" xfId="0" applyNumberFormat="1" applyFont="1" applyFill="1" applyBorder="1" applyAlignment="1" applyProtection="1">
      <alignment horizontal="center" vertical="center"/>
      <protection hidden="1"/>
    </xf>
    <xf numFmtId="168" fontId="496" fillId="0" borderId="400" xfId="0" applyNumberFormat="1" applyFont="1" applyFill="1" applyBorder="1" applyAlignment="1" applyProtection="1">
      <alignment horizontal="center" vertical="center"/>
      <protection hidden="1"/>
    </xf>
    <xf numFmtId="168" fontId="496" fillId="0" borderId="294" xfId="0" applyNumberFormat="1" applyFont="1" applyFill="1" applyBorder="1" applyAlignment="1" applyProtection="1">
      <alignment horizontal="center" vertical="center"/>
      <protection hidden="1"/>
    </xf>
    <xf numFmtId="166" fontId="246" fillId="40" borderId="72" xfId="0" applyNumberFormat="1" applyFont="1" applyFill="1" applyBorder="1" applyAlignment="1" applyProtection="1">
      <alignment horizontal="right" vertical="center"/>
      <protection locked="0"/>
    </xf>
    <xf numFmtId="166" fontId="246" fillId="0" borderId="166" xfId="0" applyNumberFormat="1" applyFont="1" applyFill="1" applyBorder="1" applyAlignment="1" applyProtection="1">
      <alignment horizontal="right" vertical="center"/>
      <protection hidden="1"/>
    </xf>
    <xf numFmtId="166" fontId="246" fillId="0" borderId="175" xfId="0" applyNumberFormat="1" applyFont="1" applyFill="1" applyBorder="1" applyAlignment="1" applyProtection="1">
      <alignment horizontal="right" vertical="center"/>
      <protection hidden="1"/>
    </xf>
    <xf numFmtId="166" fontId="246" fillId="0" borderId="153" xfId="0" applyNumberFormat="1" applyFont="1" applyFill="1" applyBorder="1" applyAlignment="1" applyProtection="1">
      <alignment horizontal="right" vertical="center"/>
      <protection hidden="1"/>
    </xf>
    <xf numFmtId="166" fontId="246" fillId="40" borderId="153" xfId="0" applyNumberFormat="1" applyFont="1" applyFill="1" applyBorder="1" applyAlignment="1" applyProtection="1">
      <alignment horizontal="right" vertical="center"/>
      <protection locked="0"/>
    </xf>
    <xf numFmtId="166" fontId="246" fillId="40" borderId="156" xfId="0" applyNumberFormat="1" applyFont="1" applyFill="1" applyBorder="1" applyAlignment="1" applyProtection="1">
      <alignment horizontal="right" vertical="center"/>
      <protection locked="0"/>
    </xf>
    <xf numFmtId="166" fontId="246" fillId="40" borderId="175" xfId="0" applyNumberFormat="1" applyFont="1" applyFill="1" applyBorder="1" applyAlignment="1" applyProtection="1">
      <alignment horizontal="right" vertical="center"/>
      <protection locked="0"/>
    </xf>
    <xf numFmtId="166" fontId="246" fillId="40" borderId="412" xfId="0" applyNumberFormat="1" applyFont="1" applyFill="1" applyBorder="1" applyAlignment="1" applyProtection="1">
      <alignment horizontal="right" vertical="center"/>
      <protection locked="0"/>
    </xf>
    <xf numFmtId="168" fontId="214" fillId="0" borderId="566" xfId="0" applyNumberFormat="1" applyFont="1" applyFill="1" applyBorder="1" applyAlignment="1" applyProtection="1">
      <alignment horizontal="center" vertical="center"/>
      <protection hidden="1"/>
    </xf>
    <xf numFmtId="166" fontId="292" fillId="0" borderId="166" xfId="0" applyNumberFormat="1" applyFont="1" applyFill="1" applyBorder="1" applyAlignment="1" applyProtection="1">
      <alignment vertical="center"/>
      <protection locked="0"/>
    </xf>
    <xf numFmtId="166" fontId="292" fillId="0" borderId="413" xfId="0" applyNumberFormat="1" applyFont="1" applyFill="1" applyBorder="1" applyAlignment="1" applyProtection="1">
      <alignment vertical="center"/>
      <protection hidden="1"/>
    </xf>
    <xf numFmtId="166" fontId="292" fillId="0" borderId="155" xfId="0" applyNumberFormat="1" applyFont="1" applyFill="1" applyBorder="1" applyAlignment="1" applyProtection="1">
      <alignment vertical="center"/>
      <protection hidden="1"/>
    </xf>
    <xf numFmtId="166" fontId="274" fillId="0" borderId="413" xfId="0" applyNumberFormat="1" applyFont="1" applyFill="1" applyBorder="1" applyAlignment="1" applyProtection="1">
      <alignment vertical="center"/>
      <protection locked="0"/>
    </xf>
    <xf numFmtId="166" fontId="292" fillId="0" borderId="168" xfId="0" quotePrefix="1" applyNumberFormat="1" applyFont="1" applyFill="1" applyBorder="1" applyAlignment="1" applyProtection="1">
      <alignment vertical="center"/>
      <protection locked="0"/>
    </xf>
    <xf numFmtId="166" fontId="292" fillId="0" borderId="168" xfId="0" quotePrefix="1" applyNumberFormat="1" applyFont="1" applyBorder="1" applyAlignment="1" applyProtection="1">
      <alignment vertical="center"/>
      <protection locked="0"/>
    </xf>
    <xf numFmtId="166" fontId="427" fillId="91" borderId="155" xfId="0" applyNumberFormat="1" applyFont="1" applyFill="1" applyBorder="1" applyAlignment="1" applyProtection="1">
      <alignment vertical="center"/>
      <protection hidden="1"/>
    </xf>
    <xf numFmtId="9" fontId="60" fillId="0" borderId="166" xfId="0" applyNumberFormat="1" applyFont="1" applyFill="1" applyBorder="1" applyAlignment="1" applyProtection="1">
      <alignment horizontal="center" vertical="center"/>
      <protection hidden="1"/>
    </xf>
    <xf numFmtId="9" fontId="60" fillId="0" borderId="168" xfId="0" applyNumberFormat="1" applyFont="1" applyFill="1" applyBorder="1" applyAlignment="1" applyProtection="1">
      <alignment horizontal="center" vertical="center"/>
      <protection hidden="1"/>
    </xf>
    <xf numFmtId="9" fontId="68" fillId="0" borderId="168" xfId="0" applyNumberFormat="1" applyFont="1" applyFill="1" applyBorder="1" applyAlignment="1" applyProtection="1">
      <alignment horizontal="center" vertical="center"/>
      <protection hidden="1"/>
    </xf>
    <xf numFmtId="165" fontId="60" fillId="0" borderId="259" xfId="0" applyNumberFormat="1" applyFont="1" applyFill="1" applyBorder="1" applyAlignment="1" applyProtection="1">
      <alignment horizontal="center" vertical="center"/>
      <protection hidden="1"/>
    </xf>
    <xf numFmtId="4" fontId="338" fillId="0" borderId="362" xfId="0" applyNumberFormat="1" applyFont="1" applyFill="1" applyBorder="1" applyAlignment="1" applyProtection="1">
      <alignment horizontal="center" vertical="center"/>
      <protection hidden="1"/>
    </xf>
    <xf numFmtId="4" fontId="338" fillId="0" borderId="394" xfId="0" applyNumberFormat="1" applyFont="1" applyFill="1" applyBorder="1" applyAlignment="1" applyProtection="1">
      <alignment horizontal="center" vertical="center"/>
      <protection hidden="1"/>
    </xf>
    <xf numFmtId="4" fontId="19" fillId="0" borderId="480" xfId="0" applyNumberFormat="1" applyFont="1" applyFill="1" applyBorder="1" applyAlignment="1" applyProtection="1">
      <alignment horizontal="center" vertical="center"/>
      <protection hidden="1"/>
    </xf>
    <xf numFmtId="4" fontId="338" fillId="0" borderId="361" xfId="0" applyNumberFormat="1" applyFont="1" applyFill="1" applyBorder="1" applyAlignment="1" applyProtection="1">
      <alignment horizontal="center" vertical="center"/>
      <protection hidden="1"/>
    </xf>
    <xf numFmtId="166" fontId="220" fillId="71" borderId="395" xfId="0" applyNumberFormat="1" applyFont="1" applyFill="1" applyBorder="1" applyAlignment="1" applyProtection="1">
      <alignment vertical="center"/>
      <protection hidden="1"/>
    </xf>
    <xf numFmtId="166" fontId="226" fillId="91" borderId="70" xfId="0" applyNumberFormat="1" applyFont="1" applyFill="1" applyBorder="1" applyAlignment="1" applyProtection="1">
      <alignment vertical="center"/>
      <protection hidden="1"/>
    </xf>
    <xf numFmtId="166" fontId="226" fillId="91" borderId="136" xfId="0" applyNumberFormat="1" applyFont="1" applyFill="1" applyBorder="1" applyAlignment="1" applyProtection="1">
      <alignment vertical="center"/>
      <protection hidden="1"/>
    </xf>
    <xf numFmtId="166" fontId="226" fillId="91" borderId="418" xfId="0" applyNumberFormat="1" applyFont="1" applyFill="1" applyBorder="1" applyAlignment="1" applyProtection="1">
      <alignment vertical="center"/>
      <protection hidden="1"/>
    </xf>
    <xf numFmtId="166" fontId="427" fillId="91" borderId="136" xfId="0" applyNumberFormat="1" applyFont="1" applyFill="1" applyBorder="1" applyAlignment="1" applyProtection="1">
      <alignment vertical="center"/>
      <protection hidden="1"/>
    </xf>
    <xf numFmtId="168" fontId="512" fillId="91" borderId="294" xfId="36" applyNumberFormat="1" applyFont="1" applyFill="1" applyBorder="1" applyAlignment="1" applyProtection="1">
      <alignment horizontal="center" vertical="center"/>
      <protection hidden="1"/>
    </xf>
    <xf numFmtId="176" fontId="60" fillId="46" borderId="614" xfId="0" applyNumberFormat="1" applyFont="1" applyFill="1" applyBorder="1" applyAlignment="1" applyProtection="1">
      <alignment horizontal="center" vertical="center"/>
      <protection locked="0" hidden="1"/>
    </xf>
    <xf numFmtId="0" fontId="136" fillId="46" borderId="323" xfId="0" applyFont="1" applyFill="1" applyBorder="1" applyAlignment="1" applyProtection="1">
      <alignment horizontal="center" vertical="center"/>
      <protection locked="0" hidden="1"/>
    </xf>
    <xf numFmtId="166" fontId="23" fillId="46" borderId="72" xfId="0" applyNumberFormat="1" applyFont="1" applyFill="1" applyBorder="1" applyAlignment="1" applyProtection="1">
      <alignment vertical="center"/>
      <protection locked="0"/>
    </xf>
    <xf numFmtId="166" fontId="427" fillId="91" borderId="418" xfId="0" applyNumberFormat="1" applyFont="1" applyFill="1" applyBorder="1" applyAlignment="1" applyProtection="1">
      <alignment vertical="center"/>
      <protection hidden="1"/>
    </xf>
    <xf numFmtId="0" fontId="60" fillId="0" borderId="0" xfId="0" applyFont="1" applyFill="1" applyBorder="1" applyAlignment="1" applyProtection="1">
      <alignment horizontal="right"/>
      <protection locked="0"/>
    </xf>
    <xf numFmtId="168" fontId="57" fillId="71" borderId="658" xfId="0" applyNumberFormat="1" applyFont="1" applyFill="1" applyBorder="1" applyAlignment="1" applyProtection="1">
      <alignment horizontal="center" vertical="center"/>
      <protection hidden="1"/>
    </xf>
    <xf numFmtId="166" fontId="292" fillId="46" borderId="72" xfId="0" quotePrefix="1" applyNumberFormat="1" applyFont="1" applyFill="1" applyBorder="1" applyAlignment="1" applyProtection="1">
      <alignment vertical="center"/>
      <protection locked="0"/>
    </xf>
    <xf numFmtId="166" fontId="221" fillId="46" borderId="321" xfId="0" quotePrefix="1" applyNumberFormat="1" applyFont="1" applyFill="1" applyBorder="1" applyAlignment="1" applyProtection="1">
      <alignment vertical="center"/>
      <protection locked="0"/>
    </xf>
    <xf numFmtId="0" fontId="361" fillId="46" borderId="160" xfId="0" applyFont="1" applyFill="1" applyBorder="1" applyAlignment="1" applyProtection="1">
      <alignment horizontal="left" vertical="center" indent="1"/>
      <protection hidden="1"/>
    </xf>
    <xf numFmtId="166" fontId="292" fillId="46" borderId="411" xfId="0" quotePrefix="1" applyNumberFormat="1" applyFont="1" applyFill="1" applyBorder="1" applyAlignment="1" applyProtection="1">
      <alignment vertical="center"/>
      <protection locked="0"/>
    </xf>
    <xf numFmtId="166" fontId="292" fillId="46" borderId="677" xfId="0" quotePrefix="1" applyNumberFormat="1" applyFont="1" applyFill="1" applyBorder="1" applyAlignment="1" applyProtection="1">
      <alignment vertical="center"/>
      <protection locked="0" hidden="1"/>
    </xf>
    <xf numFmtId="166" fontId="292" fillId="46" borderId="614" xfId="0" quotePrefix="1" applyNumberFormat="1" applyFont="1" applyFill="1" applyBorder="1" applyAlignment="1" applyProtection="1">
      <alignment vertical="center"/>
      <protection hidden="1"/>
    </xf>
    <xf numFmtId="9" fontId="57" fillId="46" borderId="392" xfId="0" applyNumberFormat="1" applyFont="1" applyFill="1" applyBorder="1" applyAlignment="1" applyProtection="1">
      <alignment horizontal="center" vertical="center"/>
      <protection hidden="1"/>
    </xf>
    <xf numFmtId="166" fontId="361" fillId="40" borderId="154" xfId="0" applyNumberFormat="1" applyFont="1" applyFill="1" applyBorder="1" applyAlignment="1" applyProtection="1">
      <alignment vertical="center"/>
      <protection hidden="1"/>
    </xf>
    <xf numFmtId="166" fontId="513" fillId="37" borderId="155" xfId="14" applyNumberFormat="1" applyFont="1" applyFill="1" applyBorder="1" applyAlignment="1" applyProtection="1">
      <alignment vertical="center"/>
      <protection hidden="1"/>
    </xf>
    <xf numFmtId="0" fontId="514" fillId="0" borderId="224" xfId="0" applyFont="1" applyFill="1" applyBorder="1" applyAlignment="1" applyProtection="1">
      <alignment vertical="center"/>
      <protection hidden="1"/>
    </xf>
    <xf numFmtId="196" fontId="347" fillId="0" borderId="365" xfId="0" applyNumberFormat="1" applyFont="1" applyFill="1" applyBorder="1" applyAlignment="1" applyProtection="1">
      <alignment vertical="center"/>
      <protection hidden="1"/>
    </xf>
    <xf numFmtId="196" fontId="347" fillId="0" borderId="242" xfId="0" applyNumberFormat="1" applyFont="1" applyFill="1" applyBorder="1" applyAlignment="1" applyProtection="1">
      <alignment vertical="center"/>
      <protection hidden="1"/>
    </xf>
    <xf numFmtId="168" fontId="496" fillId="0" borderId="480" xfId="0" applyNumberFormat="1" applyFont="1" applyFill="1" applyBorder="1" applyAlignment="1" applyProtection="1">
      <alignment horizontal="center" vertical="center"/>
      <protection hidden="1"/>
    </xf>
    <xf numFmtId="166" fontId="213" fillId="0" borderId="224" xfId="0" applyNumberFormat="1" applyFont="1" applyFill="1" applyBorder="1" applyAlignment="1" applyProtection="1">
      <alignment vertical="center"/>
      <protection hidden="1"/>
    </xf>
    <xf numFmtId="0" fontId="170" fillId="0" borderId="293" xfId="0" applyFont="1" applyFill="1" applyBorder="1" applyAlignment="1" applyProtection="1">
      <alignment vertical="center" wrapText="1"/>
      <protection hidden="1"/>
    </xf>
    <xf numFmtId="0" fontId="427" fillId="0" borderId="293" xfId="0" applyFont="1" applyFill="1" applyBorder="1" applyAlignment="1" applyProtection="1">
      <alignment vertical="center"/>
      <protection hidden="1"/>
    </xf>
    <xf numFmtId="0" fontId="95" fillId="0" borderId="0" xfId="32" applyFont="1" applyFill="1" applyBorder="1" applyAlignment="1" applyProtection="1">
      <alignment horizontal="right" vertical="center" indent="1"/>
      <protection locked="0"/>
    </xf>
    <xf numFmtId="168" fontId="512" fillId="91" borderId="395" xfId="36" applyNumberFormat="1" applyFont="1" applyFill="1" applyBorder="1" applyAlignment="1" applyProtection="1">
      <alignment horizontal="center" vertical="center"/>
      <protection hidden="1"/>
    </xf>
    <xf numFmtId="166" fontId="292" fillId="0" borderId="156" xfId="0" applyNumberFormat="1" applyFont="1" applyFill="1" applyBorder="1" applyAlignment="1" applyProtection="1">
      <alignment vertical="center"/>
      <protection locked="0"/>
    </xf>
    <xf numFmtId="166" fontId="292" fillId="0" borderId="167" xfId="0" quotePrefix="1" applyNumberFormat="1" applyFont="1" applyFill="1" applyBorder="1" applyAlignment="1" applyProtection="1">
      <alignment vertical="center"/>
      <protection hidden="1"/>
    </xf>
    <xf numFmtId="166" fontId="292" fillId="0" borderId="168" xfId="0" quotePrefix="1" applyNumberFormat="1" applyFont="1" applyFill="1" applyBorder="1" applyAlignment="1" applyProtection="1">
      <alignment vertical="center"/>
      <protection hidden="1"/>
    </xf>
    <xf numFmtId="166" fontId="292" fillId="46" borderId="72" xfId="0" applyNumberFormat="1" applyFont="1" applyFill="1" applyBorder="1" applyAlignment="1" applyProtection="1">
      <alignment vertical="center"/>
      <protection hidden="1"/>
    </xf>
    <xf numFmtId="10" fontId="219" fillId="46" borderId="392" xfId="0" applyNumberFormat="1" applyFont="1" applyFill="1" applyBorder="1" applyAlignment="1" applyProtection="1">
      <alignment horizontal="center" vertical="center"/>
      <protection locked="0"/>
    </xf>
    <xf numFmtId="166" fontId="213" fillId="84" borderId="391" xfId="0" applyNumberFormat="1" applyFont="1" applyFill="1" applyBorder="1" applyAlignment="1" applyProtection="1">
      <alignment vertical="center"/>
      <protection hidden="1"/>
    </xf>
    <xf numFmtId="0" fontId="252" fillId="54" borderId="682" xfId="13" applyFont="1" applyFill="1" applyBorder="1" applyAlignment="1" applyProtection="1">
      <alignment horizontal="center" vertical="center"/>
      <protection hidden="1"/>
    </xf>
    <xf numFmtId="0" fontId="290" fillId="0" borderId="0" xfId="0" applyFont="1" applyBorder="1" applyProtection="1">
      <alignment horizontal="right"/>
      <protection locked="0"/>
    </xf>
    <xf numFmtId="166" fontId="290" fillId="0" borderId="0" xfId="0" applyNumberFormat="1" applyFont="1" applyFill="1" applyBorder="1" applyProtection="1">
      <alignment horizontal="right"/>
      <protection locked="0"/>
    </xf>
    <xf numFmtId="0" fontId="484" fillId="0" borderId="0" xfId="0" applyFont="1" applyBorder="1" applyProtection="1">
      <alignment horizontal="right"/>
      <protection locked="0"/>
    </xf>
    <xf numFmtId="0" fontId="290" fillId="0" borderId="0" xfId="0" applyFont="1" applyFill="1" applyBorder="1" applyAlignment="1" applyProtection="1">
      <alignment horizontal="right"/>
      <protection locked="0"/>
    </xf>
    <xf numFmtId="3" fontId="274" fillId="0" borderId="0" xfId="0" applyNumberFormat="1" applyFont="1" applyBorder="1" applyAlignment="1" applyProtection="1">
      <alignment horizontal="center" vertical="center" wrapText="1"/>
      <protection hidden="1"/>
    </xf>
    <xf numFmtId="3" fontId="274" fillId="0" borderId="0" xfId="0" applyNumberFormat="1" applyFont="1" applyFill="1" applyBorder="1" applyAlignment="1" applyProtection="1">
      <alignment horizontal="center" vertical="center" wrapText="1"/>
      <protection hidden="1"/>
    </xf>
    <xf numFmtId="0" fontId="322" fillId="0" borderId="0" xfId="0" applyFont="1" applyBorder="1" applyProtection="1">
      <alignment horizontal="right"/>
      <protection locked="0"/>
    </xf>
    <xf numFmtId="166" fontId="290" fillId="0" borderId="0" xfId="0" applyNumberFormat="1" applyFont="1" applyBorder="1" applyAlignment="1" applyProtection="1">
      <alignment horizontal="right"/>
      <protection locked="0"/>
    </xf>
    <xf numFmtId="175" fontId="274" fillId="0" borderId="0" xfId="0" applyNumberFormat="1" applyFont="1" applyBorder="1" applyAlignment="1" applyProtection="1">
      <alignment horizontal="center" vertical="center" wrapText="1"/>
      <protection hidden="1"/>
    </xf>
    <xf numFmtId="175" fontId="274" fillId="0" borderId="0" xfId="0" applyNumberFormat="1" applyFont="1" applyFill="1" applyBorder="1" applyAlignment="1" applyProtection="1">
      <alignment horizontal="center" vertical="center" wrapText="1"/>
      <protection hidden="1"/>
    </xf>
    <xf numFmtId="0" fontId="290" fillId="0" borderId="0" xfId="0" applyFont="1" applyBorder="1" applyAlignment="1" applyProtection="1">
      <alignment horizontal="left" vertical="center"/>
      <protection hidden="1"/>
    </xf>
    <xf numFmtId="0" fontId="290" fillId="0" borderId="0" xfId="0" applyFont="1" applyBorder="1" applyProtection="1">
      <alignment horizontal="right"/>
      <protection hidden="1"/>
    </xf>
    <xf numFmtId="0" fontId="438" fillId="0" borderId="0" xfId="0" applyFont="1" applyFill="1" applyBorder="1" applyAlignment="1" applyProtection="1">
      <alignment vertical="center"/>
      <protection hidden="1"/>
    </xf>
    <xf numFmtId="0" fontId="290" fillId="0" borderId="0" xfId="0" applyFont="1" applyFill="1" applyBorder="1" applyProtection="1">
      <alignment horizontal="right"/>
      <protection locked="0"/>
    </xf>
    <xf numFmtId="0" fontId="290" fillId="0" borderId="0" xfId="0" applyFont="1" applyFill="1" applyBorder="1" applyProtection="1">
      <alignment horizontal="right"/>
      <protection hidden="1"/>
    </xf>
    <xf numFmtId="166" fontId="290" fillId="0" borderId="0" xfId="0" applyNumberFormat="1" applyFont="1" applyFill="1" applyBorder="1" applyAlignment="1" applyProtection="1">
      <alignment vertical="center"/>
      <protection hidden="1"/>
    </xf>
    <xf numFmtId="168" fontId="290" fillId="0" borderId="0" xfId="36" applyNumberFormat="1" applyFont="1" applyFill="1" applyBorder="1" applyAlignment="1" applyProtection="1">
      <alignment horizontal="center" vertical="center"/>
      <protection hidden="1"/>
    </xf>
    <xf numFmtId="9" fontId="388" fillId="0" borderId="0" xfId="0" applyNumberFormat="1" applyFont="1" applyFill="1" applyBorder="1" applyAlignment="1" applyProtection="1">
      <alignment horizontal="center" vertical="center"/>
      <protection locked="0"/>
    </xf>
    <xf numFmtId="0" fontId="290" fillId="0" borderId="0" xfId="0" applyFont="1" applyBorder="1" applyAlignment="1" applyProtection="1">
      <alignment horizontal="right" vertical="center"/>
      <protection locked="0"/>
    </xf>
    <xf numFmtId="0" fontId="290" fillId="0" borderId="0" xfId="0" applyFont="1" applyBorder="1" applyAlignment="1" applyProtection="1">
      <alignment horizontal="right"/>
      <protection locked="0"/>
    </xf>
    <xf numFmtId="3" fontId="290" fillId="0" borderId="0" xfId="0" applyNumberFormat="1" applyFont="1" applyBorder="1" applyAlignment="1" applyProtection="1">
      <alignment horizontal="right" indent="1"/>
      <protection locked="0"/>
    </xf>
    <xf numFmtId="3" fontId="290" fillId="0" borderId="0" xfId="0" applyNumberFormat="1" applyFont="1" applyFill="1" applyBorder="1" applyAlignment="1" applyProtection="1">
      <alignment horizontal="right" indent="1"/>
      <protection locked="0"/>
    </xf>
    <xf numFmtId="3" fontId="290" fillId="0" borderId="0" xfId="0" applyNumberFormat="1" applyFont="1" applyBorder="1" applyAlignment="1" applyProtection="1">
      <alignment horizontal="right" vertical="center" indent="1"/>
      <protection locked="0"/>
    </xf>
    <xf numFmtId="3" fontId="290" fillId="0" borderId="0" xfId="0" applyNumberFormat="1" applyFont="1" applyFill="1" applyBorder="1" applyAlignment="1" applyProtection="1">
      <alignment horizontal="right" vertical="center" indent="1"/>
      <protection locked="0"/>
    </xf>
    <xf numFmtId="0" fontId="290" fillId="0" borderId="0" xfId="0" applyFont="1" applyFill="1" applyBorder="1" applyAlignment="1" applyProtection="1">
      <alignment horizontal="right" vertical="center"/>
      <protection locked="0"/>
    </xf>
    <xf numFmtId="168" fontId="505" fillId="0" borderId="0" xfId="0" applyNumberFormat="1" applyFont="1" applyFill="1" applyBorder="1" applyAlignment="1" applyProtection="1">
      <alignment horizontal="center" vertical="center"/>
      <protection locked="0"/>
    </xf>
    <xf numFmtId="166" fontId="427" fillId="91" borderId="70" xfId="0" applyNumberFormat="1" applyFont="1" applyFill="1" applyBorder="1" applyAlignment="1" applyProtection="1">
      <alignment vertical="center"/>
      <protection hidden="1"/>
    </xf>
    <xf numFmtId="0" fontId="213" fillId="54" borderId="681" xfId="13" applyFont="1" applyFill="1" applyBorder="1" applyAlignment="1" applyProtection="1">
      <alignment horizontal="center" vertical="center"/>
      <protection hidden="1"/>
    </xf>
    <xf numFmtId="0" fontId="213" fillId="54" borderId="682" xfId="13" applyFont="1" applyFill="1" applyBorder="1" applyAlignment="1" applyProtection="1">
      <alignment horizontal="center" vertical="center"/>
      <protection hidden="1"/>
    </xf>
    <xf numFmtId="176" fontId="60" fillId="46" borderId="614" xfId="0" applyNumberFormat="1" applyFont="1" applyFill="1" applyBorder="1" applyAlignment="1" applyProtection="1">
      <alignment horizontal="center" vertical="center"/>
      <protection locked="0"/>
    </xf>
    <xf numFmtId="166" fontId="292" fillId="46" borderId="72" xfId="0" applyNumberFormat="1" applyFont="1" applyFill="1" applyBorder="1" applyAlignment="1" applyProtection="1">
      <alignment vertical="center"/>
      <protection locked="0"/>
    </xf>
    <xf numFmtId="10" fontId="219" fillId="46" borderId="634" xfId="0" applyNumberFormat="1" applyFont="1" applyFill="1" applyBorder="1" applyAlignment="1" applyProtection="1">
      <alignment horizontal="center" vertical="center"/>
      <protection locked="0"/>
    </xf>
    <xf numFmtId="166" fontId="292" fillId="46" borderId="412" xfId="0" applyNumberFormat="1" applyFont="1" applyFill="1" applyBorder="1" applyAlignment="1" applyProtection="1">
      <alignment vertical="center"/>
      <protection locked="0"/>
    </xf>
    <xf numFmtId="166" fontId="292" fillId="46" borderId="67" xfId="0" applyNumberFormat="1" applyFont="1" applyFill="1" applyBorder="1" applyAlignment="1" applyProtection="1">
      <alignment vertical="center"/>
      <protection hidden="1"/>
    </xf>
    <xf numFmtId="166" fontId="348" fillId="46" borderId="167" xfId="0" applyNumberFormat="1" applyFont="1" applyFill="1" applyBorder="1" applyAlignment="1" applyProtection="1">
      <alignment vertical="center"/>
      <protection locked="0"/>
    </xf>
    <xf numFmtId="166" fontId="246" fillId="0" borderId="167" xfId="0" applyNumberFormat="1" applyFont="1" applyFill="1" applyBorder="1" applyAlignment="1" applyProtection="1">
      <alignment vertical="center"/>
      <protection hidden="1"/>
    </xf>
    <xf numFmtId="166" fontId="246" fillId="0" borderId="72" xfId="0" applyNumberFormat="1" applyFont="1" applyFill="1" applyBorder="1" applyAlignment="1" applyProtection="1">
      <alignment vertical="center"/>
      <protection locked="0"/>
    </xf>
    <xf numFmtId="166" fontId="246" fillId="0" borderId="166" xfId="0" applyNumberFormat="1" applyFont="1" applyBorder="1" applyAlignment="1" applyProtection="1">
      <alignment vertical="center"/>
      <protection locked="0"/>
    </xf>
    <xf numFmtId="166" fontId="348" fillId="46" borderId="168" xfId="0" applyNumberFormat="1" applyFont="1" applyFill="1" applyBorder="1" applyAlignment="1" applyProtection="1">
      <alignment vertical="center"/>
      <protection locked="0"/>
    </xf>
    <xf numFmtId="0" fontId="473" fillId="0" borderId="131" xfId="0" applyFont="1" applyBorder="1" applyProtection="1">
      <alignment horizontal="right"/>
      <protection locked="0"/>
    </xf>
    <xf numFmtId="0" fontId="16" fillId="0" borderId="131" xfId="0" applyFont="1" applyBorder="1" applyProtection="1">
      <alignment horizontal="right"/>
      <protection locked="0"/>
    </xf>
    <xf numFmtId="166" fontId="453" fillId="48" borderId="238" xfId="0" applyNumberFormat="1" applyFont="1" applyFill="1" applyBorder="1" applyAlignment="1" applyProtection="1">
      <alignment vertical="center"/>
      <protection hidden="1"/>
    </xf>
    <xf numFmtId="166" fontId="427" fillId="46" borderId="669" xfId="0" applyNumberFormat="1" applyFont="1" applyFill="1" applyBorder="1" applyAlignment="1" applyProtection="1">
      <alignment vertical="center"/>
      <protection hidden="1"/>
    </xf>
    <xf numFmtId="166" fontId="453" fillId="48" borderId="412" xfId="0" applyNumberFormat="1" applyFont="1" applyFill="1" applyBorder="1" applyAlignment="1" applyProtection="1">
      <alignment vertical="center"/>
      <protection hidden="1"/>
    </xf>
    <xf numFmtId="175" fontId="182" fillId="0" borderId="0" xfId="0" applyNumberFormat="1" applyFont="1" applyFill="1" applyBorder="1" applyAlignment="1" applyProtection="1">
      <alignment horizontal="center" vertical="center"/>
      <protection hidden="1"/>
    </xf>
    <xf numFmtId="166" fontId="23" fillId="46" borderId="321" xfId="0" applyNumberFormat="1" applyFont="1" applyFill="1" applyBorder="1" applyAlignment="1" applyProtection="1">
      <alignment vertical="center"/>
      <protection locked="0"/>
    </xf>
    <xf numFmtId="166" fontId="292" fillId="46" borderId="411" xfId="0" applyNumberFormat="1" applyFont="1" applyFill="1" applyBorder="1" applyAlignment="1" applyProtection="1">
      <alignment vertical="center"/>
      <protection locked="0"/>
    </xf>
    <xf numFmtId="166" fontId="292" fillId="46" borderId="614" xfId="0" applyNumberFormat="1" applyFont="1" applyFill="1" applyBorder="1" applyAlignment="1" applyProtection="1">
      <alignment vertical="center"/>
      <protection locked="0"/>
    </xf>
    <xf numFmtId="166" fontId="292" fillId="46" borderId="323" xfId="0" applyNumberFormat="1" applyFont="1" applyFill="1" applyBorder="1" applyAlignment="1" applyProtection="1">
      <alignment vertical="center"/>
      <protection hidden="1"/>
    </xf>
    <xf numFmtId="9" fontId="57" fillId="46" borderId="634" xfId="0" applyNumberFormat="1" applyFont="1" applyFill="1" applyBorder="1" applyAlignment="1" applyProtection="1">
      <alignment horizontal="center" vertical="center"/>
      <protection hidden="1"/>
    </xf>
    <xf numFmtId="166" fontId="292" fillId="46" borderId="412" xfId="0" applyNumberFormat="1" applyFont="1" applyFill="1" applyBorder="1" applyAlignment="1" applyProtection="1">
      <alignment vertical="center"/>
      <protection hidden="1"/>
    </xf>
    <xf numFmtId="0" fontId="514" fillId="0" borderId="0" xfId="0" applyFont="1" applyFill="1" applyBorder="1" applyAlignment="1" applyProtection="1">
      <alignment vertical="top"/>
      <protection hidden="1"/>
    </xf>
    <xf numFmtId="0" fontId="0" fillId="0" borderId="233" xfId="0" applyBorder="1" applyAlignment="1" applyProtection="1">
      <alignment horizontal="right" vertical="center" wrapText="1"/>
      <protection hidden="1"/>
    </xf>
    <xf numFmtId="234" fontId="204" fillId="0" borderId="0" xfId="0" applyNumberFormat="1" applyFont="1" applyBorder="1" applyAlignment="1" applyProtection="1">
      <alignment horizontal="left" vertical="center" wrapText="1" indent="2"/>
      <protection hidden="1"/>
    </xf>
    <xf numFmtId="233" fontId="281" fillId="46" borderId="90" xfId="0" applyNumberFormat="1" applyFont="1" applyFill="1" applyBorder="1" applyAlignment="1" applyProtection="1">
      <alignment horizontal="left" vertical="center" indent="2"/>
      <protection locked="0"/>
    </xf>
    <xf numFmtId="0" fontId="0" fillId="0" borderId="160" xfId="0" applyBorder="1" applyAlignment="1" applyProtection="1">
      <alignment horizontal="right"/>
      <protection hidden="1"/>
    </xf>
    <xf numFmtId="3" fontId="226" fillId="0" borderId="0" xfId="0" applyNumberFormat="1" applyFont="1" applyFill="1" applyBorder="1" applyAlignment="1" applyProtection="1">
      <alignment horizontal="center" vertical="center"/>
      <protection hidden="1"/>
    </xf>
    <xf numFmtId="166" fontId="213" fillId="0" borderId="310" xfId="0" applyNumberFormat="1" applyFont="1" applyFill="1" applyBorder="1" applyAlignment="1" applyProtection="1">
      <alignment horizontal="center" vertical="center"/>
      <protection hidden="1"/>
    </xf>
    <xf numFmtId="166" fontId="361" fillId="40" borderId="70" xfId="0" applyNumberFormat="1" applyFont="1" applyFill="1" applyBorder="1" applyAlignment="1" applyProtection="1">
      <alignment horizontal="right" vertical="center"/>
      <protection hidden="1"/>
    </xf>
    <xf numFmtId="166" fontId="496" fillId="0" borderId="0" xfId="0" applyNumberFormat="1" applyFont="1" applyFill="1" applyBorder="1" applyAlignment="1" applyProtection="1">
      <alignment horizontal="right" vertical="center" indent="1"/>
      <protection hidden="1"/>
    </xf>
    <xf numFmtId="166" fontId="496" fillId="0" borderId="0" xfId="0" applyNumberFormat="1" applyFont="1" applyFill="1" applyBorder="1" applyAlignment="1" applyProtection="1">
      <alignment horizontal="right" vertical="center"/>
      <protection hidden="1"/>
    </xf>
    <xf numFmtId="170" fontId="214" fillId="0" borderId="687" xfId="0" applyNumberFormat="1" applyFont="1" applyBorder="1" applyAlignment="1" applyProtection="1">
      <alignment horizontal="center" vertical="center"/>
      <protection locked="0"/>
    </xf>
    <xf numFmtId="170" fontId="214" fillId="0" borderId="410" xfId="0" applyNumberFormat="1" applyFont="1" applyBorder="1" applyAlignment="1" applyProtection="1">
      <alignment horizontal="center" vertical="center"/>
      <protection locked="0"/>
    </xf>
    <xf numFmtId="170" fontId="60" fillId="46" borderId="411" xfId="0" applyNumberFormat="1" applyFont="1" applyFill="1" applyBorder="1" applyAlignment="1" applyProtection="1">
      <alignment horizontal="center" vertical="center"/>
      <protection locked="0"/>
    </xf>
    <xf numFmtId="168" fontId="512" fillId="91" borderId="554" xfId="36" applyNumberFormat="1" applyFont="1" applyFill="1" applyBorder="1" applyAlignment="1" applyProtection="1">
      <alignment horizontal="center" vertical="center"/>
      <protection hidden="1"/>
    </xf>
    <xf numFmtId="0" fontId="453" fillId="0" borderId="293" xfId="0" applyFont="1" applyFill="1" applyBorder="1" applyAlignment="1" applyProtection="1">
      <alignment vertical="center"/>
      <protection hidden="1"/>
    </xf>
    <xf numFmtId="166" fontId="305" fillId="0" borderId="0" xfId="0" applyNumberFormat="1" applyFont="1" applyFill="1" applyBorder="1" applyAlignment="1" applyProtection="1">
      <alignment vertical="center" wrapText="1"/>
      <protection hidden="1"/>
    </xf>
    <xf numFmtId="0" fontId="200" fillId="63" borderId="0" xfId="0" applyFont="1" applyFill="1" applyBorder="1" applyAlignment="1" applyProtection="1">
      <alignment horizontal="center" vertical="center" wrapText="1"/>
      <protection hidden="1"/>
    </xf>
    <xf numFmtId="0" fontId="200" fillId="63" borderId="0" xfId="0" applyFont="1" applyFill="1" applyBorder="1" applyAlignment="1" applyProtection="1">
      <alignment horizontal="center" vertical="center"/>
      <protection hidden="1"/>
    </xf>
    <xf numFmtId="3" fontId="16" fillId="0" borderId="0" xfId="0" applyNumberFormat="1" applyFont="1" applyBorder="1" applyAlignment="1" applyProtection="1">
      <alignment horizontal="center" vertical="center"/>
      <protection hidden="1"/>
    </xf>
    <xf numFmtId="3" fontId="18" fillId="0" borderId="0" xfId="0" applyNumberFormat="1" applyFont="1" applyBorder="1" applyAlignment="1" applyProtection="1">
      <alignment horizontal="center" vertical="center"/>
      <protection hidden="1"/>
    </xf>
    <xf numFmtId="0" fontId="42" fillId="0" borderId="0" xfId="0" applyFont="1" applyBorder="1" applyAlignment="1" applyProtection="1">
      <alignment horizontal="center" vertical="center"/>
      <protection hidden="1"/>
    </xf>
    <xf numFmtId="0" fontId="281" fillId="0" borderId="0" xfId="0" applyFont="1" applyBorder="1" applyAlignment="1" applyProtection="1">
      <alignment horizontal="center" vertical="center" wrapText="1"/>
      <protection hidden="1"/>
    </xf>
    <xf numFmtId="3" fontId="307" fillId="0" borderId="0" xfId="0" applyNumberFormat="1" applyFont="1" applyBorder="1" applyAlignment="1" applyProtection="1">
      <alignment horizontal="center" vertical="center" wrapText="1"/>
      <protection hidden="1"/>
    </xf>
    <xf numFmtId="0" fontId="253" fillId="87" borderId="473" xfId="0" applyFont="1" applyFill="1" applyBorder="1" applyAlignment="1" applyProtection="1">
      <alignment horizontal="center" vertical="center"/>
      <protection hidden="1"/>
    </xf>
    <xf numFmtId="0" fontId="38" fillId="0" borderId="0" xfId="0" applyFont="1" applyBorder="1" applyAlignment="1" applyProtection="1">
      <alignment horizontal="left" vertical="center" wrapText="1" indent="1"/>
      <protection locked="0"/>
    </xf>
    <xf numFmtId="0" fontId="38" fillId="0" borderId="0" xfId="0" applyFont="1" applyFill="1" applyBorder="1" applyAlignment="1" applyProtection="1">
      <alignment horizontal="left" vertical="center" wrapText="1" indent="1"/>
      <protection locked="0"/>
    </xf>
    <xf numFmtId="0" fontId="38" fillId="0" borderId="0" xfId="0" applyFont="1" applyBorder="1" applyAlignment="1" applyProtection="1">
      <alignment horizontal="left" wrapText="1" indent="1"/>
      <protection locked="0"/>
    </xf>
    <xf numFmtId="0" fontId="38" fillId="0" borderId="0" xfId="0" applyFont="1" applyFill="1" applyBorder="1" applyAlignment="1" applyProtection="1">
      <alignment horizontal="left" wrapText="1" indent="1"/>
      <protection locked="0"/>
    </xf>
    <xf numFmtId="0" fontId="16" fillId="0" borderId="0" xfId="0" applyFont="1" applyFill="1" applyBorder="1" applyAlignment="1" applyProtection="1">
      <alignment horizontal="left" wrapText="1" indent="1"/>
      <protection locked="0"/>
    </xf>
    <xf numFmtId="168" fontId="60" fillId="0" borderId="257" xfId="0" applyNumberFormat="1" applyFont="1" applyFill="1" applyBorder="1" applyAlignment="1" applyProtection="1">
      <alignment horizontal="center" vertical="center"/>
      <protection hidden="1"/>
    </xf>
    <xf numFmtId="168" fontId="57" fillId="0" borderId="257" xfId="0" applyNumberFormat="1" applyFont="1" applyFill="1" applyBorder="1" applyAlignment="1" applyProtection="1">
      <alignment horizontal="center" vertical="center"/>
      <protection hidden="1"/>
    </xf>
    <xf numFmtId="3" fontId="68" fillId="0" borderId="0" xfId="0" applyNumberFormat="1" applyFont="1" applyFill="1" applyBorder="1" applyAlignment="1" applyProtection="1">
      <alignment horizontal="right" vertical="center"/>
      <protection locked="0"/>
    </xf>
    <xf numFmtId="168" fontId="68" fillId="0" borderId="0" xfId="0" applyNumberFormat="1" applyFont="1" applyFill="1" applyBorder="1" applyAlignment="1" applyProtection="1">
      <alignment horizontal="center" vertical="center"/>
      <protection locked="0"/>
    </xf>
    <xf numFmtId="0" fontId="191" fillId="0" borderId="0" xfId="0" applyFont="1" applyBorder="1" applyAlignment="1">
      <alignment horizontal="center" vertical="center"/>
    </xf>
    <xf numFmtId="0" fontId="525" fillId="0" borderId="273" xfId="0" applyFont="1" applyBorder="1" applyAlignment="1" applyProtection="1">
      <alignment horizontal="right" vertical="top"/>
      <protection locked="0"/>
    </xf>
    <xf numFmtId="0" fontId="526" fillId="0" borderId="160" xfId="0" applyFont="1" applyBorder="1" applyAlignment="1">
      <alignment horizontal="right" vertical="top"/>
    </xf>
    <xf numFmtId="0" fontId="525" fillId="0" borderId="404" xfId="0" applyFont="1" applyBorder="1" applyAlignment="1" applyProtection="1">
      <alignment horizontal="right" vertical="top"/>
    </xf>
    <xf numFmtId="0" fontId="525" fillId="0" borderId="137" xfId="0" applyFont="1" applyBorder="1" applyAlignment="1" applyProtection="1">
      <alignment horizontal="right" vertical="top"/>
      <protection locked="0"/>
    </xf>
    <xf numFmtId="169" fontId="281" fillId="0" borderId="353" xfId="0" applyNumberFormat="1" applyFont="1" applyBorder="1" applyAlignment="1" applyProtection="1">
      <alignment horizontal="center" vertical="center"/>
      <protection hidden="1"/>
    </xf>
    <xf numFmtId="169" fontId="285" fillId="0" borderId="353" xfId="0" applyNumberFormat="1" applyFont="1" applyBorder="1" applyAlignment="1" applyProtection="1">
      <alignment horizontal="center" vertical="center"/>
      <protection hidden="1"/>
    </xf>
    <xf numFmtId="9" fontId="346" fillId="0" borderId="0" xfId="0" applyNumberFormat="1" applyFont="1" applyBorder="1" applyAlignment="1">
      <alignment horizontal="center" vertical="center"/>
    </xf>
    <xf numFmtId="9" fontId="346" fillId="0" borderId="0" xfId="0" applyNumberFormat="1" applyFont="1" applyFill="1" applyBorder="1" applyAlignment="1">
      <alignment horizontal="center" vertical="center"/>
    </xf>
    <xf numFmtId="0" fontId="527" fillId="0" borderId="0" xfId="0" applyFont="1" applyBorder="1" applyAlignment="1" applyProtection="1">
      <alignment horizontal="center" vertical="center" wrapText="1"/>
      <protection hidden="1"/>
    </xf>
    <xf numFmtId="168" fontId="282" fillId="0" borderId="70" xfId="0" applyNumberFormat="1" applyFont="1" applyBorder="1" applyAlignment="1">
      <alignment horizontal="center" vertical="center"/>
    </xf>
    <xf numFmtId="168" fontId="337" fillId="0" borderId="70" xfId="0" applyNumberFormat="1" applyFont="1" applyBorder="1" applyAlignment="1">
      <alignment horizontal="center" vertical="center"/>
    </xf>
    <xf numFmtId="166" fontId="313" fillId="46" borderId="238" xfId="0" applyNumberFormat="1" applyFont="1" applyFill="1" applyBorder="1" applyAlignment="1" applyProtection="1">
      <alignment horizontal="right" vertical="center"/>
      <protection hidden="1"/>
    </xf>
    <xf numFmtId="166" fontId="313" fillId="46" borderId="238" xfId="0" quotePrefix="1" applyNumberFormat="1" applyFont="1" applyFill="1" applyBorder="1" applyAlignment="1" applyProtection="1">
      <alignment horizontal="right" vertical="center"/>
      <protection hidden="1"/>
    </xf>
    <xf numFmtId="0" fontId="188" fillId="0" borderId="0" xfId="0" applyFont="1" applyFill="1" applyBorder="1" applyAlignment="1" applyProtection="1">
      <alignment vertical="center"/>
      <protection hidden="1"/>
    </xf>
    <xf numFmtId="0" fontId="528" fillId="0" borderId="0" xfId="0" applyFont="1" applyFill="1" applyBorder="1" applyAlignment="1" applyProtection="1">
      <alignment horizontal="center" vertical="center"/>
      <protection locked="0" hidden="1"/>
    </xf>
    <xf numFmtId="168" fontId="53" fillId="0" borderId="0" xfId="0" applyNumberFormat="1" applyFont="1" applyFill="1" applyBorder="1" applyAlignment="1" applyProtection="1">
      <alignment horizontal="center" vertical="center"/>
      <protection locked="0" hidden="1"/>
    </xf>
    <xf numFmtId="168" fontId="525" fillId="53" borderId="0" xfId="0" applyNumberFormat="1" applyFont="1" applyFill="1" applyBorder="1" applyAlignment="1" applyProtection="1">
      <alignment horizontal="center" vertical="center" wrapText="1"/>
      <protection hidden="1"/>
    </xf>
    <xf numFmtId="0" fontId="526" fillId="53" borderId="0" xfId="0" applyNumberFormat="1" applyFont="1" applyFill="1" applyBorder="1" applyAlignment="1">
      <alignment horizontal="center" vertical="center"/>
    </xf>
    <xf numFmtId="0" fontId="526" fillId="53" borderId="0" xfId="0" applyFont="1" applyFill="1" applyBorder="1" applyAlignment="1">
      <alignment vertical="center"/>
    </xf>
    <xf numFmtId="0" fontId="526" fillId="0" borderId="0" xfId="0" applyFont="1" applyBorder="1" applyAlignment="1">
      <alignment vertical="center"/>
    </xf>
    <xf numFmtId="0" fontId="526" fillId="0" borderId="0" xfId="0" applyFont="1" applyFill="1" applyBorder="1" applyAlignment="1">
      <alignment vertical="center"/>
    </xf>
    <xf numFmtId="9" fontId="346" fillId="0" borderId="0" xfId="0" applyNumberFormat="1" applyFont="1" applyBorder="1" applyAlignment="1" applyProtection="1">
      <alignment horizontal="center" vertical="center"/>
      <protection hidden="1"/>
    </xf>
    <xf numFmtId="181" fontId="346" fillId="0" borderId="0" xfId="0" applyNumberFormat="1" applyFont="1" applyBorder="1" applyAlignment="1" applyProtection="1">
      <alignment horizontal="center" vertical="center"/>
      <protection hidden="1"/>
    </xf>
    <xf numFmtId="0" fontId="279" fillId="0" borderId="136" xfId="0" applyFont="1" applyBorder="1" applyAlignment="1">
      <alignment vertical="center"/>
    </xf>
    <xf numFmtId="0" fontId="279" fillId="0" borderId="366" xfId="0" applyFont="1" applyBorder="1" applyAlignment="1">
      <alignment vertical="center"/>
    </xf>
    <xf numFmtId="0" fontId="279" fillId="0" borderId="72" xfId="0" applyFont="1" applyBorder="1" applyAlignment="1">
      <alignment vertical="center"/>
    </xf>
    <xf numFmtId="0" fontId="283" fillId="0" borderId="136" xfId="0" applyFont="1" applyBorder="1" applyAlignment="1" applyProtection="1">
      <alignment vertical="center"/>
      <protection hidden="1"/>
    </xf>
    <xf numFmtId="0" fontId="279" fillId="0" borderId="316" xfId="0" applyFont="1" applyBorder="1" applyAlignment="1" applyProtection="1">
      <alignment vertical="center"/>
      <protection hidden="1"/>
    </xf>
    <xf numFmtId="0" fontId="526" fillId="0" borderId="233" xfId="0" applyFont="1" applyBorder="1" applyAlignment="1">
      <alignment vertical="top"/>
    </xf>
    <xf numFmtId="0" fontId="279" fillId="0" borderId="365" xfId="0" applyFont="1" applyBorder="1" applyAlignment="1">
      <alignment vertical="center"/>
    </xf>
    <xf numFmtId="0" fontId="344" fillId="0" borderId="146" xfId="0" applyFont="1" applyBorder="1" applyAlignment="1" applyProtection="1">
      <alignment vertical="center"/>
      <protection hidden="1"/>
    </xf>
    <xf numFmtId="0" fontId="344" fillId="0" borderId="147" xfId="0" applyFont="1" applyBorder="1" applyAlignment="1" applyProtection="1">
      <alignment vertical="center"/>
      <protection hidden="1"/>
    </xf>
    <xf numFmtId="0" fontId="279" fillId="0" borderId="167" xfId="0" quotePrefix="1" applyFont="1" applyBorder="1" applyAlignment="1" applyProtection="1">
      <alignment vertical="center" wrapText="1"/>
      <protection hidden="1"/>
    </xf>
    <xf numFmtId="0" fontId="526" fillId="0" borderId="262" xfId="0" applyFont="1" applyBorder="1" applyAlignment="1">
      <alignment vertical="top"/>
    </xf>
    <xf numFmtId="0" fontId="292" fillId="0" borderId="167" xfId="0" applyFont="1" applyBorder="1" applyAlignment="1">
      <alignment vertical="center" wrapText="1"/>
    </xf>
    <xf numFmtId="0" fontId="344" fillId="0" borderId="161" xfId="0" applyFont="1" applyBorder="1" applyAlignment="1" applyProtection="1">
      <alignment vertical="center"/>
      <protection hidden="1"/>
    </xf>
    <xf numFmtId="0" fontId="279" fillId="0" borderId="147" xfId="0" applyFont="1" applyBorder="1" applyAlignment="1">
      <alignment vertical="center"/>
    </xf>
    <xf numFmtId="0" fontId="279" fillId="0" borderId="258" xfId="0" applyFont="1" applyBorder="1" applyAlignment="1" applyProtection="1">
      <alignment vertical="center"/>
      <protection hidden="1"/>
    </xf>
    <xf numFmtId="0" fontId="526" fillId="0" borderId="309" xfId="0" applyFont="1" applyBorder="1" applyAlignment="1">
      <alignment vertical="top"/>
    </xf>
    <xf numFmtId="0" fontId="191" fillId="0" borderId="0" xfId="0" applyFont="1" applyFill="1" applyBorder="1" applyAlignment="1" applyProtection="1">
      <alignment horizontal="right" vertical="center"/>
      <protection hidden="1"/>
    </xf>
    <xf numFmtId="166" fontId="73" fillId="35" borderId="354" xfId="0" applyNumberFormat="1" applyFont="1" applyFill="1" applyBorder="1" applyAlignment="1" applyProtection="1">
      <alignment vertical="center" wrapText="1"/>
      <protection hidden="1"/>
    </xf>
    <xf numFmtId="0" fontId="274" fillId="0" borderId="238" xfId="0" applyFont="1" applyFill="1" applyBorder="1" applyAlignment="1" applyProtection="1">
      <alignment vertical="center" wrapText="1"/>
      <protection hidden="1"/>
    </xf>
    <xf numFmtId="0" fontId="274" fillId="0" borderId="136" xfId="0" applyFont="1" applyFill="1" applyBorder="1" applyAlignment="1" applyProtection="1">
      <alignment vertical="center" wrapText="1"/>
      <protection hidden="1"/>
    </xf>
    <xf numFmtId="0" fontId="283" fillId="46" borderId="354" xfId="0" applyFont="1" applyFill="1" applyBorder="1" applyAlignment="1">
      <alignment vertical="center"/>
    </xf>
    <xf numFmtId="0" fontId="370" fillId="0" borderId="0" xfId="0" applyFont="1" applyBorder="1" applyAlignment="1">
      <alignment vertical="center"/>
    </xf>
    <xf numFmtId="0" fontId="279" fillId="0" borderId="224" xfId="0" applyFont="1" applyBorder="1" applyAlignment="1">
      <alignment vertical="center"/>
    </xf>
    <xf numFmtId="0" fontId="346" fillId="0" borderId="0" xfId="0" applyFont="1" applyFill="1" applyBorder="1" applyAlignment="1" applyProtection="1">
      <alignment horizontal="center" vertical="center"/>
      <protection hidden="1"/>
    </xf>
    <xf numFmtId="0" fontId="525" fillId="0" borderId="0" xfId="0" applyFont="1" applyBorder="1" applyAlignment="1" applyProtection="1">
      <protection locked="0"/>
    </xf>
    <xf numFmtId="9" fontId="188" fillId="0" borderId="0" xfId="0" applyNumberFormat="1" applyFont="1" applyBorder="1" applyAlignment="1">
      <alignment vertical="center"/>
    </xf>
    <xf numFmtId="9" fontId="189" fillId="0" borderId="0" xfId="0" applyNumberFormat="1" applyFont="1" applyBorder="1" applyAlignment="1">
      <alignment vertical="center"/>
    </xf>
    <xf numFmtId="0" fontId="188" fillId="0" borderId="71" xfId="0" applyFont="1" applyBorder="1" applyAlignment="1">
      <alignment vertical="center"/>
    </xf>
    <xf numFmtId="0" fontId="188" fillId="0" borderId="203" xfId="0" applyFont="1" applyBorder="1" applyAlignment="1">
      <alignment vertical="center"/>
    </xf>
    <xf numFmtId="0" fontId="188" fillId="0" borderId="203" xfId="0" applyFont="1" applyBorder="1" applyAlignment="1">
      <alignment horizontal="center" vertical="center"/>
    </xf>
    <xf numFmtId="0" fontId="191" fillId="0" borderId="203" xfId="0" applyNumberFormat="1" applyFont="1" applyBorder="1" applyAlignment="1">
      <alignment horizontal="center" vertical="center"/>
    </xf>
    <xf numFmtId="0" fontId="191" fillId="0" borderId="203" xfId="0" applyFont="1" applyBorder="1" applyAlignment="1">
      <alignment vertical="center"/>
    </xf>
    <xf numFmtId="0" fontId="191" fillId="0" borderId="203" xfId="0" applyFont="1" applyFill="1" applyBorder="1" applyAlignment="1">
      <alignment vertical="center"/>
    </xf>
    <xf numFmtId="0" fontId="191" fillId="0" borderId="172" xfId="0" applyFont="1" applyFill="1" applyBorder="1" applyAlignment="1">
      <alignment vertical="center"/>
    </xf>
    <xf numFmtId="0" fontId="188" fillId="0" borderId="224" xfId="0" applyFont="1" applyBorder="1" applyAlignment="1">
      <alignment vertical="center"/>
    </xf>
    <xf numFmtId="0" fontId="191" fillId="0" borderId="293" xfId="0" applyFont="1" applyFill="1" applyBorder="1" applyAlignment="1">
      <alignment vertical="center"/>
    </xf>
    <xf numFmtId="0" fontId="350" fillId="0" borderId="224" xfId="0" applyFont="1" applyBorder="1" applyAlignment="1">
      <alignment vertical="center"/>
    </xf>
    <xf numFmtId="0" fontId="188" fillId="0" borderId="293" xfId="0" applyFont="1" applyBorder="1" applyAlignment="1">
      <alignment vertical="center"/>
    </xf>
    <xf numFmtId="1" fontId="191" fillId="0" borderId="293" xfId="23" applyNumberFormat="1" applyFont="1" applyFill="1" applyBorder="1" applyAlignment="1">
      <alignment vertical="center"/>
    </xf>
    <xf numFmtId="0" fontId="284" fillId="0" borderId="224" xfId="0" applyFont="1" applyBorder="1" applyAlignment="1">
      <alignment vertical="center"/>
    </xf>
    <xf numFmtId="0" fontId="189" fillId="0" borderId="224" xfId="0" applyFont="1" applyBorder="1" applyAlignment="1">
      <alignment vertical="center"/>
    </xf>
    <xf numFmtId="0" fontId="191" fillId="0" borderId="293" xfId="0" applyNumberFormat="1" applyFont="1" applyBorder="1" applyAlignment="1" applyProtection="1">
      <alignment horizontal="center" vertical="center"/>
      <protection hidden="1"/>
    </xf>
    <xf numFmtId="0" fontId="191" fillId="0" borderId="293" xfId="0" applyFont="1" applyBorder="1" applyAlignment="1">
      <alignment vertical="center"/>
    </xf>
    <xf numFmtId="0" fontId="38" fillId="0" borderId="224" xfId="0" applyFont="1" applyBorder="1" applyAlignment="1" applyProtection="1">
      <alignment horizontal="right" vertical="center"/>
      <protection locked="0"/>
    </xf>
    <xf numFmtId="0" fontId="38" fillId="0" borderId="293" xfId="0" applyFont="1" applyBorder="1" applyAlignment="1" applyProtection="1">
      <alignment horizontal="right" vertical="center"/>
      <protection locked="0"/>
    </xf>
    <xf numFmtId="0" fontId="191" fillId="0" borderId="443" xfId="0" applyNumberFormat="1" applyFont="1" applyBorder="1" applyAlignment="1" applyProtection="1">
      <alignment horizontal="center" vertical="center"/>
      <protection hidden="1"/>
    </xf>
    <xf numFmtId="0" fontId="284" fillId="0" borderId="72" xfId="0" applyFont="1" applyBorder="1" applyAlignment="1">
      <alignment vertical="center"/>
    </xf>
    <xf numFmtId="0" fontId="188" fillId="0" borderId="160" xfId="0" applyFont="1" applyBorder="1" applyAlignment="1">
      <alignment vertical="center"/>
    </xf>
    <xf numFmtId="0" fontId="188" fillId="0" borderId="160" xfId="0" applyFont="1" applyBorder="1" applyAlignment="1">
      <alignment horizontal="center" vertical="center"/>
    </xf>
    <xf numFmtId="0" fontId="188" fillId="0" borderId="160" xfId="0" applyNumberFormat="1" applyFont="1" applyBorder="1" applyAlignment="1">
      <alignment horizontal="center" vertical="center"/>
    </xf>
    <xf numFmtId="0" fontId="188" fillId="0" borderId="160" xfId="0" applyFont="1" applyFill="1" applyBorder="1" applyAlignment="1">
      <alignment vertical="center"/>
    </xf>
    <xf numFmtId="0" fontId="188" fillId="0" borderId="323" xfId="0" applyFont="1" applyFill="1" applyBorder="1" applyAlignment="1">
      <alignment vertical="center"/>
    </xf>
    <xf numFmtId="0" fontId="346" fillId="0" borderId="0" xfId="0" applyNumberFormat="1" applyFont="1" applyBorder="1" applyAlignment="1" applyProtection="1">
      <alignment horizontal="center" vertical="center"/>
      <protection hidden="1"/>
    </xf>
    <xf numFmtId="0" fontId="16" fillId="0" borderId="71" xfId="0" applyFont="1" applyBorder="1" applyProtection="1">
      <alignment horizontal="right"/>
      <protection locked="0"/>
    </xf>
    <xf numFmtId="0" fontId="18" fillId="0" borderId="203" xfId="0" applyFont="1" applyBorder="1" applyProtection="1">
      <alignment horizontal="right"/>
      <protection locked="0"/>
    </xf>
    <xf numFmtId="3" fontId="16" fillId="0" borderId="203" xfId="0" applyNumberFormat="1" applyFont="1" applyBorder="1" applyAlignment="1" applyProtection="1">
      <alignment horizontal="right" indent="1"/>
      <protection locked="0"/>
    </xf>
    <xf numFmtId="0" fontId="16" fillId="0" borderId="172" xfId="0" applyFont="1" applyBorder="1" applyProtection="1">
      <alignment horizontal="right"/>
      <protection locked="0"/>
    </xf>
    <xf numFmtId="0" fontId="16" fillId="0" borderId="224" xfId="0" applyFont="1" applyBorder="1" applyProtection="1">
      <alignment horizontal="right"/>
      <protection locked="0"/>
    </xf>
    <xf numFmtId="0" fontId="135" fillId="0" borderId="224" xfId="0" applyFont="1" applyBorder="1" applyProtection="1">
      <alignment horizontal="right"/>
      <protection locked="0"/>
    </xf>
    <xf numFmtId="0" fontId="135" fillId="0" borderId="293" xfId="0" applyFont="1" applyBorder="1" applyProtection="1">
      <alignment horizontal="right"/>
      <protection locked="0"/>
    </xf>
    <xf numFmtId="0" fontId="38" fillId="0" borderId="224" xfId="0" applyFont="1" applyFill="1" applyBorder="1" applyProtection="1">
      <alignment horizontal="right"/>
      <protection locked="0"/>
    </xf>
    <xf numFmtId="0" fontId="38" fillId="0" borderId="293" xfId="0" applyFont="1" applyFill="1" applyBorder="1" applyProtection="1">
      <alignment horizontal="right"/>
      <protection locked="0"/>
    </xf>
    <xf numFmtId="0" fontId="38" fillId="0" borderId="224" xfId="0" applyFont="1" applyFill="1" applyBorder="1" applyAlignment="1" applyProtection="1">
      <alignment horizontal="right" vertical="center"/>
      <protection locked="0"/>
    </xf>
    <xf numFmtId="0" fontId="38" fillId="0" borderId="293" xfId="0" applyFont="1" applyFill="1" applyBorder="1" applyAlignment="1" applyProtection="1">
      <alignment horizontal="right" vertical="center"/>
      <protection locked="0"/>
    </xf>
    <xf numFmtId="0" fontId="16" fillId="0" borderId="293" xfId="0" applyFont="1" applyBorder="1" applyAlignment="1" applyProtection="1">
      <alignment horizontal="right" vertical="center"/>
      <protection locked="0"/>
    </xf>
    <xf numFmtId="0" fontId="38" fillId="0" borderId="224" xfId="0" applyFont="1" applyBorder="1" applyProtection="1">
      <alignment horizontal="right"/>
      <protection locked="0"/>
    </xf>
    <xf numFmtId="0" fontId="38" fillId="0" borderId="293" xfId="0" applyFont="1" applyBorder="1" applyProtection="1">
      <alignment horizontal="right"/>
      <protection locked="0"/>
    </xf>
    <xf numFmtId="0" fontId="16" fillId="0" borderId="224" xfId="0" applyFont="1" applyFill="1" applyBorder="1" applyProtection="1">
      <alignment horizontal="right"/>
      <protection locked="0"/>
    </xf>
    <xf numFmtId="0" fontId="16" fillId="0" borderId="293" xfId="0" applyFont="1" applyFill="1" applyBorder="1" applyProtection="1">
      <alignment horizontal="right"/>
      <protection locked="0"/>
    </xf>
    <xf numFmtId="0" fontId="38" fillId="0" borderId="224" xfId="0" applyFont="1" applyFill="1" applyBorder="1" applyAlignment="1" applyProtection="1">
      <alignment vertical="center"/>
      <protection locked="0"/>
    </xf>
    <xf numFmtId="0" fontId="38" fillId="0" borderId="293" xfId="0" applyFont="1" applyFill="1" applyBorder="1" applyAlignment="1" applyProtection="1">
      <alignment vertical="center"/>
      <protection locked="0"/>
    </xf>
    <xf numFmtId="0" fontId="16" fillId="0" borderId="72" xfId="0" applyFont="1" applyBorder="1" applyProtection="1">
      <alignment horizontal="right"/>
      <protection locked="0"/>
    </xf>
    <xf numFmtId="0" fontId="38" fillId="0" borderId="160" xfId="0" applyFont="1" applyFill="1" applyBorder="1" applyAlignment="1" applyProtection="1">
      <alignment vertical="center"/>
      <protection locked="0"/>
    </xf>
    <xf numFmtId="0" fontId="37" fillId="0" borderId="160" xfId="0" applyFont="1" applyFill="1" applyBorder="1" applyAlignment="1" applyProtection="1">
      <alignment vertical="center"/>
      <protection locked="0"/>
    </xf>
    <xf numFmtId="4" fontId="338" fillId="0" borderId="160" xfId="0" applyNumberFormat="1" applyFont="1" applyFill="1" applyBorder="1" applyAlignment="1" applyProtection="1">
      <alignment horizontal="center" vertical="center"/>
      <protection hidden="1"/>
    </xf>
    <xf numFmtId="168" fontId="37" fillId="0" borderId="160" xfId="0" applyNumberFormat="1" applyFont="1" applyFill="1" applyBorder="1" applyAlignment="1" applyProtection="1">
      <alignment vertical="center"/>
      <protection locked="0"/>
    </xf>
    <xf numFmtId="3" fontId="38" fillId="0" borderId="160" xfId="0" applyNumberFormat="1" applyFont="1" applyFill="1" applyBorder="1" applyAlignment="1" applyProtection="1">
      <alignment vertical="center"/>
      <protection locked="0"/>
    </xf>
    <xf numFmtId="0" fontId="16" fillId="0" borderId="323" xfId="0" applyFont="1" applyBorder="1" applyProtection="1">
      <alignment horizontal="right"/>
      <protection locked="0"/>
    </xf>
    <xf numFmtId="0" fontId="18" fillId="0" borderId="293" xfId="0" applyFont="1" applyBorder="1" applyAlignment="1" applyProtection="1">
      <alignment horizontal="left" vertical="center"/>
      <protection hidden="1"/>
    </xf>
    <xf numFmtId="237" fontId="202" fillId="0" borderId="57" xfId="0" applyNumberFormat="1" applyFont="1" applyFill="1" applyBorder="1" applyAlignment="1" applyProtection="1">
      <alignment horizontal="center" vertical="center"/>
      <protection hidden="1"/>
    </xf>
    <xf numFmtId="237" fontId="57" fillId="0" borderId="57" xfId="0" applyNumberFormat="1" applyFont="1" applyFill="1" applyBorder="1" applyAlignment="1" applyProtection="1">
      <alignment horizontal="center" vertical="center"/>
      <protection hidden="1"/>
    </xf>
    <xf numFmtId="0" fontId="531" fillId="0" borderId="0" xfId="0" applyNumberFormat="1" applyFont="1" applyFill="1" applyBorder="1" applyAlignment="1" applyProtection="1">
      <alignment horizontal="center" vertical="center" wrapText="1"/>
      <protection hidden="1"/>
    </xf>
    <xf numFmtId="0" fontId="361" fillId="0" borderId="0" xfId="0" applyFont="1" applyBorder="1" applyAlignment="1" applyProtection="1">
      <alignment vertical="center"/>
      <protection hidden="1"/>
    </xf>
    <xf numFmtId="0" fontId="361" fillId="0" borderId="293" xfId="0" applyFont="1" applyBorder="1" applyAlignment="1" applyProtection="1">
      <alignment vertical="center"/>
      <protection hidden="1"/>
    </xf>
    <xf numFmtId="0" fontId="194" fillId="45" borderId="238" xfId="0" applyFont="1" applyFill="1" applyBorder="1" applyAlignment="1">
      <alignment vertical="center" wrapText="1"/>
    </xf>
    <xf numFmtId="9" fontId="194" fillId="45" borderId="209" xfId="0" quotePrefix="1" applyNumberFormat="1" applyFont="1" applyFill="1" applyBorder="1" applyAlignment="1">
      <alignment horizontal="right" vertical="center"/>
    </xf>
    <xf numFmtId="224" fontId="194" fillId="45" borderId="447" xfId="0" quotePrefix="1" applyNumberFormat="1" applyFont="1" applyFill="1" applyBorder="1" applyAlignment="1" applyProtection="1">
      <alignment horizontal="left" vertical="center"/>
      <protection hidden="1"/>
    </xf>
    <xf numFmtId="168" fontId="230" fillId="45" borderId="391" xfId="0" applyNumberFormat="1" applyFont="1" applyFill="1" applyBorder="1" applyAlignment="1" applyProtection="1">
      <alignment horizontal="center" vertical="center"/>
      <protection hidden="1"/>
    </xf>
    <xf numFmtId="168" fontId="300" fillId="45" borderId="391" xfId="0" applyNumberFormat="1" applyFont="1" applyFill="1" applyBorder="1" applyAlignment="1" applyProtection="1">
      <alignment horizontal="center" vertical="center"/>
      <protection hidden="1"/>
    </xf>
    <xf numFmtId="166" fontId="16" fillId="46" borderId="52" xfId="0" applyNumberFormat="1" applyFont="1" applyFill="1" applyBorder="1" applyAlignment="1" applyProtection="1">
      <alignment vertical="center"/>
      <protection hidden="1"/>
    </xf>
    <xf numFmtId="0" fontId="528" fillId="0" borderId="71" xfId="0" applyFont="1" applyBorder="1" applyAlignment="1" applyProtection="1">
      <alignment horizontal="left" vertical="center" indent="1"/>
      <protection hidden="1"/>
    </xf>
    <xf numFmtId="166" fontId="528" fillId="0" borderId="71" xfId="0" applyNumberFormat="1" applyFont="1" applyBorder="1" applyAlignment="1" applyProtection="1">
      <alignment horizontal="right" vertical="center"/>
      <protection locked="0"/>
    </xf>
    <xf numFmtId="206" fontId="281" fillId="0" borderId="221" xfId="0" applyNumberFormat="1" applyFont="1" applyBorder="1" applyAlignment="1" applyProtection="1">
      <alignment horizontal="left" vertical="center" indent="1"/>
      <protection hidden="1"/>
    </xf>
    <xf numFmtId="206" fontId="483" fillId="0" borderId="161" xfId="0" applyNumberFormat="1" applyFont="1" applyBorder="1" applyAlignment="1" applyProtection="1">
      <alignment horizontal="left" indent="1"/>
      <protection hidden="1"/>
    </xf>
    <xf numFmtId="206" fontId="483" fillId="0" borderId="245" xfId="0" applyNumberFormat="1" applyFont="1" applyBorder="1" applyAlignment="1" applyProtection="1">
      <alignment horizontal="left" indent="1"/>
      <protection hidden="1"/>
    </xf>
    <xf numFmtId="9" fontId="307" fillId="0" borderId="224" xfId="0" applyNumberFormat="1" applyFont="1" applyFill="1" applyBorder="1" applyAlignment="1" applyProtection="1">
      <alignment horizontal="center" vertical="center"/>
      <protection hidden="1"/>
    </xf>
    <xf numFmtId="9" fontId="307" fillId="0" borderId="167" xfId="0" applyNumberFormat="1" applyFont="1" applyFill="1" applyBorder="1" applyAlignment="1" applyProtection="1">
      <alignment horizontal="center" vertical="center"/>
      <protection hidden="1"/>
    </xf>
    <xf numFmtId="9" fontId="533" fillId="0" borderId="167" xfId="0" applyNumberFormat="1" applyFont="1" applyFill="1" applyBorder="1" applyAlignment="1" applyProtection="1">
      <alignment horizontal="center" vertical="center"/>
      <protection hidden="1"/>
    </xf>
    <xf numFmtId="165" fontId="307" fillId="0" borderId="258" xfId="0" applyNumberFormat="1" applyFont="1" applyFill="1" applyBorder="1" applyAlignment="1" applyProtection="1">
      <alignment horizontal="center" vertical="center"/>
      <protection hidden="1"/>
    </xf>
    <xf numFmtId="9" fontId="307" fillId="0" borderId="71" xfId="0" applyNumberFormat="1" applyFont="1" applyFill="1" applyBorder="1" applyAlignment="1" applyProtection="1">
      <alignment horizontal="center" vertical="center"/>
      <protection hidden="1"/>
    </xf>
    <xf numFmtId="166" fontId="226" fillId="0" borderId="0" xfId="0" applyNumberFormat="1" applyFont="1" applyBorder="1" applyAlignment="1" applyProtection="1">
      <alignment horizontal="right" vertical="center"/>
      <protection locked="0"/>
    </xf>
    <xf numFmtId="166" fontId="292" fillId="0" borderId="413" xfId="0" applyNumberFormat="1" applyFont="1" applyFill="1" applyBorder="1" applyAlignment="1" applyProtection="1">
      <alignment vertical="center"/>
      <protection locked="0"/>
    </xf>
    <xf numFmtId="168" fontId="428" fillId="0" borderId="65" xfId="0" applyNumberFormat="1" applyFont="1" applyBorder="1" applyAlignment="1" applyProtection="1">
      <alignment horizontal="center" vertical="center"/>
      <protection hidden="1"/>
    </xf>
    <xf numFmtId="168" fontId="428" fillId="0" borderId="114" xfId="0" applyNumberFormat="1" applyFont="1" applyBorder="1" applyAlignment="1" applyProtection="1">
      <alignment horizontal="center" vertical="center"/>
      <protection hidden="1"/>
    </xf>
    <xf numFmtId="0" fontId="181" fillId="0" borderId="0" xfId="0" applyFont="1" applyBorder="1" applyProtection="1">
      <alignment horizontal="right"/>
      <protection locked="0"/>
    </xf>
    <xf numFmtId="0" fontId="181" fillId="0" borderId="0" xfId="0" applyFont="1" applyBorder="1" applyAlignment="1" applyProtection="1">
      <alignment vertical="center"/>
      <protection hidden="1"/>
    </xf>
    <xf numFmtId="0" fontId="211" fillId="0" borderId="0" xfId="0" applyFont="1" applyFill="1" applyBorder="1" applyAlignment="1" applyProtection="1">
      <alignment vertical="center"/>
      <protection hidden="1"/>
    </xf>
    <xf numFmtId="0" fontId="181" fillId="0" borderId="0" xfId="0" applyFont="1" applyFill="1" applyBorder="1" applyProtection="1">
      <alignment horizontal="right"/>
      <protection hidden="1"/>
    </xf>
    <xf numFmtId="0" fontId="181" fillId="0" borderId="0" xfId="0" applyFont="1" applyFill="1" applyBorder="1" applyAlignment="1" applyProtection="1">
      <alignment horizontal="right"/>
      <protection hidden="1"/>
    </xf>
    <xf numFmtId="166" fontId="181" fillId="0" borderId="0" xfId="0" applyNumberFormat="1" applyFont="1" applyFill="1" applyBorder="1" applyAlignment="1" applyProtection="1">
      <alignment vertical="center"/>
      <protection hidden="1"/>
    </xf>
    <xf numFmtId="168" fontId="181" fillId="0" borderId="0" xfId="36" applyNumberFormat="1" applyFont="1" applyFill="1" applyBorder="1" applyAlignment="1" applyProtection="1">
      <alignment horizontal="center" vertical="center"/>
      <protection hidden="1"/>
    </xf>
    <xf numFmtId="9" fontId="366" fillId="0" borderId="0" xfId="0" applyNumberFormat="1" applyFont="1" applyFill="1" applyBorder="1" applyAlignment="1" applyProtection="1">
      <alignment horizontal="center" vertical="center"/>
      <protection hidden="1"/>
    </xf>
    <xf numFmtId="0" fontId="182" fillId="31" borderId="0" xfId="0" applyFont="1" applyFill="1" applyBorder="1" applyAlignment="1" applyProtection="1">
      <alignment vertical="center"/>
      <protection hidden="1"/>
    </xf>
    <xf numFmtId="0" fontId="182" fillId="0" borderId="0" xfId="0" applyFont="1" applyFill="1" applyBorder="1" applyAlignment="1" applyProtection="1">
      <alignment vertical="center"/>
      <protection hidden="1"/>
    </xf>
    <xf numFmtId="0" fontId="181" fillId="0" borderId="0" xfId="0" applyFont="1" applyBorder="1" applyAlignment="1" applyProtection="1">
      <alignment horizontal="right" vertical="center"/>
      <protection locked="0"/>
    </xf>
    <xf numFmtId="3" fontId="181" fillId="0" borderId="0" xfId="0" applyNumberFormat="1" applyFont="1" applyBorder="1" applyAlignment="1" applyProtection="1">
      <alignment horizontal="right" vertical="center"/>
      <protection locked="0"/>
    </xf>
    <xf numFmtId="0" fontId="181" fillId="0" borderId="0" xfId="0" applyFont="1" applyBorder="1" applyAlignment="1" applyProtection="1">
      <alignment horizontal="right"/>
      <protection hidden="1"/>
    </xf>
    <xf numFmtId="166" fontId="181" fillId="0" borderId="0" xfId="0" applyNumberFormat="1" applyFont="1" applyBorder="1" applyAlignment="1" applyProtection="1">
      <alignment horizontal="right" vertical="center"/>
      <protection hidden="1"/>
    </xf>
    <xf numFmtId="166" fontId="181" fillId="0" borderId="0" xfId="0" applyNumberFormat="1" applyFont="1" applyFill="1" applyBorder="1" applyAlignment="1" applyProtection="1">
      <alignment horizontal="right"/>
      <protection hidden="1"/>
    </xf>
    <xf numFmtId="166" fontId="181" fillId="0" borderId="0" xfId="0" applyNumberFormat="1" applyFont="1" applyBorder="1" applyAlignment="1" applyProtection="1">
      <alignment horizontal="right"/>
      <protection hidden="1"/>
    </xf>
    <xf numFmtId="166" fontId="181" fillId="0" borderId="0" xfId="0" applyNumberFormat="1" applyFont="1" applyFill="1" applyBorder="1" applyAlignment="1" applyProtection="1">
      <alignment horizontal="right" vertical="center"/>
      <protection locked="0"/>
    </xf>
    <xf numFmtId="0" fontId="183" fillId="0" borderId="0" xfId="0" applyFont="1" applyBorder="1" applyAlignment="1" applyProtection="1">
      <alignment horizontal="left" vertical="center"/>
      <protection hidden="1"/>
    </xf>
    <xf numFmtId="0" fontId="183" fillId="0" borderId="0" xfId="0" applyFont="1" applyBorder="1" applyProtection="1">
      <alignment horizontal="right"/>
      <protection hidden="1"/>
    </xf>
    <xf numFmtId="0" fontId="183" fillId="0" borderId="0" xfId="0" applyFont="1" applyBorder="1" applyAlignment="1" applyProtection="1">
      <alignment horizontal="right"/>
      <protection hidden="1"/>
    </xf>
    <xf numFmtId="166" fontId="183" fillId="0" borderId="0" xfId="0" applyNumberFormat="1" applyFont="1" applyBorder="1" applyAlignment="1" applyProtection="1">
      <alignment horizontal="right" vertical="center"/>
      <protection hidden="1"/>
    </xf>
    <xf numFmtId="166" fontId="183" fillId="0" borderId="0" xfId="0" applyNumberFormat="1" applyFont="1" applyFill="1" applyBorder="1" applyAlignment="1" applyProtection="1">
      <alignment horizontal="right"/>
      <protection hidden="1"/>
    </xf>
    <xf numFmtId="166" fontId="183" fillId="0" borderId="0" xfId="0" applyNumberFormat="1" applyFont="1" applyBorder="1" applyAlignment="1" applyProtection="1">
      <alignment horizontal="right"/>
      <protection hidden="1"/>
    </xf>
    <xf numFmtId="166" fontId="183" fillId="0" borderId="0" xfId="0" applyNumberFormat="1" applyFont="1" applyFill="1" applyBorder="1" applyAlignment="1" applyProtection="1">
      <alignment horizontal="right" vertical="center"/>
      <protection locked="0"/>
    </xf>
    <xf numFmtId="0" fontId="432" fillId="0" borderId="0" xfId="0" applyFont="1" applyBorder="1" applyAlignment="1" applyProtection="1">
      <alignment vertical="center"/>
      <protection hidden="1"/>
    </xf>
    <xf numFmtId="166" fontId="181" fillId="0" borderId="0" xfId="0" applyNumberFormat="1" applyFont="1" applyBorder="1" applyAlignment="1" applyProtection="1">
      <alignment vertical="center"/>
      <protection hidden="1"/>
    </xf>
    <xf numFmtId="3" fontId="181" fillId="0" borderId="0" xfId="0" applyNumberFormat="1" applyFont="1" applyFill="1" applyBorder="1" applyAlignment="1" applyProtection="1">
      <alignment horizontal="right" vertical="center" indent="1"/>
      <protection hidden="1"/>
    </xf>
    <xf numFmtId="166" fontId="211" fillId="0" borderId="0" xfId="0" applyNumberFormat="1" applyFont="1" applyFill="1" applyBorder="1" applyAlignment="1" applyProtection="1">
      <alignment vertical="center"/>
      <protection hidden="1"/>
    </xf>
    <xf numFmtId="9" fontId="357" fillId="0" borderId="0" xfId="0" applyNumberFormat="1" applyFont="1" applyFill="1" applyBorder="1" applyAlignment="1" applyProtection="1">
      <alignment horizontal="center" vertical="center"/>
      <protection hidden="1"/>
    </xf>
    <xf numFmtId="168" fontId="211" fillId="0" borderId="0" xfId="0" applyNumberFormat="1" applyFont="1" applyFill="1" applyBorder="1" applyAlignment="1" applyProtection="1">
      <alignment horizontal="center" vertical="center"/>
      <protection hidden="1"/>
    </xf>
    <xf numFmtId="0" fontId="181" fillId="0" borderId="0" xfId="0" applyFont="1" applyFill="1" applyBorder="1" applyAlignment="1" applyProtection="1">
      <alignment horizontal="center" vertical="center" wrapText="1"/>
      <protection hidden="1"/>
    </xf>
    <xf numFmtId="0" fontId="236" fillId="0" borderId="0" xfId="0" applyFont="1" applyFill="1" applyBorder="1" applyAlignment="1">
      <alignment vertical="center"/>
    </xf>
    <xf numFmtId="0" fontId="181" fillId="0" borderId="0" xfId="0" applyFont="1" applyFill="1" applyBorder="1" applyAlignment="1" applyProtection="1">
      <alignment vertical="center"/>
      <protection hidden="1"/>
    </xf>
    <xf numFmtId="168" fontId="357" fillId="0" borderId="0" xfId="0" applyNumberFormat="1" applyFont="1" applyFill="1" applyBorder="1" applyAlignment="1" applyProtection="1">
      <alignment horizontal="center" vertical="center"/>
      <protection hidden="1"/>
    </xf>
    <xf numFmtId="0" fontId="183" fillId="0" borderId="0" xfId="0" applyFont="1" applyFill="1" applyBorder="1" applyAlignment="1" applyProtection="1">
      <alignment vertical="center"/>
      <protection hidden="1"/>
    </xf>
    <xf numFmtId="0" fontId="183" fillId="0" borderId="0" xfId="0" applyFont="1" applyFill="1" applyBorder="1" applyProtection="1">
      <alignment horizontal="right"/>
      <protection hidden="1"/>
    </xf>
    <xf numFmtId="166" fontId="183" fillId="0" borderId="0" xfId="0" applyNumberFormat="1" applyFont="1" applyFill="1" applyBorder="1" applyAlignment="1" applyProtection="1">
      <alignment vertical="center"/>
      <protection hidden="1"/>
    </xf>
    <xf numFmtId="168" fontId="366" fillId="0" borderId="0" xfId="0" applyNumberFormat="1" applyFont="1" applyFill="1" applyBorder="1" applyAlignment="1" applyProtection="1">
      <alignment horizontal="center" vertical="center"/>
      <protection hidden="1"/>
    </xf>
    <xf numFmtId="0" fontId="183" fillId="0" borderId="0" xfId="0" applyFont="1" applyFill="1" applyBorder="1" applyAlignment="1" applyProtection="1">
      <alignment horizontal="center" vertical="center" wrapText="1"/>
      <protection hidden="1"/>
    </xf>
    <xf numFmtId="0" fontId="183" fillId="0" borderId="0" xfId="0" applyFont="1" applyFill="1" applyBorder="1" applyAlignment="1" applyProtection="1">
      <alignment horizontal="right" vertical="center"/>
      <protection hidden="1"/>
    </xf>
    <xf numFmtId="0" fontId="183" fillId="0" borderId="0" xfId="0" applyFont="1" applyBorder="1" applyAlignment="1" applyProtection="1">
      <alignment horizontal="right" vertical="center"/>
      <protection hidden="1"/>
    </xf>
    <xf numFmtId="3" fontId="181" fillId="0" borderId="0" xfId="0" applyNumberFormat="1" applyFont="1" applyBorder="1" applyAlignment="1" applyProtection="1">
      <alignment horizontal="right" vertical="center"/>
      <protection hidden="1"/>
    </xf>
    <xf numFmtId="3" fontId="181" fillId="0" borderId="0" xfId="0" applyNumberFormat="1" applyFont="1" applyFill="1" applyBorder="1" applyAlignment="1" applyProtection="1">
      <alignment horizontal="right" vertical="center"/>
      <protection locked="0"/>
    </xf>
    <xf numFmtId="166" fontId="181" fillId="0" borderId="0" xfId="0" applyNumberFormat="1" applyFont="1" applyBorder="1" applyAlignment="1" applyProtection="1">
      <alignment horizontal="center" vertical="center"/>
      <protection hidden="1"/>
    </xf>
    <xf numFmtId="0" fontId="181" fillId="0" borderId="0" xfId="0" applyFont="1" applyFill="1" applyBorder="1" applyAlignment="1" applyProtection="1">
      <alignment horizontal="center" vertical="center"/>
      <protection hidden="1"/>
    </xf>
    <xf numFmtId="166" fontId="181" fillId="0" borderId="0" xfId="0" applyNumberFormat="1" applyFont="1" applyFill="1" applyBorder="1" applyAlignment="1" applyProtection="1">
      <alignment horizontal="center" vertical="center"/>
      <protection locked="0"/>
    </xf>
    <xf numFmtId="197" fontId="491" fillId="0" borderId="0" xfId="0" applyNumberFormat="1" applyFont="1" applyFill="1" applyBorder="1" applyAlignment="1" applyProtection="1">
      <alignment horizontal="center" vertical="center"/>
      <protection hidden="1"/>
    </xf>
    <xf numFmtId="194" fontId="186" fillId="0" borderId="0" xfId="0" applyNumberFormat="1" applyFont="1" applyBorder="1" applyAlignment="1" applyProtection="1">
      <alignment horizontal="right" vertical="center"/>
      <protection hidden="1"/>
    </xf>
    <xf numFmtId="3" fontId="488" fillId="0" borderId="0" xfId="0" applyNumberFormat="1" applyFont="1" applyBorder="1" applyAlignment="1" applyProtection="1">
      <alignment vertical="center" wrapText="1"/>
      <protection hidden="1"/>
    </xf>
    <xf numFmtId="3" fontId="292" fillId="0" borderId="0" xfId="0" applyNumberFormat="1" applyFont="1" applyBorder="1" applyAlignment="1" applyProtection="1">
      <alignment vertical="center" wrapText="1"/>
      <protection hidden="1"/>
    </xf>
    <xf numFmtId="3" fontId="60" fillId="0" borderId="0" xfId="0" applyNumberFormat="1" applyFont="1" applyBorder="1" applyAlignment="1" applyProtection="1">
      <alignment vertical="center"/>
      <protection hidden="1"/>
    </xf>
    <xf numFmtId="0" fontId="16" fillId="0" borderId="0" xfId="0" applyFont="1" applyBorder="1" applyAlignment="1" applyProtection="1">
      <alignment horizontal="left" indent="3"/>
      <protection locked="0"/>
    </xf>
    <xf numFmtId="176" fontId="535" fillId="0" borderId="298" xfId="0" applyNumberFormat="1" applyFont="1" applyFill="1" applyBorder="1" applyAlignment="1" applyProtection="1">
      <alignment horizontal="left" vertical="center" indent="1"/>
      <protection hidden="1"/>
    </xf>
    <xf numFmtId="0" fontId="535" fillId="0" borderId="258" xfId="0" applyFont="1" applyFill="1" applyBorder="1" applyAlignment="1" applyProtection="1">
      <alignment horizontal="left" vertical="center" indent="1"/>
      <protection hidden="1"/>
    </xf>
    <xf numFmtId="0" fontId="399" fillId="60" borderId="87" xfId="0" applyFont="1" applyFill="1" applyBorder="1" applyAlignment="1" applyProtection="1">
      <alignment horizontal="center" vertical="center"/>
      <protection hidden="1"/>
    </xf>
    <xf numFmtId="0" fontId="399" fillId="60" borderId="88" xfId="0" applyFont="1" applyFill="1" applyBorder="1" applyAlignment="1" applyProtection="1">
      <alignment horizontal="center" vertical="center"/>
      <protection hidden="1"/>
    </xf>
    <xf numFmtId="0" fontId="399" fillId="60" borderId="89" xfId="0" applyFont="1" applyFill="1" applyBorder="1" applyAlignment="1" applyProtection="1">
      <alignment horizontal="center" vertical="center"/>
      <protection hidden="1"/>
    </xf>
    <xf numFmtId="0" fontId="262" fillId="64" borderId="125" xfId="0" applyFont="1" applyFill="1" applyBorder="1" applyAlignment="1" applyProtection="1">
      <alignment horizontal="center" vertical="top"/>
      <protection hidden="1"/>
    </xf>
    <xf numFmtId="0" fontId="262" fillId="64" borderId="0" xfId="0" applyFont="1" applyFill="1" applyBorder="1" applyAlignment="1" applyProtection="1">
      <alignment horizontal="center" vertical="top"/>
      <protection hidden="1"/>
    </xf>
    <xf numFmtId="0" fontId="262" fillId="64" borderId="126" xfId="0" applyFont="1" applyFill="1" applyBorder="1" applyAlignment="1" applyProtection="1">
      <alignment horizontal="center" vertical="top"/>
      <protection hidden="1"/>
    </xf>
    <xf numFmtId="0" fontId="34" fillId="60" borderId="87" xfId="0" applyNumberFormat="1" applyFont="1" applyFill="1" applyBorder="1" applyAlignment="1" applyProtection="1">
      <alignment horizontal="center" vertical="center"/>
      <protection hidden="1"/>
    </xf>
    <xf numFmtId="0" fontId="34" fillId="60" borderId="88" xfId="0" applyNumberFormat="1" applyFont="1" applyFill="1" applyBorder="1" applyAlignment="1" applyProtection="1">
      <alignment horizontal="center" vertical="center"/>
      <protection hidden="1"/>
    </xf>
    <xf numFmtId="0" fontId="34" fillId="60" borderId="89" xfId="0" applyNumberFormat="1" applyFont="1" applyFill="1" applyBorder="1" applyAlignment="1" applyProtection="1">
      <alignment horizontal="center" vertical="center"/>
      <protection hidden="1"/>
    </xf>
    <xf numFmtId="171" fontId="257" fillId="60" borderId="85" xfId="32" applyNumberFormat="1" applyFont="1" applyFill="1" applyBorder="1" applyAlignment="1" applyProtection="1">
      <alignment horizontal="left" vertical="center" indent="1"/>
      <protection locked="0"/>
    </xf>
    <xf numFmtId="171" fontId="257" fillId="60" borderId="86" xfId="32" applyNumberFormat="1" applyFont="1" applyFill="1" applyBorder="1" applyAlignment="1" applyProtection="1">
      <alignment horizontal="left" vertical="center" indent="1"/>
      <protection locked="0"/>
    </xf>
    <xf numFmtId="0" fontId="262" fillId="64" borderId="125" xfId="0" applyFont="1" applyFill="1" applyBorder="1" applyAlignment="1" applyProtection="1">
      <alignment horizontal="center"/>
      <protection hidden="1"/>
    </xf>
    <xf numFmtId="0" fontId="262" fillId="64" borderId="0" xfId="0" applyFont="1" applyFill="1" applyBorder="1" applyAlignment="1" applyProtection="1">
      <alignment horizontal="center"/>
      <protection hidden="1"/>
    </xf>
    <xf numFmtId="0" fontId="262" fillId="64" borderId="126" xfId="0" applyFont="1" applyFill="1" applyBorder="1" applyAlignment="1" applyProtection="1">
      <alignment horizontal="center"/>
      <protection hidden="1"/>
    </xf>
    <xf numFmtId="0" fontId="0" fillId="0" borderId="86" xfId="0" applyBorder="1" applyAlignment="1">
      <alignment horizontal="left" vertical="center" indent="1"/>
    </xf>
    <xf numFmtId="171" fontId="257" fillId="60" borderId="64" xfId="32" applyNumberFormat="1" applyFont="1" applyFill="1" applyBorder="1" applyAlignment="1" applyProtection="1">
      <alignment horizontal="left" vertical="center" indent="1"/>
      <protection locked="0"/>
    </xf>
    <xf numFmtId="0" fontId="0" fillId="0" borderId="64" xfId="0" applyBorder="1" applyAlignment="1">
      <alignment horizontal="left" vertical="center" indent="1"/>
    </xf>
    <xf numFmtId="0" fontId="16" fillId="0" borderId="0" xfId="0" applyFont="1" applyBorder="1" applyAlignment="1" applyProtection="1">
      <alignment horizontal="left" vertical="center" wrapText="1" indent="1"/>
      <protection locked="0"/>
    </xf>
    <xf numFmtId="0" fontId="62" fillId="83" borderId="11" xfId="0" applyFont="1" applyFill="1" applyBorder="1" applyAlignment="1" applyProtection="1">
      <alignment horizontal="left" vertical="center" indent="1"/>
      <protection hidden="1"/>
    </xf>
    <xf numFmtId="0" fontId="62" fillId="83" borderId="0" xfId="0" applyFont="1" applyFill="1" applyBorder="1" applyAlignment="1" applyProtection="1">
      <alignment horizontal="left" vertical="center" indent="1"/>
      <protection hidden="1"/>
    </xf>
    <xf numFmtId="0" fontId="0" fillId="83" borderId="0" xfId="0" applyFill="1" applyBorder="1" applyAlignment="1" applyProtection="1">
      <alignment horizontal="left" vertical="center" indent="1"/>
      <protection hidden="1"/>
    </xf>
    <xf numFmtId="0" fontId="0" fillId="0" borderId="0" xfId="0" applyBorder="1" applyAlignment="1">
      <alignment horizontal="left" vertical="center" indent="1"/>
    </xf>
    <xf numFmtId="0" fontId="70" fillId="0" borderId="0" xfId="0" applyFont="1" applyBorder="1" applyAlignment="1" applyProtection="1">
      <alignment horizontal="left" vertical="center" indent="1"/>
      <protection hidden="1"/>
    </xf>
    <xf numFmtId="0" fontId="70" fillId="0" borderId="0" xfId="0" applyFont="1" applyBorder="1" applyAlignment="1" applyProtection="1">
      <alignment horizontal="left" vertical="center"/>
      <protection hidden="1"/>
    </xf>
    <xf numFmtId="0" fontId="124" fillId="0" borderId="0" xfId="0" applyFont="1" applyBorder="1" applyAlignment="1" applyProtection="1">
      <alignment horizontal="left" vertical="center" wrapText="1" indent="1"/>
      <protection locked="0"/>
    </xf>
    <xf numFmtId="0" fontId="34" fillId="59" borderId="136" xfId="0" applyFont="1" applyFill="1" applyBorder="1" applyAlignment="1" applyProtection="1">
      <alignment horizontal="left" vertical="center" indent="1"/>
      <protection hidden="1"/>
    </xf>
    <xf numFmtId="0" fontId="34" fillId="59" borderId="137" xfId="0" applyFont="1" applyFill="1" applyBorder="1" applyAlignment="1" applyProtection="1">
      <alignment horizontal="left" vertical="center" indent="1"/>
      <protection hidden="1"/>
    </xf>
    <xf numFmtId="0" fontId="0" fillId="59" borderId="137" xfId="0" applyFill="1" applyBorder="1" applyAlignment="1" applyProtection="1">
      <alignment horizontal="left" vertical="center" indent="1"/>
      <protection hidden="1"/>
    </xf>
    <xf numFmtId="0" fontId="0" fillId="0" borderId="135" xfId="0" applyBorder="1" applyAlignment="1">
      <alignment horizontal="left" indent="1"/>
    </xf>
    <xf numFmtId="0" fontId="396" fillId="59" borderId="136" xfId="0" applyFont="1" applyFill="1" applyBorder="1" applyAlignment="1" applyProtection="1">
      <alignment horizontal="center" vertical="center"/>
      <protection hidden="1"/>
    </xf>
    <xf numFmtId="0" fontId="396" fillId="59" borderId="137" xfId="0" applyFont="1" applyFill="1" applyBorder="1" applyAlignment="1" applyProtection="1">
      <alignment horizontal="center" vertical="center"/>
      <protection hidden="1"/>
    </xf>
    <xf numFmtId="0" fontId="396" fillId="59" borderId="135" xfId="0" applyFont="1" applyFill="1" applyBorder="1" applyAlignment="1" applyProtection="1">
      <alignment horizontal="center" vertical="center"/>
      <protection hidden="1"/>
    </xf>
    <xf numFmtId="0" fontId="124" fillId="0" borderId="12" xfId="0" applyFont="1" applyBorder="1" applyAlignment="1" applyProtection="1">
      <alignment horizontal="left" vertical="center" wrapText="1" indent="1"/>
      <protection locked="0"/>
    </xf>
    <xf numFmtId="0" fontId="124" fillId="0" borderId="1" xfId="0" applyFont="1" applyBorder="1" applyAlignment="1" applyProtection="1">
      <alignment horizontal="left" vertical="center" wrapText="1" indent="1"/>
      <protection locked="0"/>
    </xf>
    <xf numFmtId="0" fontId="124" fillId="0" borderId="16" xfId="0" applyFont="1" applyBorder="1" applyAlignment="1" applyProtection="1">
      <alignment horizontal="left" vertical="center" wrapText="1" indent="1"/>
      <protection locked="0"/>
    </xf>
    <xf numFmtId="0" fontId="505" fillId="0" borderId="0" xfId="0" applyFont="1" applyBorder="1" applyAlignment="1" applyProtection="1">
      <alignment horizontal="left" vertical="center" indent="1"/>
      <protection hidden="1"/>
    </xf>
    <xf numFmtId="0" fontId="0" fillId="0" borderId="0" xfId="0" applyBorder="1" applyAlignment="1">
      <alignment horizontal="left" indent="1"/>
    </xf>
    <xf numFmtId="0" fontId="34" fillId="59" borderId="136" xfId="0" applyFont="1" applyFill="1" applyBorder="1" applyAlignment="1" applyProtection="1">
      <alignment horizontal="center" vertical="center"/>
      <protection hidden="1"/>
    </xf>
    <xf numFmtId="0" fontId="34" fillId="59" borderId="137" xfId="0" applyFont="1" applyFill="1" applyBorder="1" applyAlignment="1" applyProtection="1">
      <alignment horizontal="center" vertical="center"/>
      <protection hidden="1"/>
    </xf>
    <xf numFmtId="0" fontId="34" fillId="59" borderId="135" xfId="0" applyFont="1" applyFill="1" applyBorder="1" applyAlignment="1" applyProtection="1">
      <alignment horizontal="center" vertical="center"/>
      <protection hidden="1"/>
    </xf>
    <xf numFmtId="0" fontId="292" fillId="0" borderId="0" xfId="0" applyFont="1" applyBorder="1" applyAlignment="1" applyProtection="1">
      <alignment horizontal="left" vertical="center" indent="1"/>
      <protection hidden="1"/>
    </xf>
    <xf numFmtId="0" fontId="45" fillId="0" borderId="0" xfId="32" applyFont="1" applyBorder="1" applyAlignment="1" applyProtection="1">
      <alignment horizontal="left" vertical="center"/>
      <protection locked="0"/>
    </xf>
    <xf numFmtId="0" fontId="503" fillId="0" borderId="0" xfId="0" applyFont="1" applyBorder="1" applyAlignment="1" applyProtection="1">
      <alignment horizontal="left" vertical="center" wrapText="1" indent="1"/>
      <protection hidden="1"/>
    </xf>
    <xf numFmtId="0" fontId="484" fillId="0" borderId="0" xfId="0" applyFont="1" applyBorder="1" applyAlignment="1" applyProtection="1">
      <alignment horizontal="left" vertical="center" wrapText="1" indent="1"/>
      <protection hidden="1"/>
    </xf>
    <xf numFmtId="0" fontId="503" fillId="0" borderId="0" xfId="0" applyFont="1" applyBorder="1" applyAlignment="1" applyProtection="1">
      <alignment horizontal="left" vertical="center" indent="1"/>
      <protection hidden="1"/>
    </xf>
    <xf numFmtId="0" fontId="34" fillId="59" borderId="136" xfId="0" applyFont="1" applyFill="1" applyBorder="1" applyAlignment="1" applyProtection="1">
      <alignment horizontal="left" vertical="center" indent="1"/>
      <protection locked="0"/>
    </xf>
    <xf numFmtId="0" fontId="34" fillId="59" borderId="137" xfId="0" applyFont="1" applyFill="1" applyBorder="1" applyAlignment="1" applyProtection="1">
      <alignment horizontal="left" vertical="center" indent="1"/>
      <protection locked="0"/>
    </xf>
    <xf numFmtId="0" fontId="0" fillId="59" borderId="137" xfId="0" applyFill="1" applyBorder="1" applyAlignment="1" applyProtection="1">
      <alignment horizontal="left" vertical="center" indent="1"/>
      <protection locked="0"/>
    </xf>
    <xf numFmtId="0" fontId="124" fillId="0" borderId="11" xfId="0" applyFont="1" applyBorder="1" applyAlignment="1" applyProtection="1">
      <alignment horizontal="left" vertical="center" wrapText="1" indent="1"/>
      <protection locked="0"/>
    </xf>
    <xf numFmtId="0" fontId="124" fillId="0" borderId="17" xfId="0" applyFont="1" applyBorder="1" applyAlignment="1" applyProtection="1">
      <alignment horizontal="left" vertical="center" wrapText="1" indent="1"/>
      <protection locked="0"/>
    </xf>
    <xf numFmtId="0" fontId="505" fillId="0" borderId="0" xfId="0" applyFont="1" applyBorder="1" applyAlignment="1" applyProtection="1">
      <alignment horizontal="left" vertical="center" wrapText="1" indent="1"/>
      <protection hidden="1"/>
    </xf>
    <xf numFmtId="0" fontId="292" fillId="0" borderId="0" xfId="0" applyFont="1" applyBorder="1" applyAlignment="1" applyProtection="1">
      <alignment horizontal="left" vertical="center" wrapText="1" indent="1"/>
      <protection hidden="1"/>
    </xf>
    <xf numFmtId="0" fontId="504" fillId="0" borderId="0" xfId="0" applyFont="1" applyBorder="1" applyAlignment="1" applyProtection="1">
      <alignment horizontal="left" vertical="center" indent="1"/>
      <protection locked="0"/>
    </xf>
    <xf numFmtId="0" fontId="353" fillId="0" borderId="0" xfId="0" applyFont="1" applyBorder="1" applyAlignment="1" applyProtection="1">
      <alignment horizontal="left" vertical="center" wrapText="1" indent="1"/>
      <protection hidden="1"/>
    </xf>
    <xf numFmtId="0" fontId="124" fillId="0" borderId="0" xfId="0" applyFont="1" applyBorder="1" applyAlignment="1" applyProtection="1">
      <alignment horizontal="left" indent="1"/>
      <protection locked="0"/>
    </xf>
    <xf numFmtId="0" fontId="131" fillId="0" borderId="0" xfId="35" quotePrefix="1" applyFont="1" applyBorder="1" applyAlignment="1" applyProtection="1">
      <alignment horizontal="left" vertical="center" wrapText="1"/>
      <protection hidden="1"/>
    </xf>
    <xf numFmtId="0" fontId="413" fillId="0" borderId="0" xfId="35" applyFont="1" applyAlignment="1" applyProtection="1">
      <alignment horizontal="left" vertical="center"/>
      <protection hidden="1"/>
    </xf>
    <xf numFmtId="0" fontId="0" fillId="0" borderId="0" xfId="0" applyBorder="1" applyAlignment="1">
      <alignment horizontal="right"/>
    </xf>
    <xf numFmtId="0" fontId="131" fillId="0" borderId="0" xfId="35" quotePrefix="1" applyFont="1" applyAlignment="1" applyProtection="1">
      <alignment horizontal="left" vertical="center"/>
      <protection hidden="1"/>
    </xf>
    <xf numFmtId="0" fontId="131" fillId="0" borderId="0" xfId="35" applyFont="1" applyBorder="1" applyAlignment="1" applyProtection="1">
      <alignment horizontal="left" vertical="center" indent="7"/>
      <protection hidden="1"/>
    </xf>
    <xf numFmtId="0" fontId="0" fillId="0" borderId="0" xfId="0" applyBorder="1" applyAlignment="1">
      <alignment horizontal="left" indent="7"/>
    </xf>
    <xf numFmtId="0" fontId="131" fillId="0" borderId="0" xfId="35" quotePrefix="1" applyFont="1" applyBorder="1" applyAlignment="1" applyProtection="1">
      <alignment vertical="center" wrapText="1"/>
      <protection hidden="1"/>
    </xf>
    <xf numFmtId="0" fontId="0" fillId="0" borderId="0" xfId="0" applyBorder="1" applyAlignment="1">
      <alignment horizontal="left" vertical="center" wrapText="1"/>
    </xf>
    <xf numFmtId="0" fontId="413" fillId="0" borderId="71" xfId="0" applyFont="1" applyFill="1" applyBorder="1" applyAlignment="1" applyProtection="1">
      <alignment horizontal="center" vertical="center"/>
      <protection locked="0" hidden="1"/>
    </xf>
    <xf numFmtId="0" fontId="413" fillId="0" borderId="172" xfId="0" applyFont="1" applyFill="1" applyBorder="1" applyAlignment="1" applyProtection="1">
      <alignment horizontal="center" vertical="center"/>
      <protection locked="0" hidden="1"/>
    </xf>
    <xf numFmtId="0" fontId="131" fillId="0" borderId="167" xfId="35" quotePrefix="1" applyFont="1" applyBorder="1" applyAlignment="1" applyProtection="1">
      <alignment horizontal="center" vertical="center"/>
      <protection hidden="1"/>
    </xf>
    <xf numFmtId="0" fontId="131" fillId="0" borderId="245" xfId="35" quotePrefix="1" applyFont="1" applyBorder="1" applyAlignment="1" applyProtection="1">
      <alignment horizontal="center" vertical="center"/>
      <protection hidden="1"/>
    </xf>
    <xf numFmtId="0" fontId="15" fillId="0" borderId="0" xfId="35" applyFont="1" applyBorder="1" applyAlignment="1" applyProtection="1">
      <alignment horizontal="left" vertical="center"/>
      <protection hidden="1"/>
    </xf>
    <xf numFmtId="0" fontId="147" fillId="0" borderId="0" xfId="0" applyFont="1" applyBorder="1" applyAlignment="1">
      <alignment horizontal="right"/>
    </xf>
    <xf numFmtId="0" fontId="102" fillId="0" borderId="296" xfId="0" applyFont="1" applyBorder="1" applyAlignment="1" applyProtection="1">
      <alignment horizontal="right" vertical="center" indent="1"/>
      <protection hidden="1"/>
    </xf>
    <xf numFmtId="0" fontId="102" fillId="0" borderId="29" xfId="0" applyFont="1" applyBorder="1" applyAlignment="1" applyProtection="1">
      <alignment horizontal="right" vertical="center" indent="1"/>
      <protection hidden="1"/>
    </xf>
    <xf numFmtId="0" fontId="22" fillId="0" borderId="337" xfId="0" applyFont="1" applyBorder="1" applyAlignment="1" applyProtection="1">
      <alignment horizontal="left" vertical="center" indent="1"/>
      <protection locked="0"/>
    </xf>
    <xf numFmtId="0" fontId="0" fillId="0" borderId="338" xfId="0" applyBorder="1" applyAlignment="1">
      <alignment horizontal="left" indent="1"/>
    </xf>
    <xf numFmtId="0" fontId="0" fillId="0" borderId="339" xfId="0" applyBorder="1" applyAlignment="1">
      <alignment horizontal="left" indent="1"/>
    </xf>
    <xf numFmtId="0" fontId="22" fillId="0" borderId="337" xfId="0" applyFont="1" applyBorder="1" applyAlignment="1" applyProtection="1">
      <alignment horizontal="left" vertical="center" indent="1"/>
      <protection locked="0" hidden="1"/>
    </xf>
    <xf numFmtId="0" fontId="0" fillId="0" borderId="339" xfId="0" applyBorder="1" applyAlignment="1">
      <alignment horizontal="left" vertical="center" indent="1"/>
    </xf>
    <xf numFmtId="0" fontId="102" fillId="0" borderId="296" xfId="0" applyFont="1" applyBorder="1" applyAlignment="1" applyProtection="1">
      <alignment horizontal="right" vertical="center" indent="1"/>
      <protection locked="0"/>
    </xf>
    <xf numFmtId="0" fontId="102" fillId="0" borderId="29" xfId="0" applyFont="1" applyBorder="1" applyAlignment="1" applyProtection="1">
      <alignment horizontal="right" vertical="center" indent="1"/>
      <protection locked="0"/>
    </xf>
    <xf numFmtId="0" fontId="15" fillId="0" borderId="0" xfId="0" applyFont="1" applyBorder="1" applyAlignment="1" applyProtection="1">
      <alignment horizontal="left" vertical="center" indent="7"/>
      <protection hidden="1"/>
    </xf>
    <xf numFmtId="0" fontId="147" fillId="0" borderId="0" xfId="0" applyFont="1" applyBorder="1" applyAlignment="1">
      <alignment horizontal="left" indent="7"/>
    </xf>
    <xf numFmtId="0" fontId="401" fillId="59" borderId="136" xfId="0" applyFont="1" applyFill="1" applyBorder="1" applyAlignment="1" applyProtection="1">
      <alignment horizontal="center" vertical="center"/>
      <protection hidden="1"/>
    </xf>
    <xf numFmtId="0" fontId="401" fillId="59" borderId="137" xfId="0" applyFont="1" applyFill="1" applyBorder="1" applyAlignment="1" applyProtection="1">
      <alignment horizontal="center" vertical="center"/>
      <protection hidden="1"/>
    </xf>
    <xf numFmtId="0" fontId="401" fillId="59" borderId="135" xfId="0" applyFont="1" applyFill="1" applyBorder="1" applyAlignment="1" applyProtection="1">
      <alignment horizontal="center" vertical="center"/>
      <protection hidden="1"/>
    </xf>
    <xf numFmtId="0" fontId="151" fillId="0" borderId="0" xfId="0" applyFont="1" applyBorder="1" applyAlignment="1" applyProtection="1">
      <alignment horizontal="left" vertical="center" wrapText="1" indent="1"/>
      <protection locked="0"/>
    </xf>
    <xf numFmtId="0" fontId="131" fillId="0" borderId="185" xfId="0" applyFont="1" applyBorder="1" applyAlignment="1" applyProtection="1">
      <alignment horizontal="left" vertical="center" indent="1"/>
      <protection hidden="1"/>
    </xf>
    <xf numFmtId="0" fontId="131" fillId="0" borderId="90" xfId="0" applyFont="1" applyBorder="1" applyAlignment="1" applyProtection="1">
      <alignment horizontal="left" vertical="center" indent="1"/>
      <protection hidden="1"/>
    </xf>
    <xf numFmtId="0" fontId="15" fillId="0" borderId="0" xfId="0" applyFont="1" applyBorder="1" applyAlignment="1" applyProtection="1">
      <alignment vertical="center"/>
      <protection hidden="1"/>
    </xf>
    <xf numFmtId="0" fontId="135" fillId="0" borderId="209" xfId="0" applyFont="1" applyBorder="1" applyAlignment="1" applyProtection="1">
      <alignment horizontal="left" vertical="center" indent="1"/>
      <protection locked="0"/>
    </xf>
    <xf numFmtId="0" fontId="0" fillId="0" borderId="447" xfId="0" applyBorder="1" applyAlignment="1">
      <alignment horizontal="left" vertical="center" indent="1"/>
    </xf>
    <xf numFmtId="0" fontId="178" fillId="0" borderId="22" xfId="0" applyFont="1" applyBorder="1" applyAlignment="1" applyProtection="1">
      <alignment horizontal="left" indent="1"/>
      <protection locked="0"/>
    </xf>
    <xf numFmtId="0" fontId="178" fillId="0" borderId="27" xfId="0" applyFont="1" applyBorder="1" applyAlignment="1" applyProtection="1">
      <alignment horizontal="left" indent="1"/>
      <protection locked="0"/>
    </xf>
    <xf numFmtId="0" fontId="178" fillId="0" borderId="28" xfId="0" applyFont="1" applyBorder="1" applyAlignment="1" applyProtection="1">
      <alignment horizontal="left" indent="1"/>
      <protection locked="0"/>
    </xf>
    <xf numFmtId="0" fontId="55" fillId="0" borderId="22" xfId="0" applyFont="1" applyBorder="1" applyAlignment="1" applyProtection="1">
      <alignment horizontal="left" vertical="center" indent="1"/>
      <protection locked="0"/>
    </xf>
    <xf numFmtId="0" fontId="55" fillId="0" borderId="27" xfId="0" applyFont="1" applyBorder="1" applyAlignment="1" applyProtection="1">
      <alignment horizontal="left" vertical="center" indent="1"/>
      <protection locked="0"/>
    </xf>
    <xf numFmtId="0" fontId="55" fillId="0" borderId="28" xfId="0" applyFont="1" applyBorder="1" applyAlignment="1" applyProtection="1">
      <alignment horizontal="left" vertical="center" indent="1"/>
      <protection locked="0"/>
    </xf>
    <xf numFmtId="0" fontId="131" fillId="0" borderId="203" xfId="0" applyFont="1" applyBorder="1" applyAlignment="1" applyProtection="1">
      <alignment horizontal="left" vertical="center" indent="1"/>
      <protection hidden="1"/>
    </xf>
    <xf numFmtId="0" fontId="102" fillId="0" borderId="22" xfId="0" applyFont="1" applyBorder="1" applyAlignment="1" applyProtection="1">
      <alignment horizontal="left" vertical="center" indent="1"/>
      <protection locked="0" hidden="1"/>
    </xf>
    <xf numFmtId="0" fontId="103" fillId="0" borderId="27" xfId="0" applyFont="1" applyBorder="1" applyAlignment="1" applyProtection="1">
      <alignment horizontal="left" vertical="center" indent="1"/>
      <protection locked="0" hidden="1"/>
    </xf>
    <xf numFmtId="0" fontId="103" fillId="0" borderId="28" xfId="0" applyFont="1" applyBorder="1" applyAlignment="1" applyProtection="1">
      <alignment horizontal="left" vertical="center" indent="1"/>
      <protection locked="0" hidden="1"/>
    </xf>
    <xf numFmtId="0" fontId="124" fillId="0" borderId="22" xfId="0" applyFont="1" applyBorder="1" applyAlignment="1" applyProtection="1">
      <alignment horizontal="left" vertical="center" indent="1"/>
      <protection locked="0"/>
    </xf>
    <xf numFmtId="0" fontId="151" fillId="0" borderId="27" xfId="0" applyFont="1" applyBorder="1" applyAlignment="1" applyProtection="1">
      <alignment horizontal="left" vertical="center" indent="1"/>
      <protection locked="0"/>
    </xf>
    <xf numFmtId="0" fontId="151" fillId="0" borderId="28" xfId="0" applyFont="1" applyBorder="1" applyAlignment="1" applyProtection="1">
      <alignment horizontal="left" vertical="center" indent="1"/>
      <protection locked="0"/>
    </xf>
    <xf numFmtId="0" fontId="103" fillId="0" borderId="27" xfId="0" applyFont="1" applyBorder="1" applyAlignment="1" applyProtection="1">
      <alignment horizontal="left" vertical="center" indent="1"/>
      <protection locked="0"/>
    </xf>
    <xf numFmtId="0" fontId="103" fillId="0" borderId="28" xfId="0" applyFont="1" applyBorder="1" applyAlignment="1" applyProtection="1">
      <alignment horizontal="left" vertical="center" indent="1"/>
      <protection locked="0"/>
    </xf>
    <xf numFmtId="0" fontId="51" fillId="0" borderId="0" xfId="0" applyFont="1" applyBorder="1" applyAlignment="1" applyProtection="1">
      <alignment horizontal="right"/>
      <protection locked="0"/>
    </xf>
    <xf numFmtId="0" fontId="0" fillId="0" borderId="0" xfId="0" applyBorder="1" applyAlignment="1" applyProtection="1">
      <alignment vertical="center"/>
      <protection hidden="1"/>
    </xf>
    <xf numFmtId="0" fontId="131" fillId="0" borderId="0" xfId="35" applyFont="1" applyBorder="1" applyAlignment="1" applyProtection="1">
      <alignment horizontal="left" vertical="center" wrapText="1" indent="7"/>
      <protection hidden="1"/>
    </xf>
    <xf numFmtId="0" fontId="0" fillId="0" borderId="0" xfId="0" applyBorder="1" applyAlignment="1">
      <alignment horizontal="left" vertical="center" wrapText="1" indent="7"/>
    </xf>
    <xf numFmtId="0" fontId="131" fillId="0" borderId="0" xfId="35" applyFont="1" applyAlignment="1" applyProtection="1">
      <alignment horizontal="left" vertical="center" wrapText="1" indent="7"/>
      <protection hidden="1"/>
    </xf>
    <xf numFmtId="0" fontId="361" fillId="71" borderId="166" xfId="0" applyFont="1" applyFill="1" applyBorder="1" applyAlignment="1" applyProtection="1">
      <alignment horizontal="center" vertical="center"/>
      <protection locked="0" hidden="1"/>
    </xf>
    <xf numFmtId="0" fontId="0" fillId="71" borderId="413" xfId="0" applyFill="1" applyBorder="1" applyAlignment="1">
      <alignment horizontal="right" vertical="center"/>
    </xf>
    <xf numFmtId="0" fontId="0" fillId="71" borderId="412" xfId="0" applyFill="1" applyBorder="1" applyAlignment="1">
      <alignment horizontal="right" vertical="center"/>
    </xf>
    <xf numFmtId="0" fontId="434" fillId="0" borderId="0" xfId="0" applyFont="1" applyFill="1" applyBorder="1" applyAlignment="1" applyProtection="1">
      <alignment vertical="top"/>
      <protection hidden="1"/>
    </xf>
    <xf numFmtId="0" fontId="0" fillId="0" borderId="0" xfId="0" applyBorder="1" applyAlignment="1">
      <alignment horizontal="right" vertical="top"/>
    </xf>
    <xf numFmtId="0" fontId="102" fillId="0" borderId="0" xfId="0" applyFont="1" applyBorder="1" applyAlignment="1" applyProtection="1">
      <alignment horizontal="left" vertical="center"/>
      <protection hidden="1"/>
    </xf>
    <xf numFmtId="0" fontId="0" fillId="0" borderId="29" xfId="0" applyBorder="1" applyAlignment="1">
      <alignment horizontal="right"/>
    </xf>
    <xf numFmtId="0" fontId="34" fillId="59" borderId="136" xfId="0" applyFont="1" applyFill="1" applyBorder="1" applyAlignment="1" applyProtection="1">
      <alignment horizontal="center" vertical="center"/>
      <protection locked="0"/>
    </xf>
    <xf numFmtId="0" fontId="34" fillId="59" borderId="137" xfId="0" applyFont="1" applyFill="1" applyBorder="1" applyAlignment="1" applyProtection="1">
      <alignment horizontal="center" vertical="center"/>
      <protection locked="0"/>
    </xf>
    <xf numFmtId="0" fontId="34" fillId="59" borderId="135" xfId="0" applyFont="1" applyFill="1" applyBorder="1" applyAlignment="1" applyProtection="1">
      <alignment horizontal="center" vertical="center"/>
      <protection locked="0"/>
    </xf>
    <xf numFmtId="0" fontId="401" fillId="59" borderId="136" xfId="0" applyFont="1" applyFill="1" applyBorder="1" applyAlignment="1" applyProtection="1">
      <alignment horizontal="left" vertical="center" indent="1"/>
      <protection hidden="1"/>
    </xf>
    <xf numFmtId="0" fontId="401" fillId="59" borderId="137" xfId="0" applyFont="1" applyFill="1" applyBorder="1" applyAlignment="1" applyProtection="1">
      <alignment horizontal="left" vertical="center" indent="1"/>
      <protection hidden="1"/>
    </xf>
    <xf numFmtId="0" fontId="401" fillId="59" borderId="135" xfId="0" applyFont="1" applyFill="1" applyBorder="1" applyAlignment="1" applyProtection="1">
      <alignment horizontal="left" vertical="center" indent="1"/>
      <protection hidden="1"/>
    </xf>
    <xf numFmtId="14" fontId="102" fillId="0" borderId="0" xfId="0" applyNumberFormat="1" applyFont="1" applyBorder="1" applyAlignment="1" applyProtection="1">
      <alignment horizontal="left" vertical="center" wrapText="1" indent="1"/>
      <protection hidden="1"/>
    </xf>
    <xf numFmtId="0" fontId="103" fillId="0" borderId="29" xfId="0" applyFont="1" applyBorder="1" applyAlignment="1" applyProtection="1">
      <alignment horizontal="left" vertical="center" wrapText="1" indent="1"/>
      <protection hidden="1"/>
    </xf>
    <xf numFmtId="0" fontId="102" fillId="0" borderId="22" xfId="0" applyFont="1" applyBorder="1" applyAlignment="1" applyProtection="1">
      <alignment horizontal="center" vertical="center"/>
      <protection locked="0"/>
    </xf>
    <xf numFmtId="0" fontId="103" fillId="0" borderId="27" xfId="0" applyFont="1" applyBorder="1" applyAlignment="1">
      <alignment horizontal="center" vertical="center"/>
    </xf>
    <xf numFmtId="0" fontId="103" fillId="0" borderId="28" xfId="0" applyFont="1" applyBorder="1" applyAlignment="1">
      <alignment horizontal="center" vertical="center"/>
    </xf>
    <xf numFmtId="0" fontId="102" fillId="0" borderId="22" xfId="0" applyFont="1" applyBorder="1" applyAlignment="1" applyProtection="1">
      <alignment horizontal="left" vertical="center" indent="1"/>
      <protection locked="0"/>
    </xf>
    <xf numFmtId="0" fontId="103" fillId="0" borderId="27" xfId="0" applyFont="1" applyBorder="1" applyAlignment="1">
      <alignment horizontal="left" vertical="center" indent="1"/>
    </xf>
    <xf numFmtId="0" fontId="103" fillId="0" borderId="28" xfId="0" applyFont="1" applyBorder="1" applyAlignment="1">
      <alignment horizontal="left" vertical="center" indent="1"/>
    </xf>
    <xf numFmtId="49" fontId="22" fillId="0" borderId="22" xfId="0" applyNumberFormat="1" applyFont="1" applyBorder="1" applyAlignment="1" applyProtection="1">
      <alignment horizontal="center" vertical="center"/>
      <protection locked="0"/>
    </xf>
    <xf numFmtId="49" fontId="103" fillId="0" borderId="27" xfId="0" applyNumberFormat="1" applyFont="1" applyBorder="1" applyAlignment="1" applyProtection="1">
      <alignment horizontal="center" vertical="center"/>
      <protection locked="0"/>
    </xf>
    <xf numFmtId="49" fontId="103" fillId="0" borderId="28" xfId="0" applyNumberFormat="1" applyFont="1" applyBorder="1" applyAlignment="1" applyProtection="1">
      <alignment horizontal="center" vertical="center"/>
      <protection locked="0"/>
    </xf>
    <xf numFmtId="14" fontId="102" fillId="0" borderId="0" xfId="0" applyNumberFormat="1" applyFont="1" applyFill="1" applyBorder="1" applyAlignment="1" applyProtection="1">
      <alignment horizontal="right" vertical="center" wrapText="1" indent="1"/>
      <protection hidden="1"/>
    </xf>
    <xf numFmtId="0" fontId="103" fillId="0" borderId="29" xfId="0" applyFont="1" applyFill="1" applyBorder="1" applyAlignment="1" applyProtection="1">
      <alignment horizontal="right" vertical="center" wrapText="1" indent="1"/>
      <protection hidden="1"/>
    </xf>
    <xf numFmtId="0" fontId="401" fillId="59" borderId="0" xfId="0" applyFont="1" applyFill="1" applyBorder="1" applyAlignment="1" applyProtection="1">
      <alignment horizontal="center" vertical="center"/>
      <protection hidden="1"/>
    </xf>
    <xf numFmtId="0" fontId="226" fillId="47" borderId="137" xfId="0" applyFont="1" applyFill="1" applyBorder="1" applyAlignment="1" applyProtection="1">
      <alignment horizontal="center" vertical="center"/>
      <protection hidden="1"/>
    </xf>
    <xf numFmtId="0" fontId="226" fillId="47" borderId="405" xfId="0" applyFont="1" applyFill="1" applyBorder="1" applyAlignment="1" applyProtection="1">
      <alignment horizontal="center" vertical="center"/>
      <protection hidden="1"/>
    </xf>
    <xf numFmtId="14" fontId="102" fillId="0" borderId="21" xfId="0" applyNumberFormat="1" applyFont="1" applyBorder="1" applyAlignment="1" applyProtection="1">
      <alignment horizontal="right" vertical="center" indent="1"/>
      <protection hidden="1"/>
    </xf>
    <xf numFmtId="0" fontId="103" fillId="0" borderId="0" xfId="0" applyFont="1" applyBorder="1" applyAlignment="1" applyProtection="1">
      <alignment horizontal="right" vertical="center" indent="1"/>
      <protection hidden="1"/>
    </xf>
    <xf numFmtId="0" fontId="103" fillId="0" borderId="29" xfId="0" applyFont="1" applyBorder="1" applyAlignment="1" applyProtection="1">
      <alignment horizontal="right" vertical="center" indent="1"/>
      <protection hidden="1"/>
    </xf>
    <xf numFmtId="0" fontId="102" fillId="0" borderId="0" xfId="0" applyFont="1" applyBorder="1" applyAlignment="1" applyProtection="1">
      <alignment horizontal="left" vertical="center" wrapText="1" indent="1"/>
      <protection hidden="1"/>
    </xf>
    <xf numFmtId="0" fontId="102" fillId="0" borderId="29" xfId="0" applyFont="1" applyBorder="1" applyAlignment="1" applyProtection="1">
      <alignment horizontal="left" vertical="center" wrapText="1" indent="1"/>
      <protection hidden="1"/>
    </xf>
    <xf numFmtId="0" fontId="102" fillId="0" borderId="0" xfId="0" applyFont="1" applyBorder="1" applyAlignment="1" applyProtection="1">
      <alignment horizontal="left" vertical="center" wrapText="1" indent="7"/>
      <protection hidden="1"/>
    </xf>
    <xf numFmtId="0" fontId="103" fillId="0" borderId="0" xfId="0" applyFont="1" applyBorder="1" applyAlignment="1" applyProtection="1">
      <alignment horizontal="left" vertical="center" wrapText="1" indent="7"/>
      <protection hidden="1"/>
    </xf>
    <xf numFmtId="0" fontId="103" fillId="0" borderId="29" xfId="0" applyFont="1" applyBorder="1" applyAlignment="1" applyProtection="1">
      <alignment horizontal="left" vertical="center" indent="7"/>
      <protection hidden="1"/>
    </xf>
    <xf numFmtId="0" fontId="226" fillId="47" borderId="136" xfId="0" applyFont="1" applyFill="1" applyBorder="1" applyAlignment="1" applyProtection="1">
      <alignment horizontal="center" vertical="center"/>
      <protection hidden="1"/>
    </xf>
    <xf numFmtId="0" fontId="147" fillId="0" borderId="0" xfId="0" applyFont="1" applyBorder="1" applyAlignment="1">
      <alignment vertical="center"/>
    </xf>
    <xf numFmtId="0" fontId="15" fillId="0" borderId="0" xfId="0" applyFont="1" applyBorder="1" applyAlignment="1" applyProtection="1">
      <alignment horizontal="left" vertical="center"/>
      <protection hidden="1"/>
    </xf>
    <xf numFmtId="0" fontId="0" fillId="0" borderId="0" xfId="0" applyBorder="1" applyAlignment="1" applyProtection="1">
      <alignment horizontal="right" vertical="center"/>
    </xf>
    <xf numFmtId="0" fontId="0" fillId="0" borderId="0" xfId="0" applyBorder="1" applyAlignment="1" applyProtection="1">
      <alignment horizontal="right"/>
    </xf>
    <xf numFmtId="0" fontId="131" fillId="0" borderId="224" xfId="0" applyFont="1" applyBorder="1" applyAlignment="1" applyProtection="1">
      <alignment horizontal="left" vertical="center" indent="1"/>
      <protection hidden="1"/>
    </xf>
    <xf numFmtId="0" fontId="131" fillId="0" borderId="0" xfId="0" applyFont="1" applyBorder="1" applyAlignment="1" applyProtection="1">
      <alignment horizontal="left" vertical="center" indent="1"/>
      <protection hidden="1"/>
    </xf>
    <xf numFmtId="0" fontId="131" fillId="0" borderId="72" xfId="0" applyFont="1" applyBorder="1" applyAlignment="1" applyProtection="1">
      <alignment horizontal="left" vertical="center" indent="1"/>
      <protection hidden="1"/>
    </xf>
    <xf numFmtId="0" fontId="131" fillId="0" borderId="160" xfId="0" applyFont="1" applyBorder="1" applyAlignment="1" applyProtection="1">
      <alignment horizontal="left" vertical="center" indent="1"/>
      <protection hidden="1"/>
    </xf>
    <xf numFmtId="0" fontId="15" fillId="0" borderId="0" xfId="0" applyFont="1" applyBorder="1" applyAlignment="1" applyProtection="1">
      <alignment wrapText="1"/>
      <protection hidden="1"/>
    </xf>
    <xf numFmtId="0" fontId="0" fillId="0" borderId="0" xfId="0" applyBorder="1" applyAlignment="1"/>
    <xf numFmtId="0" fontId="0" fillId="0" borderId="1" xfId="0" applyAlignment="1"/>
    <xf numFmtId="0" fontId="15" fillId="0" borderId="0" xfId="0" applyFont="1" applyBorder="1" applyAlignment="1" applyProtection="1">
      <alignment vertical="top"/>
      <protection hidden="1"/>
    </xf>
    <xf numFmtId="0" fontId="0" fillId="0" borderId="1" xfId="0" applyAlignment="1">
      <alignment horizontal="right" vertical="top"/>
    </xf>
    <xf numFmtId="0" fontId="433" fillId="0" borderId="0" xfId="0" applyFont="1" applyBorder="1" applyAlignment="1" applyProtection="1">
      <alignment horizontal="right"/>
      <protection locked="0"/>
    </xf>
    <xf numFmtId="171" fontId="22" fillId="0" borderId="462" xfId="0" applyNumberFormat="1" applyFont="1" applyBorder="1" applyAlignment="1" applyProtection="1">
      <alignment horizontal="center" vertical="center"/>
      <protection locked="0" hidden="1"/>
    </xf>
    <xf numFmtId="171" fontId="22" fillId="0" borderId="463" xfId="0" applyNumberFormat="1" applyFont="1" applyBorder="1" applyAlignment="1" applyProtection="1">
      <alignment horizontal="center" vertical="center"/>
      <protection locked="0" hidden="1"/>
    </xf>
    <xf numFmtId="171" fontId="22" fillId="0" borderId="464" xfId="0" applyNumberFormat="1" applyFont="1" applyBorder="1" applyAlignment="1" applyProtection="1">
      <alignment horizontal="center" vertical="center"/>
      <protection locked="0" hidden="1"/>
    </xf>
    <xf numFmtId="171" fontId="22" fillId="53" borderId="22" xfId="0" applyNumberFormat="1" applyFont="1" applyFill="1" applyBorder="1" applyAlignment="1" applyProtection="1">
      <alignment horizontal="center" vertical="center"/>
      <protection locked="0" hidden="1"/>
    </xf>
    <xf numFmtId="171" fontId="22" fillId="53" borderId="28" xfId="0" applyNumberFormat="1" applyFont="1" applyFill="1" applyBorder="1" applyAlignment="1" applyProtection="1">
      <alignment horizontal="center" vertical="center"/>
      <protection locked="0" hidden="1"/>
    </xf>
    <xf numFmtId="14" fontId="102" fillId="0" borderId="0" xfId="0" applyNumberFormat="1" applyFont="1" applyBorder="1" applyAlignment="1" applyProtection="1">
      <alignment horizontal="left" vertical="center" wrapText="1" indent="1"/>
      <protection locked="0" hidden="1"/>
    </xf>
    <xf numFmtId="0" fontId="103" fillId="0" borderId="29" xfId="0" applyFont="1" applyBorder="1" applyAlignment="1" applyProtection="1">
      <alignment horizontal="left" vertical="center" wrapText="1" indent="1"/>
      <protection locked="0" hidden="1"/>
    </xf>
    <xf numFmtId="0" fontId="102" fillId="0" borderId="0" xfId="0" applyFont="1" applyBorder="1" applyAlignment="1" applyProtection="1">
      <alignment horizontal="right" vertical="center" indent="1"/>
      <protection hidden="1"/>
    </xf>
    <xf numFmtId="0" fontId="0" fillId="0" borderId="0" xfId="0" applyBorder="1" applyAlignment="1" applyProtection="1">
      <alignment horizontal="right" vertical="center" indent="1"/>
      <protection hidden="1"/>
    </xf>
    <xf numFmtId="0" fontId="0" fillId="0" borderId="29" xfId="0" applyBorder="1" applyAlignment="1" applyProtection="1">
      <alignment horizontal="right" vertical="center" indent="1"/>
      <protection hidden="1"/>
    </xf>
    <xf numFmtId="213" fontId="102" fillId="0" borderId="22" xfId="0" applyNumberFormat="1" applyFont="1" applyBorder="1" applyAlignment="1" applyProtection="1">
      <alignment horizontal="center" vertical="center"/>
      <protection locked="0"/>
    </xf>
    <xf numFmtId="213" fontId="103" fillId="0" borderId="28" xfId="0" applyNumberFormat="1" applyFont="1" applyBorder="1" applyProtection="1">
      <alignment horizontal="right"/>
      <protection locked="0"/>
    </xf>
    <xf numFmtId="0" fontId="102" fillId="0" borderId="0" xfId="0" applyFont="1" applyBorder="1" applyAlignment="1" applyProtection="1">
      <alignment horizontal="right" vertical="center"/>
      <protection hidden="1"/>
    </xf>
    <xf numFmtId="0" fontId="140" fillId="0" borderId="0" xfId="0" applyFont="1" applyBorder="1" applyAlignment="1" applyProtection="1">
      <alignment horizontal="right" vertical="center"/>
      <protection hidden="1"/>
    </xf>
    <xf numFmtId="0" fontId="140" fillId="0" borderId="29" xfId="0" applyFont="1" applyBorder="1" applyAlignment="1" applyProtection="1">
      <alignment horizontal="right" vertical="center"/>
      <protection hidden="1"/>
    </xf>
    <xf numFmtId="0" fontId="102" fillId="53" borderId="301" xfId="0" applyFont="1" applyFill="1" applyBorder="1" applyAlignment="1" applyProtection="1">
      <alignment horizontal="left" vertical="center" wrapText="1" indent="1"/>
      <protection locked="0"/>
    </xf>
    <xf numFmtId="0" fontId="102" fillId="53" borderId="302" xfId="0" applyFont="1" applyFill="1" applyBorder="1" applyAlignment="1" applyProtection="1">
      <alignment horizontal="left" vertical="center" wrapText="1" indent="1"/>
      <protection locked="0"/>
    </xf>
    <xf numFmtId="0" fontId="103" fillId="53" borderId="303" xfId="0" applyFont="1" applyFill="1" applyBorder="1" applyAlignment="1" applyProtection="1">
      <alignment horizontal="left" vertical="center" wrapText="1" indent="1"/>
      <protection locked="0"/>
    </xf>
    <xf numFmtId="0" fontId="103" fillId="0" borderId="296" xfId="0" applyFont="1" applyBorder="1" applyAlignment="1">
      <alignment horizontal="left" vertical="center" wrapText="1" indent="1"/>
    </xf>
    <xf numFmtId="0" fontId="103" fillId="0" borderId="0" xfId="0" applyFont="1" applyBorder="1" applyAlignment="1">
      <alignment horizontal="left" vertical="center" wrapText="1" indent="1"/>
    </xf>
    <xf numFmtId="0" fontId="103" fillId="0" borderId="29" xfId="0" applyFont="1" applyBorder="1" applyAlignment="1">
      <alignment horizontal="left" vertical="center" wrapText="1" indent="1"/>
    </xf>
    <xf numFmtId="0" fontId="103" fillId="0" borderId="304" xfId="0" applyFont="1" applyBorder="1" applyAlignment="1">
      <alignment horizontal="left" vertical="center" wrapText="1" indent="1"/>
    </xf>
    <xf numFmtId="0" fontId="103" fillId="0" borderId="305" xfId="0" applyFont="1" applyBorder="1" applyAlignment="1">
      <alignment horizontal="left" vertical="center" wrapText="1" indent="1"/>
    </xf>
    <xf numFmtId="0" fontId="103" fillId="0" borderId="306" xfId="0" applyFont="1" applyBorder="1" applyAlignment="1">
      <alignment horizontal="left" vertical="center" wrapText="1" indent="1"/>
    </xf>
    <xf numFmtId="0" fontId="102" fillId="0" borderId="301" xfId="0" applyFont="1" applyBorder="1" applyAlignment="1" applyProtection="1">
      <alignment horizontal="left" vertical="center" wrapText="1" indent="1"/>
      <protection locked="0"/>
    </xf>
    <xf numFmtId="0" fontId="102" fillId="0" borderId="302" xfId="0" applyFont="1" applyBorder="1" applyAlignment="1" applyProtection="1">
      <alignment horizontal="left" vertical="center" wrapText="1" indent="1"/>
      <protection locked="0"/>
    </xf>
    <xf numFmtId="0" fontId="102" fillId="0" borderId="303" xfId="0" applyFont="1" applyBorder="1" applyAlignment="1" applyProtection="1">
      <alignment horizontal="left" vertical="center" wrapText="1" indent="1"/>
      <protection locked="0"/>
    </xf>
    <xf numFmtId="0" fontId="102" fillId="0" borderId="296" xfId="0" applyFont="1" applyBorder="1" applyAlignment="1">
      <alignment horizontal="left" vertical="center" wrapText="1" indent="1"/>
    </xf>
    <xf numFmtId="0" fontId="102" fillId="0" borderId="0" xfId="0" applyFont="1" applyBorder="1" applyAlignment="1">
      <alignment horizontal="left" vertical="center" wrapText="1" indent="1"/>
    </xf>
    <xf numFmtId="0" fontId="102" fillId="0" borderId="29" xfId="0" applyFont="1" applyBorder="1" applyAlignment="1">
      <alignment horizontal="left" vertical="center" wrapText="1" indent="1"/>
    </xf>
    <xf numFmtId="0" fontId="102" fillId="0" borderId="304" xfId="0" applyFont="1" applyBorder="1" applyAlignment="1">
      <alignment horizontal="left" vertical="center" wrapText="1" indent="1"/>
    </xf>
    <xf numFmtId="0" fontId="102" fillId="0" borderId="305" xfId="0" applyFont="1" applyBorder="1" applyAlignment="1">
      <alignment horizontal="left" vertical="center" wrapText="1" indent="1"/>
    </xf>
    <xf numFmtId="0" fontId="102" fillId="0" borderId="306" xfId="0" applyFont="1" applyBorder="1" applyAlignment="1">
      <alignment horizontal="left" vertical="center" wrapText="1" indent="1"/>
    </xf>
    <xf numFmtId="14" fontId="102" fillId="0" borderId="22" xfId="0" applyNumberFormat="1" applyFont="1" applyBorder="1" applyAlignment="1" applyProtection="1">
      <alignment horizontal="center" vertical="center"/>
      <protection locked="0"/>
    </xf>
    <xf numFmtId="14" fontId="103" fillId="0" borderId="28" xfId="0" applyNumberFormat="1" applyFont="1" applyBorder="1" applyAlignment="1" applyProtection="1">
      <alignment horizontal="center" vertical="center"/>
      <protection locked="0"/>
    </xf>
    <xf numFmtId="171" fontId="102" fillId="0" borderId="22" xfId="0" applyNumberFormat="1" applyFont="1" applyBorder="1" applyAlignment="1" applyProtection="1">
      <alignment horizontal="center" vertical="center"/>
      <protection locked="0"/>
    </xf>
    <xf numFmtId="0" fontId="103" fillId="0" borderId="28" xfId="0" applyFont="1" applyBorder="1" applyProtection="1">
      <alignment horizontal="right"/>
      <protection locked="0"/>
    </xf>
    <xf numFmtId="0" fontId="102" fillId="0" borderId="343" xfId="0" applyFont="1" applyBorder="1" applyAlignment="1" applyProtection="1">
      <alignment horizontal="left" vertical="center" indent="3"/>
      <protection hidden="1"/>
    </xf>
    <xf numFmtId="0" fontId="0" fillId="0" borderId="0" xfId="0" applyBorder="1" applyAlignment="1">
      <alignment horizontal="left" indent="3"/>
    </xf>
    <xf numFmtId="0" fontId="0" fillId="0" borderId="29" xfId="0" applyBorder="1" applyAlignment="1">
      <alignment horizontal="left" indent="3"/>
    </xf>
    <xf numFmtId="0" fontId="102" fillId="0" borderId="0" xfId="0" applyFont="1" applyBorder="1" applyAlignment="1" applyProtection="1">
      <alignment horizontal="left" vertical="center" indent="5"/>
      <protection hidden="1"/>
    </xf>
    <xf numFmtId="0" fontId="102" fillId="0" borderId="343" xfId="0" applyFont="1" applyBorder="1" applyAlignment="1" applyProtection="1">
      <alignment horizontal="left" vertical="center" indent="5"/>
      <protection hidden="1"/>
    </xf>
    <xf numFmtId="0" fontId="0" fillId="0" borderId="0" xfId="0" applyBorder="1" applyAlignment="1">
      <alignment horizontal="left" indent="5"/>
    </xf>
    <xf numFmtId="0" fontId="0" fillId="0" borderId="137" xfId="0" applyBorder="1" applyAlignment="1">
      <alignment horizontal="left" vertical="center" indent="1"/>
    </xf>
    <xf numFmtId="0" fontId="0" fillId="0" borderId="135" xfId="0" applyBorder="1" applyAlignment="1">
      <alignment horizontal="left" vertical="center" indent="1"/>
    </xf>
    <xf numFmtId="0" fontId="102" fillId="0" borderId="337" xfId="0" applyFont="1" applyBorder="1" applyAlignment="1" applyProtection="1">
      <alignment horizontal="left" vertical="center" indent="1"/>
      <protection locked="0"/>
    </xf>
    <xf numFmtId="0" fontId="0" fillId="0" borderId="338" xfId="0" applyBorder="1" applyAlignment="1">
      <alignment horizontal="left" vertical="center" indent="1"/>
    </xf>
    <xf numFmtId="0" fontId="102" fillId="0" borderId="29" xfId="0" applyFont="1" applyBorder="1" applyAlignment="1" applyProtection="1">
      <alignment vertical="center" wrapText="1"/>
      <protection locked="0"/>
    </xf>
    <xf numFmtId="14" fontId="22" fillId="0" borderId="311" xfId="0" applyNumberFormat="1" applyFont="1" applyBorder="1" applyAlignment="1" applyProtection="1">
      <alignment horizontal="left" vertical="center" wrapText="1" indent="1"/>
      <protection locked="0"/>
    </xf>
    <xf numFmtId="0" fontId="0" fillId="0" borderId="340" xfId="0" applyBorder="1" applyAlignment="1">
      <alignment horizontal="left" vertical="center" wrapText="1" indent="1"/>
    </xf>
    <xf numFmtId="0" fontId="0" fillId="0" borderId="312" xfId="0" applyBorder="1" applyAlignment="1">
      <alignment horizontal="left" wrapText="1" indent="1"/>
    </xf>
    <xf numFmtId="0" fontId="0" fillId="0" borderId="304" xfId="0" applyBorder="1" applyAlignment="1">
      <alignment horizontal="left" vertical="center" wrapText="1" indent="1"/>
    </xf>
    <xf numFmtId="0" fontId="0" fillId="0" borderId="305" xfId="0" applyBorder="1" applyAlignment="1">
      <alignment horizontal="left" vertical="center" wrapText="1" indent="1"/>
    </xf>
    <xf numFmtId="0" fontId="0" fillId="0" borderId="306" xfId="0" applyBorder="1" applyAlignment="1">
      <alignment horizontal="left" wrapText="1" indent="1"/>
    </xf>
    <xf numFmtId="0" fontId="131" fillId="0" borderId="167" xfId="0" applyFont="1" applyFill="1" applyBorder="1" applyAlignment="1" applyProtection="1">
      <alignment horizontal="left" vertical="center"/>
      <protection locked="0"/>
    </xf>
    <xf numFmtId="0" fontId="149" fillId="0" borderId="262" xfId="0" applyFont="1" applyBorder="1" applyAlignment="1" applyProtection="1">
      <alignment horizontal="left" vertical="center"/>
      <protection locked="0"/>
    </xf>
    <xf numFmtId="0" fontId="254" fillId="0" borderId="0" xfId="0" applyFont="1" applyBorder="1" applyAlignment="1" applyProtection="1">
      <alignment horizontal="left" vertical="center"/>
      <protection hidden="1"/>
    </xf>
    <xf numFmtId="0" fontId="254" fillId="0" borderId="29" xfId="0" applyFont="1" applyBorder="1" applyAlignment="1" applyProtection="1">
      <alignment horizontal="left" vertical="center"/>
      <protection hidden="1"/>
    </xf>
    <xf numFmtId="0" fontId="102" fillId="0" borderId="29" xfId="0" applyFont="1" applyBorder="1" applyAlignment="1" applyProtection="1">
      <alignment horizontal="left" vertical="center"/>
      <protection hidden="1"/>
    </xf>
    <xf numFmtId="175" fontId="135" fillId="0" borderId="151" xfId="0" applyNumberFormat="1" applyFont="1" applyFill="1" applyBorder="1" applyAlignment="1" applyProtection="1">
      <alignment horizontal="right" vertical="center" indent="1"/>
      <protection locked="0"/>
    </xf>
    <xf numFmtId="0" fontId="131" fillId="0" borderId="232" xfId="0" applyFont="1" applyFill="1" applyBorder="1" applyAlignment="1" applyProtection="1">
      <alignment horizontal="left" vertical="center"/>
      <protection locked="0"/>
    </xf>
    <xf numFmtId="0" fontId="0" fillId="0" borderId="317" xfId="0" applyBorder="1" applyAlignment="1" applyProtection="1">
      <alignment horizontal="left" vertical="center"/>
      <protection locked="0"/>
    </xf>
    <xf numFmtId="0" fontId="131" fillId="0" borderId="221" xfId="0" applyFont="1" applyFill="1" applyBorder="1" applyAlignment="1" applyProtection="1">
      <alignment horizontal="left" vertical="center"/>
      <protection locked="0"/>
    </xf>
    <xf numFmtId="0" fontId="0" fillId="0" borderId="262" xfId="0" applyBorder="1" applyAlignment="1" applyProtection="1">
      <alignment horizontal="left" vertical="center"/>
      <protection locked="0"/>
    </xf>
    <xf numFmtId="0" fontId="22" fillId="0" borderId="0" xfId="0" applyFont="1" applyFill="1" applyBorder="1" applyAlignment="1" applyProtection="1">
      <alignment horizontal="right" vertical="center" indent="1"/>
      <protection locked="0"/>
    </xf>
    <xf numFmtId="0" fontId="0" fillId="0" borderId="0" xfId="0" applyBorder="1" applyAlignment="1">
      <alignment horizontal="right" vertical="center"/>
    </xf>
    <xf numFmtId="177" fontId="361" fillId="0" borderId="151" xfId="0" applyNumberFormat="1" applyFont="1" applyFill="1" applyBorder="1" applyAlignment="1" applyProtection="1">
      <alignment horizontal="left" vertical="center" indent="1"/>
      <protection hidden="1"/>
    </xf>
    <xf numFmtId="177" fontId="427" fillId="0" borderId="161" xfId="0" applyNumberFormat="1" applyFont="1" applyFill="1" applyBorder="1" applyAlignment="1" applyProtection="1">
      <alignment horizontal="left" vertical="center"/>
      <protection locked="0" hidden="1"/>
    </xf>
    <xf numFmtId="0" fontId="427" fillId="0" borderId="161" xfId="0" applyFont="1" applyBorder="1" applyAlignment="1" applyProtection="1">
      <alignment horizontal="left" vertical="center"/>
      <protection hidden="1"/>
    </xf>
    <xf numFmtId="0" fontId="22" fillId="0" borderId="94" xfId="0" applyFont="1" applyBorder="1" applyAlignment="1" applyProtection="1">
      <alignment horizontal="left" vertical="center" indent="1"/>
      <protection locked="0"/>
    </xf>
    <xf numFmtId="0" fontId="0" fillId="0" borderId="95" xfId="0" applyBorder="1" applyAlignment="1">
      <alignment horizontal="left" vertical="center" indent="1"/>
    </xf>
    <xf numFmtId="0" fontId="0" fillId="0" borderId="96" xfId="0" applyBorder="1" applyAlignment="1">
      <alignment horizontal="left" vertical="center" indent="1"/>
    </xf>
    <xf numFmtId="177" fontId="361" fillId="0" borderId="465" xfId="0" applyNumberFormat="1" applyFont="1" applyFill="1" applyBorder="1" applyAlignment="1" applyProtection="1">
      <alignment horizontal="left" vertical="center" indent="1"/>
      <protection hidden="1"/>
    </xf>
    <xf numFmtId="175" fontId="135" fillId="0" borderId="465" xfId="0" applyNumberFormat="1" applyFont="1" applyFill="1" applyBorder="1" applyAlignment="1" applyProtection="1">
      <alignment horizontal="right" vertical="center" indent="1"/>
      <protection locked="0"/>
    </xf>
    <xf numFmtId="179" fontId="427" fillId="47" borderId="663" xfId="0" applyNumberFormat="1" applyFont="1" applyFill="1" applyBorder="1" applyAlignment="1" applyProtection="1">
      <alignment horizontal="center" vertical="center"/>
      <protection hidden="1"/>
    </xf>
    <xf numFmtId="179" fontId="427" fillId="47" borderId="676" xfId="0" applyNumberFormat="1" applyFont="1" applyFill="1" applyBorder="1" applyAlignment="1" applyProtection="1">
      <alignment horizontal="center" vertical="center"/>
      <protection hidden="1"/>
    </xf>
    <xf numFmtId="0" fontId="361" fillId="71" borderId="185" xfId="16" applyFont="1" applyFill="1" applyBorder="1" applyAlignment="1" applyProtection="1">
      <alignment horizontal="left" vertical="center" indent="1"/>
      <protection hidden="1"/>
    </xf>
    <xf numFmtId="0" fontId="353" fillId="71" borderId="90" xfId="0" applyFont="1" applyFill="1" applyBorder="1" applyAlignment="1" applyProtection="1">
      <alignment horizontal="left" vertical="center" indent="1"/>
      <protection hidden="1"/>
    </xf>
    <xf numFmtId="0" fontId="263" fillId="0" borderId="0" xfId="0" applyFont="1" applyFill="1" applyBorder="1" applyAlignment="1" applyProtection="1">
      <alignment horizontal="right" vertical="center" wrapText="1"/>
      <protection hidden="1"/>
    </xf>
    <xf numFmtId="0" fontId="485" fillId="46" borderId="185" xfId="0" applyFont="1" applyFill="1" applyBorder="1" applyAlignment="1" applyProtection="1">
      <alignment horizontal="left" vertical="center" indent="1"/>
      <protection hidden="1"/>
    </xf>
    <xf numFmtId="0" fontId="483" fillId="0" borderId="657" xfId="0" applyFont="1" applyBorder="1" applyAlignment="1" applyProtection="1">
      <alignment horizontal="left" vertical="center" indent="1"/>
      <protection hidden="1"/>
    </xf>
    <xf numFmtId="0" fontId="361" fillId="46" borderId="90" xfId="0" applyFont="1" applyFill="1" applyBorder="1" applyAlignment="1" applyProtection="1">
      <alignment vertical="center"/>
      <protection hidden="1"/>
    </xf>
    <xf numFmtId="0" fontId="0" fillId="0" borderId="74" xfId="0" applyBorder="1" applyAlignment="1" applyProtection="1">
      <alignment vertical="center"/>
      <protection hidden="1"/>
    </xf>
    <xf numFmtId="0" fontId="482" fillId="46" borderId="238" xfId="0" applyFont="1" applyFill="1" applyBorder="1" applyAlignment="1" applyProtection="1">
      <alignment horizontal="left" vertical="center" indent="1"/>
      <protection hidden="1"/>
    </xf>
    <xf numFmtId="0" fontId="482" fillId="46" borderId="209" xfId="0" applyFont="1" applyFill="1" applyBorder="1" applyAlignment="1" applyProtection="1">
      <alignment horizontal="left" vertical="center" indent="1"/>
      <protection hidden="1"/>
    </xf>
    <xf numFmtId="0" fontId="481" fillId="46" borderId="209" xfId="0" quotePrefix="1" applyFont="1" applyFill="1" applyBorder="1" applyAlignment="1" applyProtection="1">
      <alignment vertical="center"/>
      <protection hidden="1"/>
    </xf>
    <xf numFmtId="0" fontId="0" fillId="0" borderId="324" xfId="0" applyBorder="1" applyAlignment="1" applyProtection="1">
      <alignment vertical="center"/>
      <protection hidden="1"/>
    </xf>
    <xf numFmtId="0" fontId="361" fillId="47" borderId="136" xfId="0" applyFont="1" applyFill="1" applyBorder="1" applyAlignment="1" applyProtection="1">
      <alignment horizontal="center" vertical="center"/>
      <protection hidden="1"/>
    </xf>
    <xf numFmtId="0" fontId="361" fillId="47" borderId="137" xfId="0" applyFont="1" applyFill="1" applyBorder="1" applyAlignment="1" applyProtection="1">
      <alignment horizontal="center" vertical="center"/>
      <protection hidden="1"/>
    </xf>
    <xf numFmtId="0" fontId="361" fillId="47" borderId="149" xfId="0" applyFont="1" applyFill="1" applyBorder="1" applyAlignment="1" applyProtection="1">
      <alignment horizontal="center" vertical="center"/>
      <protection hidden="1"/>
    </xf>
    <xf numFmtId="0" fontId="361" fillId="47" borderId="404" xfId="0" applyFont="1" applyFill="1" applyBorder="1" applyAlignment="1" applyProtection="1">
      <alignment horizontal="center" vertical="center"/>
      <protection hidden="1"/>
    </xf>
    <xf numFmtId="0" fontId="102" fillId="0" borderId="0" xfId="0" applyFont="1" applyBorder="1" applyAlignment="1" applyProtection="1">
      <alignment horizontal="left" vertical="center" wrapText="1"/>
      <protection hidden="1"/>
    </xf>
    <xf numFmtId="185" fontId="412" fillId="0" borderId="321" xfId="0" applyNumberFormat="1" applyFont="1" applyFill="1" applyBorder="1" applyAlignment="1" applyProtection="1">
      <alignment horizontal="center" vertical="center"/>
      <protection locked="0"/>
    </xf>
    <xf numFmtId="179" fontId="427" fillId="47" borderId="169" xfId="0" applyNumberFormat="1" applyFont="1" applyFill="1" applyBorder="1" applyAlignment="1" applyProtection="1">
      <alignment horizontal="center" vertical="center" wrapText="1"/>
      <protection hidden="1"/>
    </xf>
    <xf numFmtId="0" fontId="102" fillId="0" borderId="22" xfId="0" applyFont="1" applyBorder="1" applyAlignment="1" applyProtection="1">
      <alignment horizontal="center" vertical="center"/>
      <protection locked="0" hidden="1"/>
    </xf>
    <xf numFmtId="0" fontId="102" fillId="0" borderId="27" xfId="0" applyFont="1" applyBorder="1" applyAlignment="1" applyProtection="1">
      <alignment horizontal="center" vertical="center"/>
      <protection locked="0" hidden="1"/>
    </xf>
    <xf numFmtId="0" fontId="102" fillId="0" borderId="28" xfId="0" applyFont="1" applyBorder="1" applyAlignment="1" applyProtection="1">
      <alignment horizontal="center" vertical="center"/>
      <protection locked="0" hidden="1"/>
    </xf>
    <xf numFmtId="0" fontId="102" fillId="0" borderId="0" xfId="0" applyFont="1" applyBorder="1" applyAlignment="1" applyProtection="1">
      <alignment horizontal="left" vertical="center" indent="2"/>
      <protection hidden="1"/>
    </xf>
    <xf numFmtId="0" fontId="102" fillId="0" borderId="297" xfId="0" applyFont="1" applyBorder="1" applyAlignment="1" applyProtection="1">
      <alignment horizontal="left" vertical="center" indent="2"/>
      <protection hidden="1"/>
    </xf>
    <xf numFmtId="0" fontId="15" fillId="0" borderId="0" xfId="0" applyFont="1" applyFill="1" applyBorder="1" applyAlignment="1" applyProtection="1">
      <alignment vertical="center"/>
      <protection hidden="1"/>
    </xf>
    <xf numFmtId="0" fontId="0" fillId="0" borderId="0" xfId="0" applyBorder="1" applyAlignment="1">
      <alignment vertical="center"/>
    </xf>
    <xf numFmtId="0" fontId="102" fillId="0" borderId="0" xfId="0" applyFont="1" applyBorder="1" applyAlignment="1" applyProtection="1">
      <alignment horizontal="left" vertical="center" wrapText="1" indent="2"/>
      <protection hidden="1"/>
    </xf>
    <xf numFmtId="0" fontId="102" fillId="0" borderId="29" xfId="0" applyFont="1" applyBorder="1" applyAlignment="1" applyProtection="1">
      <alignment horizontal="left" vertical="center" wrapText="1" indent="2"/>
      <protection hidden="1"/>
    </xf>
    <xf numFmtId="179" fontId="427" fillId="47" borderId="664" xfId="0" applyNumberFormat="1" applyFont="1" applyFill="1" applyBorder="1" applyAlignment="1" applyProtection="1">
      <alignment horizontal="center" vertical="center"/>
      <protection hidden="1"/>
    </xf>
    <xf numFmtId="179" fontId="427" fillId="47" borderId="665" xfId="0" applyNumberFormat="1" applyFont="1" applyFill="1" applyBorder="1" applyAlignment="1" applyProtection="1">
      <alignment horizontal="center" vertical="center"/>
      <protection hidden="1"/>
    </xf>
    <xf numFmtId="179" fontId="427" fillId="47" borderId="617" xfId="0" applyNumberFormat="1" applyFont="1" applyFill="1" applyBorder="1" applyAlignment="1" applyProtection="1">
      <alignment horizontal="center" vertical="center"/>
      <protection hidden="1"/>
    </xf>
    <xf numFmtId="179" fontId="426" fillId="47" borderId="390" xfId="0" applyNumberFormat="1" applyFont="1" applyFill="1" applyBorder="1" applyAlignment="1" applyProtection="1">
      <alignment horizontal="center" vertical="center"/>
      <protection hidden="1"/>
    </xf>
    <xf numFmtId="179" fontId="426" fillId="47" borderId="222" xfId="0" applyNumberFormat="1" applyFont="1" applyFill="1" applyBorder="1" applyAlignment="1" applyProtection="1">
      <alignment horizontal="center" vertical="center"/>
      <protection hidden="1"/>
    </xf>
    <xf numFmtId="179" fontId="426" fillId="47" borderId="223" xfId="0" applyNumberFormat="1" applyFont="1" applyFill="1" applyBorder="1" applyAlignment="1" applyProtection="1">
      <alignment horizontal="center" vertical="center"/>
      <protection hidden="1"/>
    </xf>
    <xf numFmtId="0" fontId="131" fillId="0" borderId="0" xfId="35" quotePrefix="1" applyFont="1" applyBorder="1" applyAlignment="1" applyProtection="1">
      <alignment horizontal="left" vertical="center" wrapText="1" indent="9"/>
      <protection hidden="1"/>
    </xf>
    <xf numFmtId="0" fontId="131" fillId="0" borderId="342" xfId="35" quotePrefix="1" applyFont="1" applyBorder="1" applyAlignment="1" applyProtection="1">
      <alignment horizontal="left" vertical="center" wrapText="1" indent="9"/>
      <protection hidden="1"/>
    </xf>
    <xf numFmtId="0" fontId="292" fillId="0" borderId="240" xfId="0" applyFont="1" applyBorder="1" applyAlignment="1" applyProtection="1">
      <alignment horizontal="center" vertical="center"/>
      <protection locked="0"/>
    </xf>
    <xf numFmtId="0" fontId="292" fillId="0" borderId="347" xfId="0" applyFont="1" applyBorder="1" applyAlignment="1" applyProtection="1">
      <alignment horizontal="center" vertical="center"/>
      <protection locked="0"/>
    </xf>
    <xf numFmtId="177" fontId="278" fillId="47" borderId="569" xfId="0" applyNumberFormat="1" applyFont="1" applyFill="1" applyBorder="1" applyAlignment="1" applyProtection="1">
      <alignment horizontal="center" vertical="top" wrapText="1"/>
      <protection hidden="1"/>
    </xf>
    <xf numFmtId="177" fontId="278" fillId="47" borderId="187" xfId="0" applyNumberFormat="1" applyFont="1" applyFill="1" applyBorder="1" applyAlignment="1" applyProtection="1">
      <alignment horizontal="center" vertical="top" wrapText="1"/>
      <protection hidden="1"/>
    </xf>
    <xf numFmtId="177" fontId="412" fillId="0" borderId="321" xfId="0" applyNumberFormat="1" applyFont="1" applyFill="1" applyBorder="1" applyAlignment="1" applyProtection="1">
      <alignment horizontal="left" vertical="center" indent="1"/>
      <protection hidden="1"/>
    </xf>
    <xf numFmtId="175" fontId="135" fillId="0" borderId="133" xfId="0" applyNumberFormat="1" applyFont="1" applyFill="1" applyBorder="1" applyAlignment="1" applyProtection="1">
      <alignment horizontal="right" vertical="center" indent="1"/>
      <protection locked="0"/>
    </xf>
    <xf numFmtId="175" fontId="135" fillId="0" borderId="183" xfId="0" applyNumberFormat="1" applyFont="1" applyFill="1" applyBorder="1" applyAlignment="1" applyProtection="1">
      <alignment horizontal="right" vertical="center" indent="1"/>
      <protection locked="0"/>
    </xf>
    <xf numFmtId="0" fontId="182" fillId="0" borderId="0" xfId="0" applyFont="1" applyBorder="1" applyAlignment="1" applyProtection="1">
      <alignment horizontal="center" vertical="center"/>
      <protection hidden="1"/>
    </xf>
    <xf numFmtId="171" fontId="102" fillId="0" borderId="21" xfId="0" applyNumberFormat="1" applyFont="1" applyBorder="1" applyAlignment="1" applyProtection="1">
      <alignment horizontal="left" vertical="center" indent="2"/>
      <protection locked="0"/>
    </xf>
    <xf numFmtId="0" fontId="103" fillId="0" borderId="0" xfId="0" applyFont="1" applyBorder="1" applyAlignment="1">
      <alignment horizontal="left" indent="2"/>
    </xf>
    <xf numFmtId="0" fontId="22" fillId="0" borderId="22" xfId="0" applyFont="1" applyBorder="1" applyAlignment="1" applyProtection="1">
      <alignment horizontal="left" vertical="center" indent="1"/>
      <protection locked="0"/>
    </xf>
    <xf numFmtId="0" fontId="145" fillId="0" borderId="27" xfId="0" applyFont="1" applyBorder="1" applyAlignment="1" applyProtection="1">
      <alignment horizontal="left" vertical="center" indent="1"/>
      <protection locked="0"/>
    </xf>
    <xf numFmtId="0" fontId="145" fillId="0" borderId="28" xfId="0" applyFont="1" applyBorder="1" applyAlignment="1" applyProtection="1">
      <alignment horizontal="left" vertical="center" indent="1"/>
      <protection locked="0"/>
    </xf>
    <xf numFmtId="1" fontId="102" fillId="0" borderId="22" xfId="0" applyNumberFormat="1" applyFont="1" applyBorder="1" applyAlignment="1" applyProtection="1">
      <alignment horizontal="center" vertical="center"/>
      <protection locked="0"/>
    </xf>
    <xf numFmtId="0" fontId="103" fillId="0" borderId="27" xfId="0" applyFont="1" applyBorder="1" applyAlignment="1" applyProtection="1">
      <alignment horizontal="center" vertical="center"/>
      <protection locked="0"/>
    </xf>
    <xf numFmtId="0" fontId="103" fillId="0" borderId="28" xfId="0" applyFont="1" applyBorder="1" applyAlignment="1" applyProtection="1">
      <alignment horizontal="center" vertical="center"/>
      <protection locked="0"/>
    </xf>
    <xf numFmtId="0" fontId="102" fillId="0" borderId="27" xfId="0" applyFont="1" applyBorder="1" applyAlignment="1" applyProtection="1">
      <alignment horizontal="left" vertical="center" indent="1"/>
      <protection locked="0"/>
    </xf>
    <xf numFmtId="0" fontId="55" fillId="0" borderId="21" xfId="0" applyFont="1" applyBorder="1" applyAlignment="1" applyProtection="1">
      <alignment horizontal="left" vertical="center" wrapText="1" indent="1"/>
      <protection locked="0"/>
    </xf>
    <xf numFmtId="0" fontId="103" fillId="0" borderId="0" xfId="0" applyFont="1" applyBorder="1" applyAlignment="1" applyProtection="1">
      <alignment horizontal="left" vertical="center" wrapText="1" indent="1"/>
      <protection locked="0"/>
    </xf>
    <xf numFmtId="0" fontId="103" fillId="0" borderId="29" xfId="0" applyFont="1" applyBorder="1" applyAlignment="1" applyProtection="1">
      <alignment horizontal="left" vertical="center" wrapText="1" indent="1"/>
      <protection locked="0"/>
    </xf>
    <xf numFmtId="0" fontId="55" fillId="0" borderId="30" xfId="0" applyFont="1" applyBorder="1" applyAlignment="1" applyProtection="1">
      <alignment horizontal="left" vertical="center" wrapText="1" indent="1"/>
      <protection locked="0"/>
    </xf>
    <xf numFmtId="0" fontId="103" fillId="0" borderId="31" xfId="0" applyFont="1" applyBorder="1" applyAlignment="1" applyProtection="1">
      <alignment horizontal="left" vertical="center" wrapText="1" indent="1"/>
      <protection locked="0"/>
    </xf>
    <xf numFmtId="0" fontId="103" fillId="0" borderId="32" xfId="0" applyFont="1" applyBorder="1" applyAlignment="1" applyProtection="1">
      <alignment horizontal="left" vertical="center" wrapText="1" indent="1"/>
      <protection locked="0"/>
    </xf>
    <xf numFmtId="171" fontId="264" fillId="0" borderId="462" xfId="0" applyNumberFormat="1" applyFont="1" applyBorder="1" applyAlignment="1" applyProtection="1">
      <alignment horizontal="left" vertical="center" indent="1"/>
      <protection locked="0"/>
    </xf>
    <xf numFmtId="171" fontId="264" fillId="0" borderId="463" xfId="0" applyNumberFormat="1" applyFont="1" applyBorder="1" applyAlignment="1" applyProtection="1">
      <alignment horizontal="left" vertical="center" indent="1"/>
      <protection locked="0"/>
    </xf>
    <xf numFmtId="0" fontId="0" fillId="0" borderId="463" xfId="0" applyBorder="1" applyAlignment="1">
      <alignment horizontal="left" indent="1"/>
    </xf>
    <xf numFmtId="0" fontId="0" fillId="0" borderId="464" xfId="0" applyBorder="1" applyAlignment="1">
      <alignment horizontal="left" indent="1"/>
    </xf>
    <xf numFmtId="0" fontId="102" fillId="0" borderId="251" xfId="0" applyFont="1" applyBorder="1" applyAlignment="1" applyProtection="1">
      <alignment horizontal="left" vertical="center" indent="1"/>
      <protection hidden="1"/>
    </xf>
    <xf numFmtId="0" fontId="0" fillId="0" borderId="252" xfId="0" applyBorder="1" applyAlignment="1">
      <alignment horizontal="left" indent="1"/>
    </xf>
    <xf numFmtId="0" fontId="0" fillId="0" borderId="253" xfId="0" applyBorder="1" applyAlignment="1">
      <alignment horizontal="left" indent="1"/>
    </xf>
    <xf numFmtId="0" fontId="102" fillId="0" borderId="251" xfId="0" applyFont="1" applyBorder="1" applyAlignment="1" applyProtection="1">
      <alignment horizontal="left" vertical="center" indent="1"/>
      <protection locked="0" hidden="1"/>
    </xf>
    <xf numFmtId="0" fontId="0" fillId="0" borderId="253" xfId="0" applyBorder="1" applyAlignment="1">
      <alignment horizontal="left" vertical="center" indent="1"/>
    </xf>
    <xf numFmtId="0" fontId="102" fillId="0" borderId="28" xfId="0" applyFont="1" applyBorder="1" applyAlignment="1" applyProtection="1">
      <alignment horizontal="center" vertical="center"/>
      <protection locked="0"/>
    </xf>
    <xf numFmtId="0" fontId="102" fillId="0" borderId="343" xfId="0" applyFont="1" applyBorder="1" applyAlignment="1" applyProtection="1">
      <alignment horizontal="right" vertical="center" indent="1"/>
      <protection hidden="1"/>
    </xf>
    <xf numFmtId="0" fontId="55" fillId="0" borderId="33" xfId="0" applyFont="1" applyBorder="1" applyAlignment="1" applyProtection="1">
      <alignment horizontal="left" vertical="center" wrapText="1" indent="1"/>
      <protection locked="0"/>
    </xf>
    <xf numFmtId="0" fontId="103" fillId="0" borderId="20" xfId="0" applyFont="1" applyBorder="1" applyAlignment="1" applyProtection="1">
      <alignment horizontal="left" vertical="center" wrapText="1" indent="1"/>
      <protection locked="0"/>
    </xf>
    <xf numFmtId="0" fontId="103" fillId="0" borderId="34" xfId="0" applyFont="1" applyBorder="1" applyAlignment="1" applyProtection="1">
      <alignment horizontal="left" vertical="center" wrapText="1" indent="1"/>
      <protection locked="0"/>
    </xf>
    <xf numFmtId="174" fontId="322" fillId="47" borderId="321" xfId="0" applyNumberFormat="1" applyFont="1" applyFill="1" applyBorder="1" applyAlignment="1" applyProtection="1">
      <alignment horizontal="center" vertical="top"/>
      <protection locked="0"/>
    </xf>
    <xf numFmtId="175" fontId="135" fillId="0" borderId="161" xfId="0" applyNumberFormat="1" applyFont="1" applyFill="1" applyBorder="1" applyAlignment="1" applyProtection="1">
      <alignment horizontal="right" vertical="center" indent="1"/>
      <protection locked="0"/>
    </xf>
    <xf numFmtId="175" fontId="135" fillId="0" borderId="245" xfId="0" applyNumberFormat="1" applyFont="1" applyFill="1" applyBorder="1" applyAlignment="1" applyProtection="1">
      <alignment horizontal="right" vertical="center" indent="1"/>
      <protection locked="0"/>
    </xf>
    <xf numFmtId="175" fontId="135" fillId="0" borderId="0" xfId="0" applyNumberFormat="1" applyFont="1" applyFill="1" applyBorder="1" applyAlignment="1" applyProtection="1">
      <alignment horizontal="right" vertical="center" indent="1"/>
      <protection locked="0"/>
    </xf>
    <xf numFmtId="175" fontId="135" fillId="0" borderId="293" xfId="0" applyNumberFormat="1" applyFont="1" applyFill="1" applyBorder="1" applyAlignment="1" applyProtection="1">
      <alignment horizontal="right" vertical="center" indent="1"/>
      <protection locked="0"/>
    </xf>
    <xf numFmtId="0" fontId="278" fillId="47" borderId="170" xfId="0" applyFont="1" applyFill="1" applyBorder="1" applyAlignment="1" applyProtection="1">
      <alignment horizontal="center"/>
      <protection hidden="1"/>
    </xf>
    <xf numFmtId="175" fontId="135" fillId="0" borderId="162" xfId="0" applyNumberFormat="1" applyFont="1" applyFill="1" applyBorder="1" applyAlignment="1" applyProtection="1">
      <alignment horizontal="right" vertical="center" indent="1"/>
      <protection locked="0"/>
    </xf>
    <xf numFmtId="0" fontId="102" fillId="0" borderId="296" xfId="0" applyFont="1" applyBorder="1" applyAlignment="1" applyProtection="1">
      <alignment horizontal="left" vertical="center" indent="3"/>
      <protection hidden="1"/>
    </xf>
    <xf numFmtId="0" fontId="102" fillId="0" borderId="29" xfId="0" applyFont="1" applyBorder="1" applyAlignment="1" applyProtection="1">
      <alignment horizontal="left" vertical="center" indent="3"/>
      <protection hidden="1"/>
    </xf>
    <xf numFmtId="0" fontId="360" fillId="0" borderId="0" xfId="0" applyFont="1" applyBorder="1" applyAlignment="1" applyProtection="1">
      <alignment horizontal="center" vertical="center"/>
      <protection locked="0"/>
    </xf>
    <xf numFmtId="0" fontId="278" fillId="47" borderId="203" xfId="0" applyFont="1" applyFill="1" applyBorder="1" applyAlignment="1" applyProtection="1">
      <alignment horizontal="center"/>
      <protection hidden="1"/>
    </xf>
    <xf numFmtId="0" fontId="278" fillId="47" borderId="172" xfId="0" applyFont="1" applyFill="1" applyBorder="1" applyAlignment="1" applyProtection="1">
      <alignment horizontal="center"/>
      <protection hidden="1"/>
    </xf>
    <xf numFmtId="0" fontId="17" fillId="0" borderId="0" xfId="0" applyFont="1" applyFill="1" applyBorder="1" applyAlignment="1" applyProtection="1">
      <alignment horizontal="right" vertical="center"/>
      <protection locked="0"/>
    </xf>
    <xf numFmtId="0" fontId="4" fillId="0" borderId="0" xfId="0" applyFont="1" applyBorder="1" applyAlignment="1">
      <alignment horizontal="left" vertical="center"/>
    </xf>
    <xf numFmtId="0" fontId="131" fillId="0" borderId="0" xfId="0" applyFont="1" applyFill="1" applyBorder="1" applyAlignment="1" applyProtection="1">
      <alignment horizontal="left" vertical="center"/>
      <protection locked="0"/>
    </xf>
    <xf numFmtId="0" fontId="132" fillId="0" borderId="258" xfId="0" applyFont="1" applyBorder="1" applyAlignment="1" applyProtection="1">
      <alignment horizontal="left" vertical="center"/>
      <protection hidden="1"/>
    </xf>
    <xf numFmtId="0" fontId="149" fillId="0" borderId="206" xfId="0" applyFont="1" applyBorder="1" applyAlignment="1" applyProtection="1">
      <alignment horizontal="left" vertical="center"/>
      <protection hidden="1"/>
    </xf>
    <xf numFmtId="0" fontId="131" fillId="0" borderId="298" xfId="0" applyFont="1" applyBorder="1" applyAlignment="1" applyProtection="1">
      <alignment horizontal="left" vertical="center"/>
      <protection locked="0"/>
    </xf>
    <xf numFmtId="0" fontId="149" fillId="0" borderId="204" xfId="0" applyFont="1" applyBorder="1" applyAlignment="1" applyProtection="1">
      <alignment horizontal="left" vertical="center"/>
      <protection locked="0"/>
    </xf>
    <xf numFmtId="0" fontId="131" fillId="0" borderId="167" xfId="0" quotePrefix="1" applyFont="1" applyBorder="1" applyAlignment="1" applyProtection="1">
      <alignment horizontal="left" vertical="center"/>
      <protection locked="0"/>
    </xf>
    <xf numFmtId="0" fontId="149" fillId="0" borderId="161" xfId="0" applyFont="1" applyBorder="1" applyAlignment="1" applyProtection="1">
      <alignment horizontal="left" vertical="center"/>
      <protection locked="0"/>
    </xf>
    <xf numFmtId="0" fontId="131" fillId="0" borderId="167" xfId="0" applyFont="1" applyBorder="1" applyAlignment="1" applyProtection="1">
      <alignment horizontal="left" vertical="center"/>
      <protection locked="0"/>
    </xf>
    <xf numFmtId="0" fontId="145" fillId="0" borderId="95" xfId="0" applyFont="1" applyBorder="1" applyAlignment="1" applyProtection="1">
      <alignment horizontal="left" vertical="center" indent="1"/>
      <protection locked="0"/>
    </xf>
    <xf numFmtId="0" fontId="145" fillId="0" borderId="96" xfId="0" applyFont="1" applyBorder="1" applyAlignment="1" applyProtection="1">
      <alignment horizontal="left" vertical="center" indent="1"/>
      <protection locked="0"/>
    </xf>
    <xf numFmtId="0" fontId="102" fillId="0" borderId="297" xfId="0" applyFont="1" applyBorder="1" applyAlignment="1" applyProtection="1">
      <alignment horizontal="right" vertical="center" indent="1"/>
      <protection hidden="1"/>
    </xf>
    <xf numFmtId="0" fontId="132" fillId="0" borderId="231" xfId="0" applyFont="1" applyFill="1" applyBorder="1" applyAlignment="1" applyProtection="1">
      <alignment horizontal="left" vertical="center"/>
      <protection locked="0"/>
    </xf>
    <xf numFmtId="0" fontId="0" fillId="0" borderId="309" xfId="0" applyBorder="1" applyAlignment="1" applyProtection="1">
      <alignment horizontal="left" vertical="center"/>
      <protection locked="0"/>
    </xf>
    <xf numFmtId="0" fontId="117" fillId="0" borderId="0" xfId="0" applyFont="1" applyBorder="1" applyAlignment="1" applyProtection="1">
      <alignment horizontal="left" vertical="center" wrapText="1" indent="1"/>
      <protection hidden="1"/>
    </xf>
    <xf numFmtId="0" fontId="117" fillId="0" borderId="0" xfId="0" applyFont="1" applyBorder="1" applyAlignment="1" applyProtection="1">
      <alignment horizontal="right" vertical="center" wrapText="1" indent="1"/>
      <protection hidden="1"/>
    </xf>
    <xf numFmtId="0" fontId="131" fillId="0" borderId="161" xfId="0" applyFont="1" applyFill="1" applyBorder="1" applyAlignment="1" applyProtection="1">
      <alignment horizontal="left" vertical="center"/>
      <protection locked="0"/>
    </xf>
    <xf numFmtId="0" fontId="0" fillId="0" borderId="161" xfId="0" applyBorder="1" applyAlignment="1" applyProtection="1">
      <alignment horizontal="left" vertical="center"/>
      <protection locked="0"/>
    </xf>
    <xf numFmtId="0" fontId="132" fillId="0" borderId="206" xfId="0" applyFont="1" applyFill="1" applyBorder="1" applyAlignment="1" applyProtection="1">
      <alignment horizontal="left" vertical="center"/>
      <protection locked="0"/>
    </xf>
    <xf numFmtId="0" fontId="0" fillId="0" borderId="206" xfId="0" applyBorder="1" applyAlignment="1" applyProtection="1">
      <alignment horizontal="left" vertical="center"/>
      <protection locked="0"/>
    </xf>
    <xf numFmtId="0" fontId="102" fillId="0" borderId="297" xfId="0" applyFont="1" applyBorder="1" applyAlignment="1" applyProtection="1">
      <alignment horizontal="left" vertical="center"/>
      <protection hidden="1"/>
    </xf>
    <xf numFmtId="0" fontId="132" fillId="0" borderId="258" xfId="0" applyFont="1" applyFill="1" applyBorder="1" applyAlignment="1" applyProtection="1">
      <alignment horizontal="left" vertical="center"/>
      <protection hidden="1"/>
    </xf>
    <xf numFmtId="0" fontId="0" fillId="0" borderId="309" xfId="0" applyBorder="1" applyAlignment="1" applyProtection="1">
      <alignment horizontal="left" vertical="center"/>
      <protection hidden="1"/>
    </xf>
    <xf numFmtId="0" fontId="131" fillId="0" borderId="316" xfId="0" applyFont="1" applyFill="1" applyBorder="1" applyAlignment="1" applyProtection="1">
      <alignment horizontal="left" vertical="center"/>
      <protection locked="0"/>
    </xf>
    <xf numFmtId="0" fontId="149" fillId="0" borderId="317" xfId="0" applyFont="1" applyBorder="1" applyAlignment="1" applyProtection="1">
      <alignment horizontal="left" vertical="center"/>
      <protection locked="0"/>
    </xf>
    <xf numFmtId="0" fontId="427" fillId="47" borderId="222" xfId="0" applyFont="1" applyFill="1" applyBorder="1" applyAlignment="1">
      <alignment horizontal="center" vertical="center"/>
    </xf>
    <xf numFmtId="0" fontId="427" fillId="47" borderId="223" xfId="0" applyFont="1" applyFill="1" applyBorder="1" applyAlignment="1">
      <alignment horizontal="center" vertical="center"/>
    </xf>
    <xf numFmtId="0" fontId="413" fillId="0" borderId="180" xfId="0" applyFont="1" applyBorder="1" applyAlignment="1" applyProtection="1">
      <alignment horizontal="left" vertical="center" indent="1"/>
      <protection locked="0"/>
    </xf>
    <xf numFmtId="0" fontId="149" fillId="0" borderId="416" xfId="0" applyFont="1" applyBorder="1" applyAlignment="1">
      <alignment horizontal="left" vertical="center" indent="1"/>
    </xf>
    <xf numFmtId="177" fontId="427" fillId="0" borderId="204" xfId="0" applyNumberFormat="1" applyFont="1" applyFill="1" applyBorder="1" applyAlignment="1" applyProtection="1">
      <alignment horizontal="left" vertical="center"/>
      <protection locked="0" hidden="1"/>
    </xf>
    <xf numFmtId="0" fontId="427" fillId="0" borderId="204" xfId="0" applyFont="1" applyBorder="1" applyAlignment="1" applyProtection="1">
      <alignment horizontal="left" vertical="center"/>
      <protection hidden="1"/>
    </xf>
    <xf numFmtId="179" fontId="427" fillId="47" borderId="459" xfId="0" applyNumberFormat="1" applyFont="1" applyFill="1" applyBorder="1" applyAlignment="1" applyProtection="1">
      <alignment horizontal="center" vertical="center" wrapText="1"/>
      <protection hidden="1"/>
    </xf>
    <xf numFmtId="179" fontId="427" fillId="47" borderId="666" xfId="0" applyNumberFormat="1" applyFont="1" applyFill="1" applyBorder="1" applyAlignment="1" applyProtection="1">
      <alignment horizontal="center" vertical="center" wrapText="1"/>
      <protection hidden="1"/>
    </xf>
    <xf numFmtId="177" fontId="427" fillId="0" borderId="206" xfId="0" applyNumberFormat="1" applyFont="1" applyFill="1" applyBorder="1" applyAlignment="1" applyProtection="1">
      <alignment horizontal="left" vertical="center"/>
      <protection locked="0" hidden="1"/>
    </xf>
    <xf numFmtId="0" fontId="427" fillId="0" borderId="206" xfId="0" applyFont="1" applyBorder="1" applyAlignment="1" applyProtection="1">
      <alignment horizontal="left" vertical="center"/>
      <protection hidden="1"/>
    </xf>
    <xf numFmtId="0" fontId="427" fillId="0" borderId="224" xfId="16" quotePrefix="1" applyFont="1" applyFill="1" applyBorder="1" applyAlignment="1" applyProtection="1">
      <alignment horizontal="left" vertical="center" indent="1"/>
      <protection hidden="1"/>
    </xf>
    <xf numFmtId="0" fontId="279" fillId="0" borderId="0" xfId="0" applyFont="1" applyFill="1" applyBorder="1" applyAlignment="1">
      <alignment horizontal="left" vertical="center" indent="1"/>
    </xf>
    <xf numFmtId="0" fontId="413" fillId="0" borderId="182" xfId="0" applyFont="1" applyFill="1" applyBorder="1" applyAlignment="1" applyProtection="1">
      <alignment horizontal="left" vertical="center" indent="1"/>
      <protection locked="0" hidden="1"/>
    </xf>
    <xf numFmtId="0" fontId="413" fillId="0" borderId="348" xfId="0" applyFont="1" applyFill="1" applyBorder="1" applyAlignment="1" applyProtection="1">
      <alignment horizontal="left" vertical="center" indent="1"/>
      <protection locked="0" hidden="1"/>
    </xf>
    <xf numFmtId="0" fontId="413" fillId="0" borderId="349" xfId="0" applyFont="1" applyBorder="1" applyAlignment="1" applyProtection="1">
      <alignment horizontal="center" vertical="center"/>
      <protection locked="0" hidden="1"/>
    </xf>
    <xf numFmtId="0" fontId="413" fillId="0" borderId="348" xfId="0" applyFont="1" applyBorder="1" applyAlignment="1" applyProtection="1">
      <alignment horizontal="center" vertical="center"/>
      <protection locked="0" hidden="1"/>
    </xf>
    <xf numFmtId="0" fontId="279" fillId="0" borderId="417" xfId="0" applyFont="1" applyBorder="1" applyAlignment="1" applyProtection="1">
      <alignment horizontal="left" vertical="center" indent="1"/>
      <protection locked="0"/>
    </xf>
    <xf numFmtId="0" fontId="279" fillId="0" borderId="150" xfId="0" applyFont="1" applyBorder="1" applyAlignment="1" applyProtection="1">
      <alignment horizontal="left" vertical="center" indent="1"/>
      <protection locked="0"/>
    </xf>
    <xf numFmtId="0" fontId="131" fillId="0" borderId="365" xfId="0" quotePrefix="1" applyFont="1" applyFill="1" applyBorder="1" applyAlignment="1" applyProtection="1">
      <alignment horizontal="left" vertical="center" indent="1"/>
      <protection locked="0"/>
    </xf>
    <xf numFmtId="0" fontId="131" fillId="0" borderId="146" xfId="0" applyFont="1" applyFill="1" applyBorder="1" applyAlignment="1" applyProtection="1">
      <alignment horizontal="left" vertical="center" indent="1"/>
      <protection locked="0"/>
    </xf>
    <xf numFmtId="0" fontId="102" fillId="0" borderId="160" xfId="0" applyFont="1" applyBorder="1" applyAlignment="1" applyProtection="1">
      <alignment horizontal="left" vertical="center"/>
      <protection hidden="1"/>
    </xf>
    <xf numFmtId="0" fontId="131" fillId="0" borderId="204" xfId="0" applyFont="1" applyFill="1" applyBorder="1" applyAlignment="1" applyProtection="1">
      <alignment horizontal="left" vertical="center"/>
      <protection locked="0"/>
    </xf>
    <xf numFmtId="0" fontId="0" fillId="0" borderId="204" xfId="0" applyBorder="1" applyAlignment="1" applyProtection="1">
      <alignment horizontal="left" vertical="center"/>
      <protection locked="0"/>
    </xf>
    <xf numFmtId="0" fontId="278" fillId="47" borderId="170" xfId="0" applyFont="1" applyFill="1" applyBorder="1" applyAlignment="1" applyProtection="1">
      <alignment horizontal="center"/>
      <protection locked="0"/>
    </xf>
    <xf numFmtId="0" fontId="147" fillId="59" borderId="137" xfId="0" applyFont="1" applyFill="1" applyBorder="1" applyAlignment="1">
      <alignment horizontal="right" vertical="center"/>
    </xf>
    <xf numFmtId="0" fontId="147" fillId="59" borderId="135" xfId="0" applyFont="1" applyFill="1" applyBorder="1" applyAlignment="1">
      <alignment horizontal="right" vertical="center"/>
    </xf>
    <xf numFmtId="0" fontId="322" fillId="47" borderId="321" xfId="0" applyFont="1" applyFill="1" applyBorder="1" applyAlignment="1" applyProtection="1">
      <alignment horizontal="center" vertical="top"/>
      <protection hidden="1"/>
    </xf>
    <xf numFmtId="171" fontId="102" fillId="0" borderId="22" xfId="0" applyNumberFormat="1" applyFont="1" applyBorder="1" applyAlignment="1" applyProtection="1">
      <alignment horizontal="center" vertical="center"/>
      <protection locked="0" hidden="1"/>
    </xf>
    <xf numFmtId="185" fontId="412" fillId="0" borderId="160" xfId="0" applyNumberFormat="1" applyFont="1" applyFill="1" applyBorder="1" applyAlignment="1" applyProtection="1">
      <alignment horizontal="center" vertical="center"/>
      <protection locked="0"/>
    </xf>
    <xf numFmtId="185" fontId="412" fillId="0" borderId="323" xfId="0" applyNumberFormat="1" applyFont="1" applyFill="1" applyBorder="1" applyAlignment="1" applyProtection="1">
      <alignment horizontal="center" vertical="center"/>
      <protection locked="0"/>
    </xf>
    <xf numFmtId="171" fontId="102" fillId="0" borderId="28" xfId="0" applyNumberFormat="1" applyFont="1" applyBorder="1" applyAlignment="1" applyProtection="1">
      <alignment horizontal="center" vertical="center"/>
      <protection locked="0"/>
    </xf>
    <xf numFmtId="174" fontId="322" fillId="47" borderId="160" xfId="0" applyNumberFormat="1" applyFont="1" applyFill="1" applyBorder="1" applyAlignment="1" applyProtection="1">
      <alignment horizontal="center" vertical="top"/>
      <protection locked="0"/>
    </xf>
    <xf numFmtId="174" fontId="322" fillId="47" borderId="323" xfId="0" applyNumberFormat="1" applyFont="1" applyFill="1" applyBorder="1" applyAlignment="1" applyProtection="1">
      <alignment horizontal="center" vertical="top"/>
      <protection locked="0"/>
    </xf>
    <xf numFmtId="0" fontId="198" fillId="0" borderId="0" xfId="32" applyFont="1" applyBorder="1" applyAlignment="1" applyProtection="1">
      <alignment horizontal="left" vertical="center"/>
      <protection locked="0"/>
    </xf>
    <xf numFmtId="0" fontId="507" fillId="0" borderId="0" xfId="0" applyFont="1" applyFill="1" applyBorder="1" applyAlignment="1" applyProtection="1">
      <alignment horizontal="left" vertical="center"/>
      <protection hidden="1"/>
    </xf>
    <xf numFmtId="0" fontId="439" fillId="0" borderId="22" xfId="0" applyFont="1" applyBorder="1" applyAlignment="1" applyProtection="1">
      <alignment horizontal="left" vertical="center" wrapText="1" indent="1"/>
      <protection locked="0"/>
    </xf>
    <xf numFmtId="0" fontId="439" fillId="0" borderId="27" xfId="0" applyFont="1" applyBorder="1" applyAlignment="1" applyProtection="1">
      <alignment horizontal="left" vertical="center" wrapText="1" indent="1"/>
      <protection locked="0"/>
    </xf>
    <xf numFmtId="0" fontId="439" fillId="0" borderId="28" xfId="0" applyFont="1" applyBorder="1" applyAlignment="1" applyProtection="1">
      <alignment horizontal="left" vertical="center" wrapText="1" indent="1"/>
      <protection locked="0"/>
    </xf>
    <xf numFmtId="0" fontId="59" fillId="0" borderId="0" xfId="0" applyFont="1" applyBorder="1" applyAlignment="1" applyProtection="1">
      <alignment horizontal="left" vertical="center" indent="1"/>
      <protection locked="0"/>
    </xf>
    <xf numFmtId="0" fontId="0" fillId="0" borderId="29" xfId="0" applyBorder="1" applyAlignment="1">
      <alignment horizontal="left" indent="1"/>
    </xf>
    <xf numFmtId="0" fontId="22" fillId="0" borderId="22" xfId="0" applyFont="1" applyBorder="1" applyAlignment="1" applyProtection="1">
      <alignment horizontal="center" vertical="center"/>
      <protection locked="0" hidden="1"/>
    </xf>
    <xf numFmtId="0" fontId="22" fillId="0" borderId="27" xfId="0" applyFont="1" applyBorder="1" applyAlignment="1" applyProtection="1">
      <alignment horizontal="center" vertical="center"/>
      <protection locked="0" hidden="1"/>
    </xf>
    <xf numFmtId="0" fontId="22" fillId="0" borderId="28" xfId="0" applyFont="1" applyBorder="1" applyAlignment="1" applyProtection="1">
      <alignment horizontal="center" vertical="center"/>
      <protection locked="0" hidden="1"/>
    </xf>
    <xf numFmtId="0" fontId="198" fillId="0" borderId="0" xfId="32" applyFont="1" applyBorder="1" applyAlignment="1" applyProtection="1">
      <alignment horizontal="left" vertical="center" indent="1"/>
      <protection locked="0"/>
    </xf>
    <xf numFmtId="0" fontId="102" fillId="0" borderId="28" xfId="0" applyFont="1" applyBorder="1" applyAlignment="1" applyProtection="1">
      <alignment horizontal="left" vertical="center" indent="1"/>
      <protection locked="0"/>
    </xf>
    <xf numFmtId="0" fontId="103" fillId="0" borderId="27" xfId="0" applyFont="1" applyBorder="1" applyAlignment="1" applyProtection="1">
      <alignment horizontal="left" vertical="center"/>
      <protection locked="0"/>
    </xf>
    <xf numFmtId="0" fontId="103" fillId="0" borderId="28" xfId="0" applyFont="1" applyBorder="1" applyAlignment="1" applyProtection="1">
      <alignment horizontal="left" vertical="center"/>
      <protection locked="0"/>
    </xf>
    <xf numFmtId="0" fontId="102" fillId="0" borderId="27" xfId="0" applyFont="1" applyBorder="1" applyAlignment="1" applyProtection="1">
      <alignment horizontal="left" vertical="center" indent="1"/>
      <protection locked="0" hidden="1"/>
    </xf>
    <xf numFmtId="0" fontId="102" fillId="0" borderId="28" xfId="0" applyFont="1" applyBorder="1" applyAlignment="1" applyProtection="1">
      <alignment horizontal="left" vertical="center" indent="1"/>
      <protection locked="0" hidden="1"/>
    </xf>
    <xf numFmtId="0" fontId="102" fillId="0" borderId="22" xfId="0" applyFont="1" applyBorder="1" applyAlignment="1" applyProtection="1">
      <alignment horizontal="left" vertical="center"/>
      <protection locked="0"/>
    </xf>
    <xf numFmtId="0" fontId="0" fillId="0" borderId="29" xfId="0" applyBorder="1" applyAlignment="1">
      <alignment horizontal="left" indent="2"/>
    </xf>
    <xf numFmtId="177" fontId="361" fillId="0" borderId="162" xfId="0" applyNumberFormat="1" applyFont="1" applyFill="1" applyBorder="1" applyAlignment="1" applyProtection="1">
      <alignment horizontal="left" vertical="center" indent="1"/>
      <protection hidden="1"/>
    </xf>
    <xf numFmtId="0" fontId="59" fillId="0" borderId="0" xfId="0" applyFont="1" applyBorder="1" applyAlignment="1" applyProtection="1">
      <alignment horizontal="left" vertical="center"/>
      <protection hidden="1"/>
    </xf>
    <xf numFmtId="0" fontId="102" fillId="0" borderId="296" xfId="0" applyFont="1" applyBorder="1" applyAlignment="1" applyProtection="1">
      <alignment horizontal="left" vertical="center" indent="2"/>
      <protection hidden="1"/>
    </xf>
    <xf numFmtId="177" fontId="278" fillId="47" borderId="157" xfId="0" applyNumberFormat="1" applyFont="1" applyFill="1" applyBorder="1" applyAlignment="1" applyProtection="1">
      <alignment horizontal="center" vertical="center" wrapText="1"/>
      <protection hidden="1"/>
    </xf>
    <xf numFmtId="177" fontId="278" fillId="47" borderId="569" xfId="0" applyNumberFormat="1" applyFont="1" applyFill="1" applyBorder="1" applyAlignment="1" applyProtection="1">
      <alignment horizontal="center" vertical="center" wrapText="1"/>
      <protection hidden="1"/>
    </xf>
    <xf numFmtId="0" fontId="34" fillId="62" borderId="218" xfId="0" applyFont="1" applyFill="1" applyBorder="1" applyAlignment="1" applyProtection="1">
      <alignment horizontal="center" vertical="center"/>
      <protection hidden="1"/>
    </xf>
    <xf numFmtId="0" fontId="147" fillId="0" borderId="218" xfId="0" applyFont="1" applyBorder="1" applyAlignment="1">
      <alignment horizontal="right"/>
    </xf>
    <xf numFmtId="0" fontId="147" fillId="0" borderId="244" xfId="0" applyFont="1" applyBorder="1" applyAlignment="1">
      <alignment horizontal="right"/>
    </xf>
    <xf numFmtId="0" fontId="279" fillId="0" borderId="232" xfId="0" applyFont="1" applyBorder="1" applyAlignment="1">
      <alignment horizontal="left" vertical="center" indent="1"/>
    </xf>
    <xf numFmtId="0" fontId="0" fillId="0" borderId="233" xfId="0" applyBorder="1" applyAlignment="1">
      <alignment horizontal="left" vertical="center" indent="1"/>
    </xf>
    <xf numFmtId="0" fontId="279" fillId="0" borderId="291" xfId="0" applyFont="1" applyBorder="1" applyAlignment="1">
      <alignment horizontal="left" vertical="center" indent="1"/>
    </xf>
    <xf numFmtId="0" fontId="0" fillId="0" borderId="146" xfId="0" applyBorder="1" applyAlignment="1">
      <alignment horizontal="left" vertical="center" indent="1"/>
    </xf>
    <xf numFmtId="0" fontId="279" fillId="0" borderId="274" xfId="0" applyFont="1" applyBorder="1" applyAlignment="1">
      <alignment horizontal="left" vertical="center" indent="1"/>
    </xf>
    <xf numFmtId="0" fontId="0" fillId="0" borderId="250" xfId="0" applyBorder="1" applyAlignment="1">
      <alignment horizontal="left" vertical="center" indent="1"/>
    </xf>
    <xf numFmtId="166" fontId="56" fillId="59" borderId="71" xfId="0" applyNumberFormat="1" applyFont="1" applyFill="1" applyBorder="1" applyAlignment="1" applyProtection="1">
      <alignment horizontal="center" vertical="center" wrapText="1"/>
      <protection locked="0"/>
    </xf>
    <xf numFmtId="166" fontId="56" fillId="59" borderId="72" xfId="0" applyNumberFormat="1" applyFont="1" applyFill="1" applyBorder="1" applyAlignment="1" applyProtection="1">
      <alignment horizontal="center" vertical="center" wrapText="1"/>
      <protection locked="0"/>
    </xf>
    <xf numFmtId="166" fontId="133" fillId="59" borderId="223" xfId="0" applyNumberFormat="1" applyFont="1" applyFill="1" applyBorder="1" applyAlignment="1" applyProtection="1">
      <alignment horizontal="center" vertical="center"/>
      <protection locked="0"/>
    </xf>
    <xf numFmtId="166" fontId="133" fillId="59" borderId="248" xfId="0" applyNumberFormat="1" applyFont="1" applyFill="1" applyBorder="1" applyAlignment="1" applyProtection="1">
      <alignment horizontal="center" vertical="center"/>
      <protection locked="0"/>
    </xf>
    <xf numFmtId="0" fontId="23" fillId="0" borderId="224" xfId="0" applyFont="1" applyBorder="1" applyAlignment="1" applyProtection="1">
      <alignment horizontal="left" vertical="center" indent="1"/>
      <protection hidden="1"/>
    </xf>
    <xf numFmtId="0" fontId="23" fillId="0" borderId="0" xfId="0" applyFont="1" applyBorder="1" applyAlignment="1" applyProtection="1">
      <alignment horizontal="left" vertical="center" indent="1"/>
      <protection hidden="1"/>
    </xf>
    <xf numFmtId="174" fontId="165" fillId="69" borderId="72" xfId="0" applyNumberFormat="1" applyFont="1" applyFill="1" applyBorder="1" applyAlignment="1" applyProtection="1">
      <alignment horizontal="center" vertical="top"/>
      <protection locked="0"/>
    </xf>
    <xf numFmtId="174" fontId="165" fillId="69" borderId="323" xfId="0" applyNumberFormat="1" applyFont="1" applyFill="1" applyBorder="1" applyAlignment="1" applyProtection="1">
      <alignment horizontal="center" vertical="top"/>
      <protection locked="0"/>
    </xf>
    <xf numFmtId="1" fontId="30" fillId="69" borderId="71" xfId="0" applyNumberFormat="1" applyFont="1" applyFill="1" applyBorder="1" applyAlignment="1" applyProtection="1">
      <alignment horizontal="center"/>
      <protection hidden="1"/>
    </xf>
    <xf numFmtId="1" fontId="30" fillId="69" borderId="172" xfId="0" applyNumberFormat="1" applyFont="1" applyFill="1" applyBorder="1" applyAlignment="1" applyProtection="1">
      <alignment horizontal="center"/>
      <protection hidden="1"/>
    </xf>
    <xf numFmtId="166" fontId="306" fillId="0" borderId="0" xfId="0" applyNumberFormat="1" applyFont="1" applyBorder="1" applyAlignment="1" applyProtection="1">
      <alignment horizontal="center" vertical="center"/>
      <protection hidden="1"/>
    </xf>
    <xf numFmtId="0" fontId="30" fillId="69" borderId="71" xfId="0" applyNumberFormat="1" applyFont="1" applyFill="1" applyBorder="1" applyAlignment="1" applyProtection="1">
      <alignment horizontal="center"/>
      <protection locked="0"/>
    </xf>
    <xf numFmtId="0" fontId="30" fillId="69" borderId="172" xfId="0" applyNumberFormat="1" applyFont="1" applyFill="1" applyBorder="1" applyAlignment="1" applyProtection="1">
      <alignment horizontal="center"/>
      <protection locked="0"/>
    </xf>
    <xf numFmtId="0" fontId="20" fillId="59" borderId="185" xfId="0" applyFont="1" applyFill="1" applyBorder="1" applyAlignment="1" applyProtection="1">
      <alignment horizontal="left" vertical="center" indent="1"/>
      <protection hidden="1"/>
    </xf>
    <xf numFmtId="0" fontId="20" fillId="59" borderId="90" xfId="0" applyFont="1" applyFill="1" applyBorder="1" applyAlignment="1" applyProtection="1">
      <alignment horizontal="left" vertical="center" indent="1"/>
      <protection hidden="1"/>
    </xf>
    <xf numFmtId="0" fontId="0" fillId="59" borderId="90" xfId="0" applyFill="1" applyBorder="1" applyAlignment="1" applyProtection="1">
      <alignment horizontal="left" vertical="center" indent="1"/>
      <protection hidden="1"/>
    </xf>
    <xf numFmtId="0" fontId="0" fillId="59" borderId="399" xfId="0" applyFill="1" applyBorder="1" applyAlignment="1" applyProtection="1">
      <alignment horizontal="left" vertical="center" indent="1"/>
      <protection hidden="1"/>
    </xf>
    <xf numFmtId="0" fontId="25" fillId="24" borderId="238" xfId="0" applyFont="1" applyFill="1" applyBorder="1" applyAlignment="1" applyProtection="1">
      <alignment horizontal="left" vertical="center" indent="1"/>
      <protection hidden="1"/>
    </xf>
    <xf numFmtId="0" fontId="25" fillId="24" borderId="209" xfId="0" applyFont="1" applyFill="1" applyBorder="1" applyAlignment="1" applyProtection="1">
      <alignment horizontal="left" vertical="center" indent="1"/>
      <protection hidden="1"/>
    </xf>
    <xf numFmtId="0" fontId="0" fillId="0" borderId="209" xfId="0" applyBorder="1" applyAlignment="1">
      <alignment horizontal="left" vertical="center" indent="1"/>
    </xf>
    <xf numFmtId="0" fontId="111" fillId="0" borderId="438" xfId="0" quotePrefix="1" applyFont="1" applyBorder="1" applyAlignment="1" applyProtection="1">
      <alignment horizontal="left" vertical="center" indent="1"/>
      <protection hidden="1"/>
    </xf>
    <xf numFmtId="0" fontId="111" fillId="0" borderId="92" xfId="0" quotePrefix="1" applyFont="1" applyBorder="1" applyAlignment="1" applyProtection="1">
      <alignment horizontal="left" vertical="center" indent="1"/>
      <protection hidden="1"/>
    </xf>
    <xf numFmtId="0" fontId="0" fillId="0" borderId="92" xfId="0" applyBorder="1" applyAlignment="1">
      <alignment horizontal="left" vertical="center" indent="1"/>
    </xf>
    <xf numFmtId="0" fontId="0" fillId="0" borderId="439" xfId="0" applyBorder="1" applyAlignment="1">
      <alignment horizontal="left" vertical="center" indent="1"/>
    </xf>
    <xf numFmtId="0" fontId="20" fillId="59" borderId="357" xfId="0" applyFont="1" applyFill="1" applyBorder="1" applyAlignment="1" applyProtection="1">
      <alignment horizontal="left" vertical="center" indent="1"/>
      <protection hidden="1"/>
    </xf>
    <xf numFmtId="0" fontId="20" fillId="59" borderId="227" xfId="0" applyFont="1" applyFill="1" applyBorder="1" applyAlignment="1" applyProtection="1">
      <alignment horizontal="left" vertical="center" indent="1"/>
      <protection hidden="1"/>
    </xf>
    <xf numFmtId="0" fontId="0" fillId="59" borderId="227" xfId="0" applyFill="1" applyBorder="1" applyAlignment="1" applyProtection="1">
      <alignment horizontal="left" vertical="center" indent="1"/>
      <protection hidden="1"/>
    </xf>
    <xf numFmtId="0" fontId="0" fillId="59" borderId="382" xfId="0" applyFill="1" applyBorder="1" applyAlignment="1" applyProtection="1">
      <alignment horizontal="left" vertical="center" indent="1"/>
      <protection hidden="1"/>
    </xf>
    <xf numFmtId="0" fontId="23" fillId="0" borderId="235" xfId="0" applyFont="1" applyBorder="1" applyAlignment="1" applyProtection="1">
      <alignment horizontal="left" vertical="center" indent="1"/>
      <protection hidden="1"/>
    </xf>
    <xf numFmtId="0" fontId="23" fillId="0" borderId="69" xfId="0" applyFont="1" applyBorder="1" applyAlignment="1" applyProtection="1">
      <alignment horizontal="left" vertical="center" indent="1"/>
      <protection hidden="1"/>
    </xf>
    <xf numFmtId="0" fontId="0" fillId="0" borderId="69" xfId="0" applyBorder="1" applyAlignment="1">
      <alignment horizontal="left" vertical="center" indent="1"/>
    </xf>
    <xf numFmtId="0" fontId="0" fillId="0" borderId="435" xfId="0" applyBorder="1" applyAlignment="1">
      <alignment horizontal="left" vertical="center" indent="1"/>
    </xf>
    <xf numFmtId="0" fontId="20" fillId="59" borderId="136" xfId="0" applyFont="1" applyFill="1" applyBorder="1" applyAlignment="1" applyProtection="1">
      <alignment horizontal="left" vertical="center" indent="1"/>
      <protection hidden="1"/>
    </xf>
    <xf numFmtId="0" fontId="20" fillId="59" borderId="137" xfId="0" applyFont="1" applyFill="1" applyBorder="1" applyAlignment="1" applyProtection="1">
      <alignment horizontal="left" vertical="center" indent="1"/>
      <protection hidden="1"/>
    </xf>
    <xf numFmtId="0" fontId="0" fillId="59" borderId="135" xfId="0" applyFill="1" applyBorder="1" applyAlignment="1" applyProtection="1">
      <alignment horizontal="left" vertical="center" indent="1"/>
      <protection hidden="1"/>
    </xf>
    <xf numFmtId="0" fontId="23" fillId="0" borderId="237" xfId="0" applyFont="1" applyBorder="1" applyAlignment="1" applyProtection="1">
      <alignment horizontal="left" vertical="center" indent="1"/>
      <protection hidden="1"/>
    </xf>
    <xf numFmtId="0" fontId="23" fillId="0" borderId="91" xfId="0" applyFont="1" applyBorder="1" applyAlignment="1" applyProtection="1">
      <alignment horizontal="left" vertical="center" indent="1"/>
      <protection hidden="1"/>
    </xf>
    <xf numFmtId="0" fontId="0" fillId="0" borderId="91" xfId="0" applyBorder="1" applyAlignment="1">
      <alignment horizontal="left" vertical="center" indent="1"/>
    </xf>
    <xf numFmtId="0" fontId="0" fillId="0" borderId="437" xfId="0" applyBorder="1" applyAlignment="1">
      <alignment horizontal="left" vertical="center" indent="1"/>
    </xf>
    <xf numFmtId="0" fontId="20" fillId="59" borderId="224" xfId="0" applyFont="1" applyFill="1" applyBorder="1" applyAlignment="1" applyProtection="1">
      <alignment horizontal="left" vertical="center" indent="1"/>
      <protection hidden="1"/>
    </xf>
    <xf numFmtId="0" fontId="20" fillId="59" borderId="0" xfId="0" applyFont="1" applyFill="1" applyBorder="1" applyAlignment="1" applyProtection="1">
      <alignment horizontal="left" vertical="center" indent="1"/>
      <protection hidden="1"/>
    </xf>
    <xf numFmtId="0" fontId="0" fillId="59" borderId="0" xfId="0" applyFill="1" applyBorder="1" applyAlignment="1" applyProtection="1">
      <alignment horizontal="left" vertical="center" indent="1"/>
      <protection hidden="1"/>
    </xf>
    <xf numFmtId="0" fontId="0" fillId="59" borderId="293" xfId="0" applyFill="1" applyBorder="1" applyAlignment="1" applyProtection="1">
      <alignment horizontal="left" vertical="center" indent="1"/>
      <protection hidden="1"/>
    </xf>
    <xf numFmtId="0" fontId="314" fillId="0" borderId="185" xfId="0" applyFont="1" applyBorder="1" applyAlignment="1" applyProtection="1">
      <alignment horizontal="left" vertical="center" indent="1"/>
      <protection hidden="1"/>
    </xf>
    <xf numFmtId="0" fontId="314" fillId="0" borderId="90" xfId="0" applyFont="1" applyBorder="1" applyAlignment="1" applyProtection="1">
      <alignment horizontal="left" vertical="center" indent="1"/>
      <protection hidden="1"/>
    </xf>
    <xf numFmtId="0" fontId="315" fillId="0" borderId="90" xfId="0" applyFont="1" applyBorder="1" applyAlignment="1">
      <alignment horizontal="left" vertical="center" indent="1"/>
    </xf>
    <xf numFmtId="0" fontId="314" fillId="0" borderId="180" xfId="0" applyFont="1" applyBorder="1" applyAlignment="1" applyProtection="1">
      <alignment horizontal="left" vertical="center" indent="1"/>
      <protection hidden="1"/>
    </xf>
    <xf numFmtId="0" fontId="314" fillId="0" borderId="150" xfId="0" applyFont="1" applyBorder="1" applyAlignment="1" applyProtection="1">
      <alignment horizontal="left" vertical="center" indent="1"/>
      <protection hidden="1"/>
    </xf>
    <xf numFmtId="0" fontId="315" fillId="0" borderId="150" xfId="0" applyFont="1" applyBorder="1" applyAlignment="1">
      <alignment horizontal="left" vertical="center" indent="1"/>
    </xf>
    <xf numFmtId="0" fontId="60" fillId="0" borderId="224" xfId="0" applyFont="1" applyBorder="1" applyAlignment="1" applyProtection="1">
      <alignment horizontal="left" vertical="center" indent="1"/>
      <protection hidden="1"/>
    </xf>
    <xf numFmtId="0" fontId="60" fillId="0" borderId="0" xfId="0" applyFont="1" applyBorder="1" applyAlignment="1" applyProtection="1">
      <alignment horizontal="left" vertical="center" indent="1"/>
      <protection hidden="1"/>
    </xf>
    <xf numFmtId="0" fontId="0" fillId="0" borderId="293" xfId="0" applyBorder="1" applyAlignment="1">
      <alignment horizontal="left" vertical="center" indent="1"/>
    </xf>
    <xf numFmtId="0" fontId="23" fillId="0" borderId="229" xfId="0" applyFont="1" applyBorder="1" applyAlignment="1" applyProtection="1">
      <alignment horizontal="left" vertical="center" indent="1"/>
      <protection hidden="1"/>
    </xf>
    <xf numFmtId="0" fontId="23" fillId="0" borderId="208" xfId="0" applyFont="1" applyBorder="1" applyAlignment="1" applyProtection="1">
      <alignment horizontal="left" vertical="center" indent="1"/>
      <protection hidden="1"/>
    </xf>
    <xf numFmtId="0" fontId="0" fillId="0" borderId="208" xfId="0" applyBorder="1" applyAlignment="1">
      <alignment horizontal="left" vertical="center" indent="1"/>
    </xf>
    <xf numFmtId="0" fontId="0" fillId="0" borderId="434" xfId="0" applyBorder="1" applyAlignment="1">
      <alignment horizontal="left" vertical="center" indent="1"/>
    </xf>
    <xf numFmtId="0" fontId="165" fillId="69" borderId="160" xfId="0" applyFont="1" applyFill="1" applyBorder="1" applyAlignment="1" applyProtection="1">
      <alignment horizontal="left" vertical="top" indent="1"/>
      <protection hidden="1"/>
    </xf>
    <xf numFmtId="0" fontId="165" fillId="69" borderId="323" xfId="0" applyFont="1" applyFill="1" applyBorder="1" applyAlignment="1" applyProtection="1">
      <alignment horizontal="left" vertical="top" indent="1"/>
      <protection hidden="1"/>
    </xf>
    <xf numFmtId="0" fontId="57" fillId="0" borderId="235" xfId="0" quotePrefix="1" applyFont="1" applyBorder="1" applyAlignment="1" applyProtection="1">
      <alignment horizontal="left" vertical="center" indent="1"/>
      <protection hidden="1"/>
    </xf>
    <xf numFmtId="0" fontId="111" fillId="0" borderId="69" xfId="0" quotePrefix="1" applyFont="1" applyBorder="1" applyAlignment="1" applyProtection="1">
      <alignment horizontal="left" vertical="center" indent="1"/>
      <protection hidden="1"/>
    </xf>
    <xf numFmtId="0" fontId="0" fillId="0" borderId="69" xfId="0" applyBorder="1" applyAlignment="1" applyProtection="1">
      <alignment horizontal="left" vertical="center" indent="1"/>
      <protection hidden="1"/>
    </xf>
    <xf numFmtId="0" fontId="0" fillId="0" borderId="435" xfId="0" applyBorder="1" applyAlignment="1" applyProtection="1">
      <alignment horizontal="left" vertical="center" indent="1"/>
      <protection hidden="1"/>
    </xf>
    <xf numFmtId="0" fontId="30" fillId="69" borderId="203" xfId="0" applyFont="1" applyFill="1" applyBorder="1" applyAlignment="1" applyProtection="1">
      <alignment horizontal="left" indent="1"/>
      <protection hidden="1"/>
    </xf>
    <xf numFmtId="0" fontId="30" fillId="69" borderId="172" xfId="0" applyFont="1" applyFill="1" applyBorder="1" applyAlignment="1" applyProtection="1">
      <alignment horizontal="left" indent="1"/>
      <protection hidden="1"/>
    </xf>
    <xf numFmtId="0" fontId="20" fillId="26" borderId="414" xfId="0" applyFont="1" applyFill="1" applyBorder="1" applyAlignment="1" applyProtection="1">
      <alignment horizontal="left" vertical="center" indent="1"/>
      <protection hidden="1"/>
    </xf>
    <xf numFmtId="0" fontId="20" fillId="26" borderId="230" xfId="0" applyFont="1" applyFill="1" applyBorder="1" applyAlignment="1" applyProtection="1">
      <alignment horizontal="left" vertical="center" indent="1"/>
      <protection hidden="1"/>
    </xf>
    <xf numFmtId="0" fontId="150" fillId="0" borderId="230" xfId="0" applyFont="1" applyBorder="1" applyAlignment="1" applyProtection="1">
      <alignment horizontal="left" vertical="center" indent="1"/>
      <protection hidden="1"/>
    </xf>
    <xf numFmtId="0" fontId="150" fillId="0" borderId="443" xfId="0" applyFont="1" applyBorder="1" applyAlignment="1" applyProtection="1">
      <alignment horizontal="left" vertical="center" indent="1"/>
      <protection hidden="1"/>
    </xf>
    <xf numFmtId="0" fontId="185" fillId="59" borderId="375" xfId="0" applyFont="1" applyFill="1" applyBorder="1" applyAlignment="1" applyProtection="1">
      <alignment horizontal="left" vertical="center" indent="1"/>
      <protection hidden="1"/>
    </xf>
    <xf numFmtId="0" fontId="185" fillId="59" borderId="228" xfId="0" applyFont="1" applyFill="1" applyBorder="1" applyAlignment="1" applyProtection="1">
      <alignment horizontal="left" vertical="center" indent="1"/>
      <protection hidden="1"/>
    </xf>
    <xf numFmtId="0" fontId="4" fillId="59" borderId="228" xfId="0" applyFont="1" applyFill="1" applyBorder="1" applyAlignment="1">
      <alignment horizontal="left" vertical="center" indent="1"/>
    </xf>
    <xf numFmtId="0" fontId="4" fillId="59" borderId="379" xfId="0" applyFont="1" applyFill="1" applyBorder="1" applyAlignment="1">
      <alignment horizontal="left" vertical="center" indent="1"/>
    </xf>
    <xf numFmtId="0" fontId="111" fillId="0" borderId="235" xfId="0" quotePrefix="1" applyFont="1" applyBorder="1" applyAlignment="1" applyProtection="1">
      <alignment horizontal="left" vertical="center" indent="1"/>
      <protection hidden="1"/>
    </xf>
    <xf numFmtId="0" fontId="23" fillId="0" borderId="236" xfId="0" applyFont="1" applyBorder="1" applyAlignment="1" applyProtection="1">
      <alignment horizontal="left" vertical="center" indent="1"/>
      <protection hidden="1"/>
    </xf>
    <xf numFmtId="0" fontId="23" fillId="0" borderId="93" xfId="0" applyFont="1" applyBorder="1" applyAlignment="1" applyProtection="1">
      <alignment horizontal="left" vertical="center" indent="1"/>
      <protection hidden="1"/>
    </xf>
    <xf numFmtId="0" fontId="0" fillId="0" borderId="93" xfId="0" applyBorder="1" applyAlignment="1" applyProtection="1">
      <alignment horizontal="left" vertical="center" indent="1"/>
      <protection hidden="1"/>
    </xf>
    <xf numFmtId="0" fontId="0" fillId="0" borderId="436" xfId="0" applyBorder="1" applyAlignment="1" applyProtection="1">
      <alignment horizontal="left" vertical="center" indent="1"/>
      <protection hidden="1"/>
    </xf>
    <xf numFmtId="166" fontId="309" fillId="59" borderId="136" xfId="0" applyNumberFormat="1" applyFont="1" applyFill="1" applyBorder="1" applyAlignment="1" applyProtection="1">
      <alignment horizontal="center" vertical="center"/>
      <protection hidden="1"/>
    </xf>
    <xf numFmtId="166" fontId="309" fillId="59" borderId="137" xfId="0" applyNumberFormat="1" applyFont="1" applyFill="1" applyBorder="1" applyAlignment="1" applyProtection="1">
      <alignment horizontal="center" vertical="center"/>
      <protection hidden="1"/>
    </xf>
    <xf numFmtId="166" fontId="309" fillId="59" borderId="135" xfId="0" applyNumberFormat="1" applyFont="1" applyFill="1" applyBorder="1" applyAlignment="1" applyProtection="1">
      <alignment horizontal="center" vertical="center"/>
      <protection hidden="1"/>
    </xf>
    <xf numFmtId="0" fontId="0" fillId="0" borderId="93" xfId="0" applyBorder="1" applyAlignment="1">
      <alignment horizontal="left" vertical="center" indent="1"/>
    </xf>
    <xf numFmtId="0" fontId="0" fillId="0" borderId="436" xfId="0" applyBorder="1" applyAlignment="1">
      <alignment horizontal="left" vertical="center" indent="1"/>
    </xf>
    <xf numFmtId="0" fontId="213" fillId="59" borderId="71" xfId="0" applyFont="1" applyFill="1" applyBorder="1" applyAlignment="1" applyProtection="1">
      <alignment horizontal="left" vertical="center" wrapText="1" indent="6"/>
      <protection locked="0"/>
    </xf>
    <xf numFmtId="0" fontId="431" fillId="59" borderId="72" xfId="0" applyFont="1" applyFill="1" applyBorder="1" applyAlignment="1">
      <alignment horizontal="left" vertical="center" indent="6"/>
    </xf>
    <xf numFmtId="0" fontId="57" fillId="0" borderId="69" xfId="0" quotePrefix="1" applyFont="1" applyBorder="1" applyAlignment="1" applyProtection="1">
      <alignment horizontal="left" vertical="center" indent="1"/>
      <protection hidden="1"/>
    </xf>
    <xf numFmtId="0" fontId="278" fillId="32" borderId="0" xfId="0" applyFont="1" applyFill="1" applyBorder="1" applyAlignment="1" applyProtection="1">
      <alignment horizontal="center" vertical="center"/>
      <protection hidden="1"/>
    </xf>
    <xf numFmtId="0" fontId="0" fillId="0" borderId="208" xfId="0" applyBorder="1" applyAlignment="1" applyProtection="1">
      <alignment horizontal="left" vertical="center" indent="1"/>
      <protection hidden="1"/>
    </xf>
    <xf numFmtId="0" fontId="0" fillId="0" borderId="434" xfId="0" applyBorder="1" applyAlignment="1" applyProtection="1">
      <alignment horizontal="left" vertical="center" indent="1"/>
      <protection hidden="1"/>
    </xf>
    <xf numFmtId="0" fontId="296" fillId="0" borderId="224" xfId="13" applyFont="1" applyFill="1" applyBorder="1" applyAlignment="1" applyProtection="1">
      <alignment horizontal="left" vertical="center" indent="1"/>
      <protection locked="0"/>
    </xf>
    <xf numFmtId="0" fontId="296" fillId="0" borderId="0" xfId="13" applyFont="1" applyFill="1" applyBorder="1" applyAlignment="1" applyProtection="1">
      <alignment horizontal="left" vertical="center" indent="1"/>
      <protection locked="0"/>
    </xf>
    <xf numFmtId="0" fontId="296" fillId="0" borderId="0" xfId="13" applyFont="1" applyFill="1" applyBorder="1" applyAlignment="1">
      <alignment horizontal="left" vertical="center" indent="1"/>
    </xf>
    <xf numFmtId="0" fontId="313" fillId="46" borderId="238" xfId="0" applyFont="1" applyFill="1" applyBorder="1" applyAlignment="1" applyProtection="1">
      <alignment horizontal="left" vertical="center" indent="1"/>
      <protection hidden="1"/>
    </xf>
    <xf numFmtId="0" fontId="313" fillId="46" borderId="209" xfId="0" applyFont="1" applyFill="1" applyBorder="1" applyAlignment="1" applyProtection="1">
      <alignment horizontal="left" vertical="center" indent="1"/>
      <protection hidden="1"/>
    </xf>
    <xf numFmtId="0" fontId="91" fillId="0" borderId="209" xfId="0" applyFont="1" applyBorder="1" applyAlignment="1">
      <alignment horizontal="left" vertical="center" indent="1"/>
    </xf>
    <xf numFmtId="0" fontId="91" fillId="0" borderId="447" xfId="0" applyFont="1" applyBorder="1" applyAlignment="1">
      <alignment horizontal="left" vertical="center" indent="1"/>
    </xf>
    <xf numFmtId="0" fontId="200" fillId="70" borderId="136" xfId="0" applyFont="1" applyFill="1" applyBorder="1" applyAlignment="1" applyProtection="1">
      <alignment horizontal="left" vertical="center" wrapText="1" indent="1"/>
      <protection hidden="1"/>
    </xf>
    <xf numFmtId="0" fontId="200" fillId="70" borderId="137" xfId="0" applyFont="1" applyFill="1" applyBorder="1" applyAlignment="1" applyProtection="1">
      <alignment horizontal="left" vertical="center" wrapText="1" indent="1"/>
      <protection hidden="1"/>
    </xf>
    <xf numFmtId="0" fontId="200" fillId="70" borderId="135" xfId="0" applyFont="1" applyFill="1" applyBorder="1" applyAlignment="1" applyProtection="1">
      <alignment horizontal="left" vertical="center" wrapText="1" indent="1"/>
      <protection hidden="1"/>
    </xf>
    <xf numFmtId="0" fontId="184" fillId="59" borderId="71" xfId="0" applyFont="1" applyFill="1" applyBorder="1" applyAlignment="1" applyProtection="1">
      <alignment horizontal="center" vertical="center"/>
      <protection locked="0"/>
    </xf>
    <xf numFmtId="0" fontId="184" fillId="59" borderId="203" xfId="0" applyFont="1" applyFill="1" applyBorder="1" applyAlignment="1" applyProtection="1">
      <alignment horizontal="center" vertical="center"/>
      <protection locked="0"/>
    </xf>
    <xf numFmtId="0" fontId="103" fillId="0" borderId="203" xfId="0" applyFont="1" applyBorder="1" applyAlignment="1">
      <alignment horizontal="center" vertical="center"/>
    </xf>
    <xf numFmtId="0" fontId="103" fillId="0" borderId="72" xfId="0" applyFont="1" applyBorder="1" applyAlignment="1">
      <alignment horizontal="center" vertical="center"/>
    </xf>
    <xf numFmtId="0" fontId="103" fillId="0" borderId="160" xfId="0" applyFont="1" applyBorder="1" applyAlignment="1">
      <alignment horizontal="center" vertical="center"/>
    </xf>
    <xf numFmtId="0" fontId="23" fillId="0" borderId="185" xfId="0" applyFont="1" applyBorder="1" applyAlignment="1" applyProtection="1">
      <alignment horizontal="left" vertical="center" wrapText="1" indent="1"/>
      <protection hidden="1"/>
    </xf>
    <xf numFmtId="0" fontId="23" fillId="0" borderId="90" xfId="0" applyFont="1" applyBorder="1" applyAlignment="1" applyProtection="1">
      <alignment horizontal="left" vertical="center" wrapText="1" indent="1"/>
      <protection hidden="1"/>
    </xf>
    <xf numFmtId="0" fontId="0" fillId="0" borderId="90" xfId="0" applyBorder="1" applyAlignment="1">
      <alignment horizontal="left" vertical="center" indent="1"/>
    </xf>
    <xf numFmtId="0" fontId="0" fillId="0" borderId="74" xfId="0" applyBorder="1" applyAlignment="1">
      <alignment horizontal="left" vertical="center" indent="1"/>
    </xf>
    <xf numFmtId="0" fontId="310" fillId="0" borderId="0" xfId="0" applyFont="1" applyBorder="1" applyAlignment="1" applyProtection="1">
      <alignment horizontal="center" vertical="center" wrapText="1"/>
      <protection hidden="1"/>
    </xf>
    <xf numFmtId="0" fontId="311" fillId="0" borderId="0" xfId="0" applyFont="1" applyBorder="1" applyAlignment="1" applyProtection="1">
      <alignment horizontal="center" vertical="center" wrapText="1"/>
      <protection hidden="1"/>
    </xf>
    <xf numFmtId="0" fontId="23" fillId="0" borderId="298" xfId="0" applyFont="1" applyBorder="1" applyAlignment="1" applyProtection="1">
      <alignment horizontal="left" vertical="center" wrapText="1" indent="1"/>
      <protection hidden="1"/>
    </xf>
    <xf numFmtId="0" fontId="23" fillId="0" borderId="204" xfId="0" applyFont="1" applyBorder="1" applyAlignment="1" applyProtection="1">
      <alignment horizontal="left" vertical="center" wrapText="1" indent="1"/>
      <protection hidden="1"/>
    </xf>
    <xf numFmtId="0" fontId="0" fillId="0" borderId="204" xfId="0" applyBorder="1" applyAlignment="1">
      <alignment horizontal="left" vertical="center" indent="1"/>
    </xf>
    <xf numFmtId="0" fontId="0" fillId="0" borderId="318" xfId="0" applyBorder="1" applyAlignment="1">
      <alignment horizontal="left" vertical="center" indent="1"/>
    </xf>
    <xf numFmtId="0" fontId="57" fillId="0" borderId="236" xfId="0" quotePrefix="1" applyFont="1" applyBorder="1" applyAlignment="1" applyProtection="1">
      <alignment horizontal="left" vertical="center" indent="1"/>
      <protection hidden="1"/>
    </xf>
    <xf numFmtId="0" fontId="57" fillId="0" borderId="93" xfId="0" quotePrefix="1" applyFont="1" applyBorder="1" applyAlignment="1" applyProtection="1">
      <alignment horizontal="left" vertical="center" indent="1"/>
      <protection hidden="1"/>
    </xf>
    <xf numFmtId="0" fontId="23" fillId="0" borderId="185" xfId="0" applyFont="1" applyBorder="1" applyAlignment="1" applyProtection="1">
      <alignment horizontal="left" vertical="center" indent="1"/>
      <protection hidden="1"/>
    </xf>
    <xf numFmtId="0" fontId="23" fillId="0" borderId="90" xfId="0" applyFont="1" applyBorder="1" applyAlignment="1" applyProtection="1">
      <alignment horizontal="left" vertical="center" indent="1"/>
      <protection hidden="1"/>
    </xf>
    <xf numFmtId="0" fontId="314" fillId="0" borderId="224" xfId="0" applyFont="1" applyBorder="1" applyAlignment="1" applyProtection="1">
      <alignment horizontal="left" vertical="center" indent="1"/>
      <protection hidden="1"/>
    </xf>
    <xf numFmtId="0" fontId="314" fillId="0" borderId="0" xfId="0" applyFont="1" applyBorder="1" applyAlignment="1" applyProtection="1">
      <alignment horizontal="left" vertical="center" indent="1"/>
      <protection hidden="1"/>
    </xf>
    <xf numFmtId="0" fontId="315" fillId="0" borderId="0" xfId="0" applyFont="1" applyBorder="1" applyAlignment="1">
      <alignment horizontal="left" vertical="center" indent="1"/>
    </xf>
    <xf numFmtId="0" fontId="0" fillId="0" borderId="91" xfId="0" applyBorder="1" applyAlignment="1" applyProtection="1">
      <alignment horizontal="left" vertical="center" indent="1"/>
      <protection hidden="1"/>
    </xf>
    <xf numFmtId="0" fontId="0" fillId="0" borderId="437" xfId="0" applyBorder="1" applyAlignment="1" applyProtection="1">
      <alignment horizontal="left" vertical="center" indent="1"/>
      <protection hidden="1"/>
    </xf>
    <xf numFmtId="0" fontId="23" fillId="0" borderId="239" xfId="0" applyFont="1" applyBorder="1" applyAlignment="1" applyProtection="1">
      <alignment horizontal="left" vertical="center" indent="1"/>
      <protection hidden="1"/>
    </xf>
    <xf numFmtId="0" fontId="23" fillId="0" borderId="448" xfId="0" applyFont="1" applyBorder="1" applyAlignment="1" applyProtection="1">
      <alignment horizontal="left" vertical="center" indent="1"/>
      <protection hidden="1"/>
    </xf>
    <xf numFmtId="0" fontId="0" fillId="0" borderId="448" xfId="0" applyBorder="1" applyAlignment="1" applyProtection="1">
      <alignment horizontal="left" vertical="center" indent="1"/>
      <protection hidden="1"/>
    </xf>
    <xf numFmtId="0" fontId="0" fillId="0" borderId="449" xfId="0"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0" borderId="293" xfId="0" applyBorder="1" applyAlignment="1" applyProtection="1">
      <alignment horizontal="left" vertical="center" indent="1"/>
      <protection hidden="1"/>
    </xf>
    <xf numFmtId="0" fontId="25" fillId="24" borderId="185" xfId="0" applyFont="1" applyFill="1" applyBorder="1" applyAlignment="1" applyProtection="1">
      <alignment horizontal="left" vertical="center" indent="1"/>
      <protection hidden="1"/>
    </xf>
    <xf numFmtId="0" fontId="25" fillId="24" borderId="90" xfId="0" applyFont="1" applyFill="1" applyBorder="1" applyAlignment="1" applyProtection="1">
      <alignment horizontal="left" vertical="center" indent="1"/>
      <protection hidden="1"/>
    </xf>
    <xf numFmtId="0" fontId="0" fillId="0" borderId="399" xfId="0" applyBorder="1" applyAlignment="1">
      <alignment horizontal="left" vertical="center" indent="1"/>
    </xf>
    <xf numFmtId="0" fontId="20" fillId="59" borderId="72" xfId="0" applyFont="1" applyFill="1" applyBorder="1" applyAlignment="1" applyProtection="1">
      <alignment horizontal="left" vertical="center" indent="1"/>
      <protection hidden="1"/>
    </xf>
    <xf numFmtId="0" fontId="20" fillId="59" borderId="160" xfId="0" applyFont="1" applyFill="1" applyBorder="1" applyAlignment="1" applyProtection="1">
      <alignment horizontal="left" vertical="center" indent="1"/>
      <protection hidden="1"/>
    </xf>
    <xf numFmtId="0" fontId="0" fillId="59" borderId="160" xfId="0" applyFill="1" applyBorder="1" applyAlignment="1" applyProtection="1">
      <alignment horizontal="left" vertical="center" indent="1"/>
      <protection hidden="1"/>
    </xf>
    <xf numFmtId="0" fontId="0" fillId="59" borderId="323" xfId="0" applyFill="1" applyBorder="1" applyAlignment="1" applyProtection="1">
      <alignment horizontal="left" vertical="center" indent="1"/>
      <protection hidden="1"/>
    </xf>
    <xf numFmtId="0" fontId="20" fillId="59" borderId="238" xfId="0" applyFont="1" applyFill="1" applyBorder="1" applyAlignment="1" applyProtection="1">
      <alignment horizontal="left" vertical="center" indent="1"/>
      <protection hidden="1"/>
    </xf>
    <xf numFmtId="0" fontId="20" fillId="59" borderId="209" xfId="0" applyFont="1" applyFill="1" applyBorder="1" applyAlignment="1" applyProtection="1">
      <alignment horizontal="left" vertical="center" indent="1"/>
      <protection hidden="1"/>
    </xf>
    <xf numFmtId="0" fontId="0" fillId="59" borderId="209" xfId="0" applyFill="1" applyBorder="1" applyAlignment="1" applyProtection="1">
      <alignment horizontal="left" vertical="center" indent="1"/>
      <protection hidden="1"/>
    </xf>
    <xf numFmtId="0" fontId="0" fillId="59" borderId="447" xfId="0" applyFill="1" applyBorder="1" applyAlignment="1" applyProtection="1">
      <alignment horizontal="left" vertical="center" indent="1"/>
      <protection hidden="1"/>
    </xf>
    <xf numFmtId="0" fontId="243" fillId="0" borderId="236" xfId="0" applyFont="1" applyBorder="1" applyAlignment="1" applyProtection="1">
      <alignment horizontal="left" vertical="center" indent="1"/>
      <protection hidden="1"/>
    </xf>
    <xf numFmtId="0" fontId="243" fillId="0" borderId="93" xfId="0" applyFont="1" applyBorder="1" applyAlignment="1" applyProtection="1">
      <alignment horizontal="left" vertical="center" indent="1"/>
      <protection hidden="1"/>
    </xf>
    <xf numFmtId="0" fontId="278" fillId="32" borderId="0" xfId="0" applyFont="1" applyFill="1" applyBorder="1" applyAlignment="1" applyProtection="1">
      <alignment vertical="center"/>
      <protection hidden="1"/>
    </xf>
    <xf numFmtId="0" fontId="398" fillId="46" borderId="203" xfId="0" applyFont="1" applyFill="1" applyBorder="1" applyAlignment="1" applyProtection="1">
      <alignment horizontal="left" vertical="center" wrapText="1" indent="1"/>
      <protection hidden="1"/>
    </xf>
    <xf numFmtId="166" fontId="214" fillId="46" borderId="209" xfId="0" applyNumberFormat="1" applyFont="1" applyFill="1" applyBorder="1" applyAlignment="1" applyProtection="1">
      <alignment horizontal="left" vertical="center" indent="1"/>
      <protection hidden="1"/>
    </xf>
    <xf numFmtId="0" fontId="274" fillId="46" borderId="238" xfId="0" applyFont="1" applyFill="1" applyBorder="1" applyAlignment="1" applyProtection="1">
      <alignment horizontal="left" vertical="center" indent="1"/>
      <protection hidden="1"/>
    </xf>
    <xf numFmtId="0" fontId="274" fillId="46" borderId="209" xfId="0" applyFont="1" applyFill="1" applyBorder="1" applyAlignment="1" applyProtection="1">
      <alignment horizontal="left" vertical="center" indent="1"/>
      <protection hidden="1"/>
    </xf>
    <xf numFmtId="0" fontId="274" fillId="46" borderId="447" xfId="0" applyFont="1" applyFill="1" applyBorder="1" applyAlignment="1" applyProtection="1">
      <alignment horizontal="left" vertical="center" indent="1"/>
      <protection hidden="1"/>
    </xf>
    <xf numFmtId="183" fontId="292" fillId="0" borderId="219" xfId="0" applyNumberFormat="1" applyFont="1" applyFill="1" applyBorder="1" applyAlignment="1" applyProtection="1">
      <alignment horizontal="left" vertical="center" indent="1"/>
      <protection locked="0"/>
    </xf>
    <xf numFmtId="0" fontId="0" fillId="0" borderId="150" xfId="0" applyBorder="1" applyAlignment="1">
      <alignment horizontal="left" vertical="center" indent="1"/>
    </xf>
    <xf numFmtId="0" fontId="0" fillId="0" borderId="181" xfId="0" applyBorder="1" applyAlignment="1">
      <alignment horizontal="left" vertical="center" indent="1"/>
    </xf>
    <xf numFmtId="0" fontId="73" fillId="68" borderId="238" xfId="0" applyFont="1" applyFill="1" applyBorder="1" applyAlignment="1" applyProtection="1">
      <alignment horizontal="left" vertical="center" indent="1"/>
      <protection hidden="1"/>
    </xf>
    <xf numFmtId="0" fontId="73" fillId="68" borderId="209" xfId="0" applyFont="1" applyFill="1" applyBorder="1" applyAlignment="1" applyProtection="1">
      <alignment horizontal="left" vertical="center" indent="1"/>
      <protection hidden="1"/>
    </xf>
    <xf numFmtId="183" fontId="305" fillId="0" borderId="131" xfId="0" applyNumberFormat="1" applyFont="1" applyFill="1" applyBorder="1" applyAlignment="1" applyProtection="1">
      <alignment horizontal="left" vertical="center" indent="1"/>
      <protection locked="0"/>
    </xf>
    <xf numFmtId="183" fontId="292" fillId="0" borderId="291" xfId="0" applyNumberFormat="1" applyFont="1" applyFill="1" applyBorder="1" applyAlignment="1" applyProtection="1">
      <alignment horizontal="left" vertical="center" indent="1"/>
      <protection locked="0"/>
    </xf>
    <xf numFmtId="0" fontId="0" fillId="0" borderId="364" xfId="0" applyBorder="1" applyAlignment="1">
      <alignment horizontal="left" vertical="center" indent="1"/>
    </xf>
    <xf numFmtId="0" fontId="243" fillId="46" borderId="71" xfId="0" applyFont="1" applyFill="1" applyBorder="1" applyAlignment="1" applyProtection="1">
      <alignment horizontal="left" vertical="center" indent="1"/>
      <protection hidden="1"/>
    </xf>
    <xf numFmtId="0" fontId="243" fillId="46" borderId="203" xfId="0" applyFont="1" applyFill="1" applyBorder="1" applyAlignment="1" applyProtection="1">
      <alignment horizontal="left" vertical="center" indent="1"/>
      <protection hidden="1"/>
    </xf>
    <xf numFmtId="0" fontId="16" fillId="46" borderId="203" xfId="0" applyFont="1" applyFill="1" applyBorder="1" applyAlignment="1" applyProtection="1">
      <alignment horizontal="left" vertical="center" indent="1"/>
      <protection hidden="1"/>
    </xf>
    <xf numFmtId="0" fontId="16" fillId="46" borderId="172" xfId="0" applyFont="1" applyFill="1" applyBorder="1" applyAlignment="1" applyProtection="1">
      <alignment horizontal="left" vertical="center" indent="1"/>
      <protection hidden="1"/>
    </xf>
    <xf numFmtId="0" fontId="30" fillId="33" borderId="136" xfId="0" applyFont="1" applyFill="1" applyBorder="1" applyAlignment="1" applyProtection="1">
      <alignment horizontal="center" vertical="center"/>
      <protection hidden="1"/>
    </xf>
    <xf numFmtId="0" fontId="30" fillId="33" borderId="137" xfId="0" applyFont="1" applyFill="1" applyBorder="1" applyAlignment="1" applyProtection="1">
      <alignment horizontal="center" vertical="center"/>
      <protection hidden="1"/>
    </xf>
    <xf numFmtId="0" fontId="30" fillId="33" borderId="135" xfId="0" applyFont="1" applyFill="1" applyBorder="1" applyAlignment="1" applyProtection="1">
      <alignment horizontal="center" vertical="center"/>
      <protection hidden="1"/>
    </xf>
    <xf numFmtId="0" fontId="402" fillId="0" borderId="0" xfId="0" applyFont="1" applyBorder="1" applyAlignment="1" applyProtection="1">
      <alignment horizontal="left" vertical="center"/>
      <protection hidden="1"/>
    </xf>
    <xf numFmtId="0" fontId="402" fillId="0" borderId="293" xfId="0" applyFont="1" applyBorder="1" applyAlignment="1" applyProtection="1">
      <alignment horizontal="left" vertical="center"/>
      <protection hidden="1"/>
    </xf>
    <xf numFmtId="0" fontId="402" fillId="0" borderId="0" xfId="0" applyFont="1" applyBorder="1" applyAlignment="1" applyProtection="1">
      <alignment horizontal="center" vertical="center"/>
      <protection hidden="1"/>
    </xf>
    <xf numFmtId="0" fontId="274" fillId="0" borderId="130" xfId="0" applyFont="1" applyFill="1" applyBorder="1" applyAlignment="1" applyProtection="1">
      <alignment horizontal="center" vertical="center" wrapText="1"/>
      <protection hidden="1"/>
    </xf>
    <xf numFmtId="0" fontId="274" fillId="0" borderId="0" xfId="0" applyFont="1" applyFill="1" applyBorder="1" applyAlignment="1" applyProtection="1">
      <alignment horizontal="center" vertical="center" wrapText="1"/>
      <protection hidden="1"/>
    </xf>
    <xf numFmtId="0" fontId="62" fillId="25" borderId="290" xfId="0" applyFont="1" applyFill="1" applyBorder="1" applyAlignment="1" applyProtection="1">
      <alignment horizontal="left" vertical="center" wrapText="1" indent="1"/>
      <protection locked="0" hidden="1"/>
    </xf>
    <xf numFmtId="0" fontId="62" fillId="25" borderId="561" xfId="0" applyFont="1" applyFill="1" applyBorder="1" applyAlignment="1" applyProtection="1">
      <alignment horizontal="left" vertical="center" wrapText="1" indent="1"/>
      <protection locked="0" hidden="1"/>
    </xf>
    <xf numFmtId="183" fontId="292" fillId="0" borderId="71" xfId="0" applyNumberFormat="1" applyFont="1" applyFill="1" applyBorder="1" applyAlignment="1" applyProtection="1">
      <alignment horizontal="left" vertical="center" indent="1"/>
      <protection locked="0"/>
    </xf>
    <xf numFmtId="0" fontId="0" fillId="0" borderId="559" xfId="0" applyBorder="1" applyAlignment="1">
      <alignment horizontal="left" vertical="center" indent="1"/>
    </xf>
    <xf numFmtId="0" fontId="0" fillId="0" borderId="182" xfId="0" applyBorder="1" applyAlignment="1">
      <alignment horizontal="left" vertical="center" indent="1"/>
    </xf>
    <xf numFmtId="0" fontId="0" fillId="0" borderId="560" xfId="0" applyBorder="1" applyAlignment="1">
      <alignment horizontal="left" vertical="center" indent="1"/>
    </xf>
    <xf numFmtId="183" fontId="292" fillId="0" borderId="180" xfId="0" applyNumberFormat="1" applyFont="1" applyFill="1" applyBorder="1" applyAlignment="1" applyProtection="1">
      <alignment horizontal="left" vertical="center" indent="1"/>
      <protection locked="0"/>
    </xf>
    <xf numFmtId="0" fontId="0" fillId="0" borderId="491" xfId="0" applyBorder="1" applyAlignment="1">
      <alignment horizontal="left" vertical="center" indent="1"/>
    </xf>
    <xf numFmtId="0" fontId="229" fillId="46" borderId="354" xfId="0" applyFont="1" applyFill="1" applyBorder="1" applyAlignment="1" applyProtection="1">
      <alignment horizontal="left" vertical="center" wrapText="1" indent="1"/>
      <protection hidden="1"/>
    </xf>
    <xf numFmtId="0" fontId="0" fillId="0" borderId="350" xfId="0" applyBorder="1" applyAlignment="1">
      <alignment horizontal="left" vertical="center" wrapText="1" indent="1"/>
    </xf>
    <xf numFmtId="166" fontId="216" fillId="46" borderId="238" xfId="0" applyNumberFormat="1" applyFont="1" applyFill="1" applyBorder="1" applyAlignment="1" applyProtection="1">
      <alignment horizontal="left" vertical="center" wrapText="1" indent="1"/>
      <protection hidden="1"/>
    </xf>
    <xf numFmtId="0" fontId="0" fillId="0" borderId="209" xfId="0" applyBorder="1" applyAlignment="1">
      <alignment horizontal="left" vertical="center" wrapText="1" indent="1"/>
    </xf>
    <xf numFmtId="0" fontId="248" fillId="55" borderId="136" xfId="0" applyFont="1" applyFill="1" applyBorder="1" applyAlignment="1" applyProtection="1">
      <alignment horizontal="left" vertical="center" indent="1"/>
      <protection hidden="1"/>
    </xf>
    <xf numFmtId="0" fontId="0" fillId="0" borderId="217" xfId="0" applyBorder="1" applyAlignment="1">
      <alignment horizontal="left" vertical="center" indent="1"/>
    </xf>
    <xf numFmtId="0" fontId="23" fillId="0" borderId="71" xfId="0" applyFont="1" applyBorder="1" applyAlignment="1" applyProtection="1">
      <alignment horizontal="left" vertical="center" wrapText="1" indent="1"/>
      <protection hidden="1"/>
    </xf>
    <xf numFmtId="0" fontId="4" fillId="0" borderId="224" xfId="0" applyFont="1" applyBorder="1" applyAlignment="1">
      <alignment horizontal="left" vertical="center" indent="1"/>
    </xf>
    <xf numFmtId="0" fontId="0" fillId="0" borderId="147" xfId="0" applyBorder="1" applyAlignment="1">
      <alignment horizontal="left" vertical="center" indent="1"/>
    </xf>
    <xf numFmtId="0" fontId="4" fillId="0" borderId="182" xfId="0" applyFont="1" applyBorder="1" applyAlignment="1">
      <alignment horizontal="left" vertical="center" indent="1"/>
    </xf>
    <xf numFmtId="0" fontId="23" fillId="0" borderId="180" xfId="0" applyFont="1" applyBorder="1" applyAlignment="1" applyProtection="1">
      <alignment horizontal="left" vertical="center" wrapText="1" indent="1"/>
      <protection hidden="1"/>
    </xf>
    <xf numFmtId="0" fontId="0" fillId="0" borderId="224" xfId="0" applyBorder="1" applyAlignment="1">
      <alignment horizontal="left" vertical="center" indent="1"/>
    </xf>
    <xf numFmtId="0" fontId="20" fillId="25" borderId="375" xfId="0" applyFont="1" applyFill="1" applyBorder="1" applyAlignment="1" applyProtection="1">
      <alignment horizontal="left" vertical="center" indent="1"/>
      <protection hidden="1"/>
    </xf>
    <xf numFmtId="0" fontId="20" fillId="25" borderId="228" xfId="0" applyFont="1" applyFill="1" applyBorder="1" applyAlignment="1" applyProtection="1">
      <alignment horizontal="left" vertical="center" indent="1"/>
      <protection hidden="1"/>
    </xf>
    <xf numFmtId="0" fontId="0" fillId="0" borderId="228" xfId="0" applyBorder="1" applyAlignment="1" applyProtection="1">
      <alignment horizontal="left" vertical="center" indent="1"/>
      <protection hidden="1"/>
    </xf>
    <xf numFmtId="0" fontId="0" fillId="0" borderId="379" xfId="0" applyBorder="1" applyAlignment="1" applyProtection="1">
      <alignment horizontal="left" vertical="center" indent="1"/>
      <protection hidden="1"/>
    </xf>
    <xf numFmtId="0" fontId="25" fillId="0" borderId="136" xfId="0" applyFont="1" applyFill="1" applyBorder="1" applyAlignment="1" applyProtection="1">
      <alignment horizontal="left" vertical="center" indent="1"/>
      <protection hidden="1"/>
    </xf>
    <xf numFmtId="0" fontId="25" fillId="0" borderId="137" xfId="0" applyFont="1" applyFill="1" applyBorder="1" applyAlignment="1" applyProtection="1">
      <alignment horizontal="left" vertical="center" indent="1"/>
      <protection hidden="1"/>
    </xf>
    <xf numFmtId="0" fontId="4" fillId="0" borderId="137" xfId="0" applyFont="1" applyBorder="1" applyAlignment="1">
      <alignment horizontal="left" vertical="center" indent="1"/>
    </xf>
    <xf numFmtId="0" fontId="4" fillId="0" borderId="137" xfId="0" applyFont="1" applyBorder="1" applyAlignment="1">
      <alignment horizontal="left" indent="1"/>
    </xf>
    <xf numFmtId="0" fontId="4" fillId="0" borderId="135" xfId="0" applyFont="1" applyBorder="1" applyAlignment="1">
      <alignment horizontal="left" indent="1"/>
    </xf>
    <xf numFmtId="0" fontId="60" fillId="0" borderId="235" xfId="0" applyFont="1" applyBorder="1" applyAlignment="1" applyProtection="1">
      <alignment horizontal="left" vertical="center" indent="1"/>
      <protection hidden="1"/>
    </xf>
    <xf numFmtId="0" fontId="60" fillId="0" borderId="69" xfId="0" applyFont="1" applyBorder="1" applyAlignment="1" applyProtection="1">
      <alignment horizontal="left" vertical="center" indent="1"/>
      <protection hidden="1"/>
    </xf>
    <xf numFmtId="0" fontId="60" fillId="0" borderId="236" xfId="0" applyFont="1" applyBorder="1" applyAlignment="1" applyProtection="1">
      <alignment horizontal="left" vertical="center" indent="1"/>
      <protection hidden="1"/>
    </xf>
    <xf numFmtId="0" fontId="60" fillId="0" borderId="93" xfId="0" applyFont="1" applyBorder="1" applyAlignment="1" applyProtection="1">
      <alignment horizontal="left" vertical="center" indent="1"/>
      <protection hidden="1"/>
    </xf>
    <xf numFmtId="0" fontId="25" fillId="37" borderId="185" xfId="0" applyFont="1" applyFill="1" applyBorder="1" applyAlignment="1" applyProtection="1">
      <alignment horizontal="left" vertical="center" indent="1"/>
      <protection hidden="1"/>
    </xf>
    <xf numFmtId="0" fontId="25" fillId="37" borderId="90" xfId="0" applyFont="1" applyFill="1" applyBorder="1" applyAlignment="1" applyProtection="1">
      <alignment horizontal="left" vertical="center" indent="1"/>
      <protection hidden="1"/>
    </xf>
    <xf numFmtId="0" fontId="105" fillId="37" borderId="90" xfId="0" applyFont="1" applyFill="1" applyBorder="1" applyAlignment="1" applyProtection="1">
      <alignment horizontal="left" vertical="center" indent="1"/>
      <protection hidden="1"/>
    </xf>
    <xf numFmtId="0" fontId="23" fillId="0" borderId="71" xfId="0" applyFont="1" applyBorder="1" applyAlignment="1" applyProtection="1">
      <alignment horizontal="left" vertical="center" indent="1"/>
      <protection hidden="1"/>
    </xf>
    <xf numFmtId="0" fontId="23" fillId="0" borderId="203" xfId="0" applyFont="1" applyBorder="1" applyAlignment="1" applyProtection="1">
      <alignment horizontal="left" vertical="center" indent="1"/>
      <protection hidden="1"/>
    </xf>
    <xf numFmtId="0" fontId="0" fillId="0" borderId="203" xfId="0" applyBorder="1" applyAlignment="1" applyProtection="1">
      <alignment horizontal="left" vertical="center" indent="1"/>
      <protection hidden="1"/>
    </xf>
    <xf numFmtId="0" fontId="0" fillId="0" borderId="172" xfId="0" applyBorder="1" applyAlignment="1" applyProtection="1">
      <alignment horizontal="left" vertical="center" indent="1"/>
      <protection hidden="1"/>
    </xf>
    <xf numFmtId="0" fontId="23" fillId="0" borderId="440" xfId="0" applyFont="1" applyBorder="1" applyAlignment="1" applyProtection="1">
      <alignment horizontal="left" vertical="center" indent="1"/>
      <protection hidden="1"/>
    </xf>
    <xf numFmtId="0" fontId="23" fillId="0" borderId="207" xfId="0" applyFont="1" applyBorder="1" applyAlignment="1" applyProtection="1">
      <alignment horizontal="left" vertical="center" indent="1"/>
      <protection hidden="1"/>
    </xf>
    <xf numFmtId="0" fontId="0" fillId="0" borderId="207" xfId="0" applyBorder="1" applyAlignment="1" applyProtection="1">
      <alignment horizontal="left" vertical="center" indent="1"/>
      <protection hidden="1"/>
    </xf>
    <xf numFmtId="0" fontId="0" fillId="0" borderId="441" xfId="0" applyBorder="1" applyAlignment="1" applyProtection="1">
      <alignment horizontal="left" vertical="center" indent="1"/>
      <protection hidden="1"/>
    </xf>
    <xf numFmtId="0" fontId="0" fillId="0" borderId="207" xfId="0" applyBorder="1" applyAlignment="1">
      <alignment horizontal="left" vertical="center" indent="1"/>
    </xf>
    <xf numFmtId="0" fontId="0" fillId="0" borderId="441" xfId="0" applyBorder="1" applyAlignment="1">
      <alignment horizontal="left" vertical="center" indent="1"/>
    </xf>
    <xf numFmtId="0" fontId="0" fillId="0" borderId="448" xfId="0" applyBorder="1" applyAlignment="1">
      <alignment horizontal="left" vertical="center" indent="1"/>
    </xf>
    <xf numFmtId="0" fontId="0" fillId="0" borderId="449" xfId="0" applyBorder="1" applyAlignment="1">
      <alignment horizontal="left" vertical="center" indent="1"/>
    </xf>
    <xf numFmtId="0" fontId="253" fillId="55" borderId="243" xfId="0" applyFont="1" applyFill="1" applyBorder="1" applyAlignment="1" applyProtection="1">
      <alignment horizontal="left" vertical="center" indent="1"/>
      <protection hidden="1"/>
    </xf>
    <xf numFmtId="0" fontId="253" fillId="55" borderId="218" xfId="0" applyFont="1" applyFill="1" applyBorder="1" applyAlignment="1" applyProtection="1">
      <alignment horizontal="left" vertical="center" indent="1"/>
      <protection hidden="1"/>
    </xf>
    <xf numFmtId="0" fontId="34" fillId="59" borderId="218" xfId="0" applyFont="1" applyFill="1" applyBorder="1" applyAlignment="1" applyProtection="1">
      <alignment horizontal="center" vertical="center"/>
      <protection hidden="1"/>
    </xf>
    <xf numFmtId="0" fontId="186" fillId="0" borderId="0" xfId="0" applyFont="1" applyFill="1" applyBorder="1" applyAlignment="1" applyProtection="1">
      <alignment horizontal="center"/>
      <protection hidden="1"/>
    </xf>
    <xf numFmtId="0" fontId="243" fillId="0" borderId="51" xfId="0" applyFont="1" applyBorder="1" applyAlignment="1" applyProtection="1">
      <alignment horizontal="left" vertical="center" indent="1"/>
      <protection locked="0"/>
    </xf>
    <xf numFmtId="0" fontId="243" fillId="0" borderId="69" xfId="0" applyFont="1" applyBorder="1" applyAlignment="1" applyProtection="1">
      <alignment horizontal="left" vertical="center" indent="1"/>
      <protection locked="0"/>
    </xf>
    <xf numFmtId="0" fontId="243" fillId="0" borderId="41" xfId="0" applyFont="1" applyBorder="1" applyAlignment="1" applyProtection="1">
      <alignment horizontal="left" vertical="center" indent="1"/>
      <protection locked="0"/>
    </xf>
    <xf numFmtId="0" fontId="243" fillId="0" borderId="108" xfId="0" applyFont="1" applyBorder="1" applyAlignment="1" applyProtection="1">
      <alignment horizontal="left" vertical="center" indent="1"/>
      <protection locked="0"/>
    </xf>
    <xf numFmtId="0" fontId="243" fillId="0" borderId="109" xfId="0" applyFont="1" applyBorder="1" applyAlignment="1" applyProtection="1">
      <alignment horizontal="left" vertical="center" indent="1"/>
      <protection locked="0"/>
    </xf>
    <xf numFmtId="0" fontId="243" fillId="0" borderId="110" xfId="0" applyFont="1" applyBorder="1" applyAlignment="1" applyProtection="1">
      <alignment horizontal="left" vertical="center" indent="1"/>
      <protection locked="0"/>
    </xf>
    <xf numFmtId="0" fontId="333" fillId="47" borderId="111" xfId="0" applyFont="1" applyFill="1" applyBorder="1" applyAlignment="1" applyProtection="1">
      <alignment horizontal="left" vertical="center" indent="1"/>
      <protection hidden="1"/>
    </xf>
    <xf numFmtId="0" fontId="249" fillId="0" borderId="97" xfId="0" applyFont="1" applyBorder="1">
      <alignment horizontal="right"/>
    </xf>
    <xf numFmtId="0" fontId="249" fillId="0" borderId="98" xfId="0" applyFont="1" applyBorder="1">
      <alignment horizontal="right"/>
    </xf>
    <xf numFmtId="3" fontId="334" fillId="46" borderId="105" xfId="0" applyNumberFormat="1" applyFont="1" applyFill="1" applyBorder="1" applyAlignment="1" applyProtection="1">
      <alignment horizontal="left" vertical="center" wrapText="1" indent="1"/>
      <protection hidden="1"/>
    </xf>
    <xf numFmtId="3" fontId="334" fillId="46" borderId="49" xfId="0" applyNumberFormat="1" applyFont="1" applyFill="1" applyBorder="1" applyAlignment="1" applyProtection="1">
      <alignment horizontal="left" vertical="center" indent="1"/>
      <protection hidden="1"/>
    </xf>
    <xf numFmtId="0" fontId="249" fillId="46" borderId="106" xfId="0" applyFont="1" applyFill="1" applyBorder="1" applyAlignment="1">
      <alignment horizontal="left" vertical="center" indent="1"/>
    </xf>
    <xf numFmtId="3" fontId="334" fillId="46" borderId="46" xfId="0" applyNumberFormat="1" applyFont="1" applyFill="1" applyBorder="1" applyAlignment="1" applyProtection="1">
      <alignment horizontal="left" vertical="center" wrapText="1" indent="1"/>
      <protection hidden="1"/>
    </xf>
    <xf numFmtId="0" fontId="249" fillId="46" borderId="47" xfId="0" applyFont="1" applyFill="1" applyBorder="1" applyAlignment="1">
      <alignment horizontal="left" vertical="center" indent="1"/>
    </xf>
    <xf numFmtId="0" fontId="333" fillId="47" borderId="56" xfId="0" applyFont="1" applyFill="1" applyBorder="1" applyAlignment="1" applyProtection="1">
      <alignment horizontal="left" vertical="center" indent="1"/>
      <protection hidden="1"/>
    </xf>
    <xf numFmtId="0" fontId="249" fillId="0" borderId="62" xfId="0" applyFont="1" applyBorder="1" applyAlignment="1">
      <alignment horizontal="left" vertical="center" indent="1"/>
    </xf>
    <xf numFmtId="0" fontId="249" fillId="0" borderId="63" xfId="0" applyFont="1" applyBorder="1" applyAlignment="1">
      <alignment horizontal="left" vertical="center" indent="1"/>
    </xf>
    <xf numFmtId="3" fontId="216" fillId="46" borderId="50" xfId="0" applyNumberFormat="1" applyFont="1" applyFill="1" applyBorder="1" applyAlignment="1" applyProtection="1">
      <alignment horizontal="left" vertical="center" wrapText="1" indent="1"/>
      <protection hidden="1"/>
    </xf>
    <xf numFmtId="3" fontId="216" fillId="46" borderId="49" xfId="0" applyNumberFormat="1" applyFont="1" applyFill="1" applyBorder="1" applyAlignment="1" applyProtection="1">
      <alignment horizontal="left" vertical="center" wrapText="1" indent="1"/>
      <protection hidden="1"/>
    </xf>
    <xf numFmtId="3" fontId="216" fillId="46" borderId="49" xfId="0" applyNumberFormat="1" applyFont="1" applyFill="1" applyBorder="1" applyAlignment="1" applyProtection="1">
      <alignment horizontal="left" vertical="center" indent="1"/>
      <protection hidden="1"/>
    </xf>
    <xf numFmtId="0" fontId="214" fillId="46" borderId="49" xfId="0" applyFont="1" applyFill="1" applyBorder="1" applyAlignment="1">
      <alignment horizontal="left" vertical="center" indent="1"/>
    </xf>
    <xf numFmtId="0" fontId="214" fillId="0" borderId="49" xfId="0" applyFont="1" applyBorder="1" applyAlignment="1">
      <alignment horizontal="left" vertical="center" indent="1"/>
    </xf>
    <xf numFmtId="0" fontId="214" fillId="0" borderId="52" xfId="0" applyFont="1" applyBorder="1" applyAlignment="1">
      <alignment horizontal="left" vertical="center" indent="1"/>
    </xf>
    <xf numFmtId="0" fontId="243" fillId="0" borderId="105" xfId="0" applyFont="1" applyBorder="1" applyAlignment="1" applyProtection="1">
      <alignment horizontal="left" vertical="center" indent="1"/>
      <protection locked="0"/>
    </xf>
    <xf numFmtId="0" fontId="243" fillId="0" borderId="107" xfId="0" applyFont="1" applyBorder="1" applyAlignment="1" applyProtection="1">
      <alignment horizontal="left" vertical="center" indent="1"/>
      <protection locked="0"/>
    </xf>
    <xf numFmtId="0" fontId="243" fillId="0" borderId="40" xfId="0" applyFont="1" applyBorder="1" applyAlignment="1" applyProtection="1">
      <alignment horizontal="left" vertical="center" indent="1"/>
      <protection locked="0"/>
    </xf>
    <xf numFmtId="0" fontId="249" fillId="0" borderId="38" xfId="0" applyFont="1" applyBorder="1">
      <alignment horizontal="right"/>
    </xf>
    <xf numFmtId="0" fontId="243" fillId="0" borderId="112" xfId="0" applyFont="1" applyBorder="1" applyAlignment="1" applyProtection="1">
      <alignment horizontal="left" vertical="center" indent="1"/>
      <protection hidden="1"/>
    </xf>
    <xf numFmtId="0" fontId="243" fillId="0" borderId="91" xfId="0" applyFont="1" applyBorder="1" applyAlignment="1" applyProtection="1">
      <alignment horizontal="left" vertical="center" indent="1"/>
      <protection hidden="1"/>
    </xf>
    <xf numFmtId="0" fontId="243" fillId="0" borderId="113" xfId="0" applyFont="1" applyBorder="1" applyAlignment="1" applyProtection="1">
      <alignment horizontal="left" vertical="center" indent="1"/>
      <protection hidden="1"/>
    </xf>
    <xf numFmtId="0" fontId="11" fillId="0" borderId="51" xfId="32" applyBorder="1" applyAlignment="1" applyProtection="1">
      <alignment horizontal="left" vertical="center" indent="1"/>
      <protection hidden="1"/>
    </xf>
    <xf numFmtId="0" fontId="11" fillId="0" borderId="69" xfId="32" applyBorder="1" applyAlignment="1" applyProtection="1">
      <alignment horizontal="left" vertical="center" indent="1"/>
    </xf>
    <xf numFmtId="0" fontId="198" fillId="0" borderId="100" xfId="32" applyFont="1" applyBorder="1" applyAlignment="1" applyProtection="1">
      <alignment horizontal="left" vertical="center" indent="1"/>
      <protection locked="0"/>
    </xf>
    <xf numFmtId="0" fontId="198" fillId="0" borderId="101" xfId="32" applyFont="1" applyBorder="1" applyAlignment="1" applyProtection="1">
      <alignment horizontal="left" vertical="center" indent="1"/>
      <protection locked="0"/>
    </xf>
    <xf numFmtId="0" fontId="198" fillId="0" borderId="102" xfId="32" applyFont="1" applyBorder="1" applyAlignment="1" applyProtection="1">
      <alignment horizontal="left" vertical="center" indent="1"/>
      <protection locked="0"/>
    </xf>
    <xf numFmtId="0" fontId="243" fillId="0" borderId="51" xfId="0" applyFont="1" applyBorder="1" applyAlignment="1" applyProtection="1">
      <alignment horizontal="left" vertical="center" indent="1"/>
      <protection hidden="1"/>
    </xf>
    <xf numFmtId="0" fontId="243" fillId="0" borderId="69" xfId="0" applyFont="1" applyBorder="1" applyAlignment="1" applyProtection="1">
      <alignment horizontal="left" vertical="center" indent="1"/>
      <protection hidden="1"/>
    </xf>
    <xf numFmtId="0" fontId="243" fillId="0" borderId="69" xfId="0" applyFont="1" applyBorder="1" applyAlignment="1">
      <alignment horizontal="left" vertical="center" indent="1"/>
    </xf>
    <xf numFmtId="3" fontId="334" fillId="46" borderId="49" xfId="0" applyNumberFormat="1" applyFont="1" applyFill="1" applyBorder="1" applyAlignment="1" applyProtection="1">
      <alignment horizontal="left" vertical="center" wrapText="1" indent="1"/>
      <protection hidden="1"/>
    </xf>
    <xf numFmtId="0" fontId="243" fillId="0" borderId="49" xfId="0" applyFont="1" applyBorder="1" applyAlignment="1" applyProtection="1">
      <alignment horizontal="left" vertical="center" indent="1"/>
      <protection locked="0"/>
    </xf>
    <xf numFmtId="0" fontId="243" fillId="0" borderId="0" xfId="0" applyFont="1" applyBorder="1" applyAlignment="1" applyProtection="1">
      <alignment horizontal="left" vertical="center" indent="1"/>
      <protection locked="0"/>
    </xf>
    <xf numFmtId="0" fontId="243" fillId="0" borderId="39" xfId="0" applyFont="1" applyBorder="1" applyAlignment="1" applyProtection="1">
      <alignment horizontal="left" vertical="center" indent="1"/>
      <protection locked="0"/>
    </xf>
    <xf numFmtId="0" fontId="0" fillId="0" borderId="41" xfId="0" applyBorder="1" applyAlignment="1">
      <alignment horizontal="left" vertical="center" indent="1"/>
    </xf>
    <xf numFmtId="166" fontId="218" fillId="0" borderId="0" xfId="0" applyNumberFormat="1" applyFont="1" applyBorder="1" applyAlignment="1" applyProtection="1">
      <alignment horizontal="left" vertical="center" indent="1"/>
      <protection hidden="1"/>
    </xf>
    <xf numFmtId="3" fontId="334" fillId="46" borderId="50" xfId="0" applyNumberFormat="1" applyFont="1" applyFill="1" applyBorder="1" applyAlignment="1" applyProtection="1">
      <alignment horizontal="left" vertical="center" wrapText="1" indent="1"/>
      <protection hidden="1"/>
    </xf>
    <xf numFmtId="3" fontId="334" fillId="46" borderId="106" xfId="0" applyNumberFormat="1" applyFont="1" applyFill="1" applyBorder="1" applyAlignment="1" applyProtection="1">
      <alignment horizontal="left" vertical="center" indent="1"/>
      <protection hidden="1"/>
    </xf>
    <xf numFmtId="0" fontId="20" fillId="59" borderId="424" xfId="0" applyFont="1" applyFill="1" applyBorder="1" applyAlignment="1" applyProtection="1">
      <alignment horizontal="center" vertical="center"/>
      <protection hidden="1"/>
    </xf>
    <xf numFmtId="0" fontId="20" fillId="59" borderId="203" xfId="0" applyFont="1" applyFill="1" applyBorder="1" applyAlignment="1" applyProtection="1">
      <alignment horizontal="center" vertical="center"/>
      <protection hidden="1"/>
    </xf>
    <xf numFmtId="0" fontId="20" fillId="59" borderId="425" xfId="0" applyFont="1" applyFill="1" applyBorder="1" applyAlignment="1" applyProtection="1">
      <alignment horizontal="center" vertical="center"/>
      <protection hidden="1"/>
    </xf>
    <xf numFmtId="0" fontId="20" fillId="59" borderId="426" xfId="0" applyFont="1" applyFill="1" applyBorder="1" applyAlignment="1" applyProtection="1">
      <alignment horizontal="center" vertical="center"/>
      <protection hidden="1"/>
    </xf>
    <xf numFmtId="0" fontId="20" fillId="59" borderId="160" xfId="0" applyFont="1" applyFill="1" applyBorder="1" applyAlignment="1" applyProtection="1">
      <alignment horizontal="center" vertical="center"/>
      <protection hidden="1"/>
    </xf>
    <xf numFmtId="0" fontId="20" fillId="59" borderId="427" xfId="0" applyFont="1" applyFill="1" applyBorder="1" applyAlignment="1" applyProtection="1">
      <alignment horizontal="center" vertical="center"/>
      <protection hidden="1"/>
    </xf>
    <xf numFmtId="0" fontId="213" fillId="69" borderId="469" xfId="0" applyNumberFormat="1" applyFont="1" applyFill="1" applyBorder="1" applyAlignment="1" applyProtection="1">
      <alignment horizontal="center" vertical="center"/>
      <protection hidden="1"/>
    </xf>
    <xf numFmtId="0" fontId="213" fillId="69" borderId="470" xfId="0" applyNumberFormat="1" applyFont="1" applyFill="1" applyBorder="1" applyAlignment="1" applyProtection="1">
      <alignment horizontal="center" vertical="center"/>
      <protection hidden="1"/>
    </xf>
    <xf numFmtId="0" fontId="213" fillId="69" borderId="375" xfId="0" applyNumberFormat="1" applyFont="1" applyFill="1" applyBorder="1" applyAlignment="1" applyProtection="1">
      <alignment horizontal="center" vertical="center"/>
      <protection hidden="1"/>
    </xf>
    <xf numFmtId="0" fontId="213" fillId="69" borderId="379" xfId="0" applyNumberFormat="1" applyFont="1" applyFill="1" applyBorder="1" applyAlignment="1" applyProtection="1">
      <alignment horizontal="center" vertical="center"/>
      <protection hidden="1"/>
    </xf>
    <xf numFmtId="0" fontId="56" fillId="59" borderId="223" xfId="0" applyFont="1" applyFill="1" applyBorder="1" applyAlignment="1" applyProtection="1">
      <alignment horizontal="center" vertical="center" wrapText="1"/>
      <protection hidden="1"/>
    </xf>
    <xf numFmtId="0" fontId="56" fillId="59" borderId="248" xfId="0" applyFont="1" applyFill="1" applyBorder="1" applyAlignment="1" applyProtection="1">
      <alignment horizontal="center" vertical="center" wrapText="1"/>
      <protection hidden="1"/>
    </xf>
    <xf numFmtId="0" fontId="20" fillId="59" borderId="71" xfId="0" applyFont="1" applyFill="1" applyBorder="1" applyAlignment="1" applyProtection="1">
      <alignment horizontal="center" vertical="center"/>
      <protection hidden="1"/>
    </xf>
    <xf numFmtId="0" fontId="0" fillId="59" borderId="72" xfId="0" applyFill="1" applyBorder="1" applyAlignment="1" applyProtection="1">
      <alignment horizontal="center" vertical="center"/>
      <protection hidden="1"/>
    </xf>
    <xf numFmtId="0" fontId="20" fillId="59" borderId="424" xfId="0" applyFont="1" applyFill="1" applyBorder="1" applyAlignment="1" applyProtection="1">
      <alignment horizontal="center" vertical="center" wrapText="1"/>
      <protection hidden="1"/>
    </xf>
    <xf numFmtId="0" fontId="20" fillId="59" borderId="426" xfId="0" applyFont="1" applyFill="1" applyBorder="1" applyAlignment="1" applyProtection="1">
      <alignment horizontal="center" vertical="center" wrapText="1"/>
      <protection hidden="1"/>
    </xf>
    <xf numFmtId="0" fontId="362" fillId="45" borderId="50" xfId="0" applyFont="1" applyFill="1" applyBorder="1" applyAlignment="1" applyProtection="1">
      <alignment horizontal="left" vertical="center" indent="1"/>
      <protection hidden="1"/>
    </xf>
    <xf numFmtId="0" fontId="362" fillId="45" borderId="636" xfId="0" applyFont="1" applyFill="1" applyBorder="1" applyAlignment="1" applyProtection="1">
      <alignment horizontal="left" vertical="center" indent="1"/>
      <protection hidden="1"/>
    </xf>
    <xf numFmtId="0" fontId="362" fillId="45" borderId="637" xfId="0" applyFont="1" applyFill="1" applyBorder="1" applyAlignment="1" applyProtection="1">
      <alignment horizontal="left" vertical="center" indent="1"/>
      <protection hidden="1"/>
    </xf>
    <xf numFmtId="0" fontId="362" fillId="45" borderId="52" xfId="0" applyFont="1" applyFill="1" applyBorder="1" applyAlignment="1" applyProtection="1">
      <alignment horizontal="left" vertical="center" indent="1"/>
      <protection hidden="1"/>
    </xf>
    <xf numFmtId="0" fontId="362" fillId="45" borderId="638" xfId="0" applyFont="1" applyFill="1" applyBorder="1" applyAlignment="1" applyProtection="1">
      <alignment horizontal="left" vertical="center" indent="1"/>
      <protection hidden="1"/>
    </xf>
    <xf numFmtId="0" fontId="362" fillId="45" borderId="639" xfId="0" applyFont="1" applyFill="1" applyBorder="1" applyAlignment="1" applyProtection="1">
      <alignment horizontal="left" vertical="center" indent="1"/>
      <protection hidden="1"/>
    </xf>
    <xf numFmtId="0" fontId="220" fillId="47" borderId="52" xfId="0" applyFont="1" applyFill="1" applyBorder="1" applyAlignment="1" applyProtection="1">
      <alignment horizontal="left" vertical="center" indent="1"/>
      <protection hidden="1"/>
    </xf>
    <xf numFmtId="0" fontId="220" fillId="47" borderId="97" xfId="0" applyFont="1" applyFill="1" applyBorder="1" applyAlignment="1" applyProtection="1">
      <alignment horizontal="left" vertical="center" indent="1"/>
      <protection hidden="1"/>
    </xf>
    <xf numFmtId="0" fontId="220" fillId="47" borderId="98" xfId="0" applyFont="1" applyFill="1" applyBorder="1" applyAlignment="1" applyProtection="1">
      <alignment horizontal="left" vertical="center" indent="1"/>
      <protection hidden="1"/>
    </xf>
    <xf numFmtId="0" fontId="198" fillId="0" borderId="51" xfId="32" applyFont="1" applyBorder="1" applyAlignment="1" applyProtection="1">
      <alignment horizontal="left" vertical="center" indent="1"/>
      <protection hidden="1"/>
    </xf>
    <xf numFmtId="0" fontId="198" fillId="0" borderId="69" xfId="32" applyFont="1" applyBorder="1" applyAlignment="1" applyProtection="1">
      <alignment horizontal="left" vertical="center" indent="1"/>
      <protection hidden="1"/>
    </xf>
    <xf numFmtId="0" fontId="243" fillId="0" borderId="48" xfId="0" applyFont="1" applyBorder="1" applyAlignment="1" applyProtection="1">
      <alignment horizontal="left" vertical="center" indent="1"/>
      <protection hidden="1"/>
    </xf>
    <xf numFmtId="0" fontId="243" fillId="0" borderId="99" xfId="0" applyFont="1" applyBorder="1" applyAlignment="1" applyProtection="1">
      <alignment horizontal="left" vertical="center" indent="1"/>
      <protection hidden="1"/>
    </xf>
    <xf numFmtId="0" fontId="243" fillId="0" borderId="37" xfId="0" applyFont="1" applyBorder="1" applyAlignment="1" applyProtection="1">
      <alignment horizontal="left" vertical="center" indent="1"/>
      <protection hidden="1"/>
    </xf>
    <xf numFmtId="0" fontId="333" fillId="46" borderId="277" xfId="0" applyFont="1" applyFill="1" applyBorder="1" applyAlignment="1" applyProtection="1">
      <alignment horizontal="left" vertical="center" wrapText="1" indent="1"/>
      <protection hidden="1"/>
    </xf>
    <xf numFmtId="0" fontId="333" fillId="46" borderId="0" xfId="0" applyFont="1" applyFill="1" applyBorder="1" applyAlignment="1" applyProtection="1">
      <alignment horizontal="left" vertical="center" wrapText="1" indent="1"/>
      <protection hidden="1"/>
    </xf>
    <xf numFmtId="0" fontId="220" fillId="46" borderId="150" xfId="0" applyFont="1" applyFill="1" applyBorder="1" applyAlignment="1" applyProtection="1">
      <alignment horizontal="left" vertical="center" wrapText="1" indent="1"/>
      <protection hidden="1"/>
    </xf>
    <xf numFmtId="0" fontId="0" fillId="0" borderId="150" xfId="0" applyBorder="1" applyAlignment="1">
      <alignment horizontal="left" vertical="center" wrapText="1" indent="1"/>
    </xf>
    <xf numFmtId="0" fontId="0" fillId="0" borderId="278" xfId="0" applyBorder="1" applyAlignment="1">
      <alignment horizontal="left" vertical="center" wrapText="1" indent="1"/>
    </xf>
    <xf numFmtId="0" fontId="243" fillId="0" borderId="103" xfId="0" applyFont="1" applyBorder="1" applyAlignment="1" applyProtection="1">
      <alignment horizontal="left" vertical="center" indent="1"/>
      <protection locked="0"/>
    </xf>
    <xf numFmtId="0" fontId="243" fillId="0" borderId="104" xfId="0" applyFont="1" applyBorder="1" applyAlignment="1" applyProtection="1">
      <alignment horizontal="left" vertical="center" indent="1"/>
      <protection locked="0"/>
    </xf>
    <xf numFmtId="0" fontId="333" fillId="46" borderId="279" xfId="0" applyFont="1" applyFill="1" applyBorder="1" applyAlignment="1" applyProtection="1">
      <alignment horizontal="center" vertical="center" textRotation="90" wrapText="1"/>
      <protection locked="0"/>
    </xf>
    <xf numFmtId="0" fontId="334" fillId="46" borderId="280" xfId="0" applyFont="1" applyFill="1" applyBorder="1" applyAlignment="1">
      <alignment horizontal="center" textRotation="90"/>
    </xf>
    <xf numFmtId="0" fontId="334" fillId="46" borderId="281" xfId="0" applyFont="1" applyFill="1" applyBorder="1" applyAlignment="1">
      <alignment horizontal="center" textRotation="90"/>
    </xf>
    <xf numFmtId="0" fontId="363" fillId="47" borderId="56" xfId="0" applyFont="1" applyFill="1" applyBorder="1" applyAlignment="1" applyProtection="1">
      <alignment horizontal="left" vertical="center" indent="1"/>
      <protection hidden="1"/>
    </xf>
    <xf numFmtId="0" fontId="0" fillId="0" borderId="62" xfId="0" applyBorder="1" applyAlignment="1">
      <alignment horizontal="left" indent="1"/>
    </xf>
    <xf numFmtId="0" fontId="0" fillId="0" borderId="63" xfId="0" applyBorder="1" applyAlignment="1">
      <alignment horizontal="left" indent="1"/>
    </xf>
    <xf numFmtId="0" fontId="243" fillId="0" borderId="99" xfId="0" applyFont="1" applyBorder="1" applyAlignment="1">
      <alignment horizontal="left" vertical="center" indent="1"/>
    </xf>
    <xf numFmtId="0" fontId="190" fillId="54" borderId="85" xfId="13" applyFont="1" applyFill="1" applyBorder="1" applyAlignment="1" applyProtection="1">
      <alignment horizontal="center" vertical="center" wrapText="1"/>
      <protection hidden="1"/>
    </xf>
    <xf numFmtId="0" fontId="190" fillId="54" borderId="596" xfId="13" applyFont="1" applyFill="1" applyBorder="1" applyAlignment="1" applyProtection="1">
      <alignment horizontal="center" vertical="center" wrapText="1"/>
      <protection hidden="1"/>
    </xf>
    <xf numFmtId="0" fontId="532" fillId="37" borderId="0" xfId="0" applyFont="1" applyFill="1" applyBorder="1" applyAlignment="1" applyProtection="1">
      <alignment horizontal="left" vertical="center" wrapText="1" indent="1"/>
      <protection hidden="1"/>
    </xf>
    <xf numFmtId="0" fontId="188" fillId="37" borderId="0" xfId="0" applyFont="1" applyFill="1" applyBorder="1">
      <alignment horizontal="right"/>
    </xf>
    <xf numFmtId="0" fontId="188" fillId="37" borderId="1" xfId="0" applyFont="1" applyFill="1" applyBorder="1">
      <alignment horizontal="right"/>
    </xf>
    <xf numFmtId="0" fontId="515" fillId="0" borderId="0" xfId="0" applyFont="1" applyFill="1" applyBorder="1" applyAlignment="1" applyProtection="1">
      <alignment horizontal="right" vertical="center"/>
      <protection hidden="1"/>
    </xf>
    <xf numFmtId="0" fontId="515" fillId="0" borderId="0" xfId="0" applyFont="1" applyFill="1" applyBorder="1" applyAlignment="1">
      <alignment horizontal="right"/>
    </xf>
    <xf numFmtId="0" fontId="20" fillId="42" borderId="222" xfId="14" applyFont="1" applyFill="1" applyBorder="1" applyAlignment="1" applyProtection="1">
      <alignment horizontal="center" vertical="center" wrapText="1"/>
      <protection hidden="1"/>
    </xf>
    <xf numFmtId="0" fontId="20" fillId="42" borderId="355" xfId="14" applyFont="1" applyFill="1" applyBorder="1" applyAlignment="1" applyProtection="1">
      <alignment horizontal="center" vertical="center" wrapText="1"/>
      <protection hidden="1"/>
    </xf>
    <xf numFmtId="0" fontId="20" fillId="42" borderId="596" xfId="14" applyFont="1" applyFill="1" applyBorder="1" applyAlignment="1" applyProtection="1">
      <alignment horizontal="center" vertical="center" wrapText="1"/>
      <protection hidden="1"/>
    </xf>
    <xf numFmtId="0" fontId="20" fillId="84" borderId="390" xfId="22" applyFont="1" applyFill="1" applyBorder="1" applyAlignment="1" applyProtection="1">
      <alignment horizontal="center" vertical="center" wrapText="1"/>
      <protection hidden="1"/>
    </xf>
    <xf numFmtId="0" fontId="20" fillId="84" borderId="545" xfId="22" applyFont="1" applyFill="1" applyBorder="1" applyAlignment="1" applyProtection="1">
      <alignment horizontal="center" vertical="center" wrapText="1"/>
      <protection hidden="1"/>
    </xf>
    <xf numFmtId="0" fontId="20" fillId="84" borderId="595" xfId="22" applyFont="1" applyFill="1" applyBorder="1" applyAlignment="1" applyProtection="1">
      <alignment horizontal="center" vertical="center" wrapText="1"/>
      <protection hidden="1"/>
    </xf>
    <xf numFmtId="0" fontId="252" fillId="92" borderId="313" xfId="13" applyFont="1" applyFill="1" applyBorder="1" applyAlignment="1" applyProtection="1">
      <alignment horizontal="center" vertical="center"/>
      <protection hidden="1"/>
    </xf>
    <xf numFmtId="0" fontId="252" fillId="92" borderId="203" xfId="13" applyFont="1" applyFill="1" applyBorder="1" applyAlignment="1" applyProtection="1">
      <alignment horizontal="center" vertical="center"/>
      <protection hidden="1"/>
    </xf>
    <xf numFmtId="0" fontId="252" fillId="92" borderId="265" xfId="13" applyFont="1" applyFill="1" applyBorder="1" applyAlignment="1" applyProtection="1">
      <alignment horizontal="center" vertical="center"/>
      <protection hidden="1"/>
    </xf>
    <xf numFmtId="0" fontId="0" fillId="92" borderId="678" xfId="0" applyFill="1" applyBorder="1" applyAlignment="1">
      <alignment horizontal="center" vertical="center"/>
    </xf>
    <xf numFmtId="0" fontId="0" fillId="92" borderId="336" xfId="0" applyFill="1" applyBorder="1" applyAlignment="1">
      <alignment horizontal="center" vertical="center"/>
    </xf>
    <xf numFmtId="0" fontId="0" fillId="92" borderId="679" xfId="0" applyFill="1" applyBorder="1" applyAlignment="1">
      <alignment horizontal="center" vertical="center"/>
    </xf>
    <xf numFmtId="0" fontId="246" fillId="0" borderId="180" xfId="0" applyFont="1" applyFill="1" applyBorder="1" applyAlignment="1" applyProtection="1">
      <alignment horizontal="left" vertical="center" wrapText="1" indent="1"/>
      <protection hidden="1"/>
    </xf>
    <xf numFmtId="0" fontId="0" fillId="0" borderId="182" xfId="0" applyBorder="1" applyAlignment="1">
      <alignment horizontal="left" vertical="center" wrapText="1" indent="1"/>
    </xf>
    <xf numFmtId="0" fontId="0" fillId="0" borderId="133" xfId="0" applyBorder="1" applyAlignment="1">
      <alignment horizontal="left" vertical="center" wrapText="1" indent="1"/>
    </xf>
    <xf numFmtId="0" fontId="246" fillId="0" borderId="274" xfId="0" applyFont="1" applyFill="1" applyBorder="1" applyAlignment="1" applyProtection="1">
      <alignment horizontal="left" vertical="center" indent="1"/>
      <protection hidden="1"/>
    </xf>
    <xf numFmtId="0" fontId="0" fillId="0" borderId="368" xfId="0" applyBorder="1" applyAlignment="1">
      <alignment horizontal="left" vertical="center" indent="1"/>
    </xf>
    <xf numFmtId="0" fontId="246" fillId="0" borderId="173" xfId="0" applyFont="1" applyFill="1" applyBorder="1" applyAlignment="1" applyProtection="1">
      <alignment horizontal="left" vertical="center" indent="1"/>
      <protection hidden="1"/>
    </xf>
    <xf numFmtId="0" fontId="0" fillId="0" borderId="169" xfId="0" applyBorder="1" applyAlignment="1">
      <alignment horizontal="left" vertical="center" indent="1"/>
    </xf>
    <xf numFmtId="0" fontId="0" fillId="0" borderId="174" xfId="0" applyBorder="1" applyAlignment="1">
      <alignment horizontal="left" vertical="center" indent="1"/>
    </xf>
    <xf numFmtId="0" fontId="0" fillId="0" borderId="491" xfId="0" applyBorder="1" applyAlignment="1">
      <alignment horizontal="left" vertical="center" wrapText="1" indent="1"/>
    </xf>
    <xf numFmtId="0" fontId="0" fillId="0" borderId="560" xfId="0" applyBorder="1" applyAlignment="1">
      <alignment horizontal="left" vertical="center" wrapText="1" indent="1"/>
    </xf>
    <xf numFmtId="0" fontId="0" fillId="0" borderId="250" xfId="0" applyBorder="1" applyAlignment="1">
      <alignment horizontal="left" indent="1"/>
    </xf>
    <xf numFmtId="0" fontId="0" fillId="0" borderId="368" xfId="0" applyBorder="1" applyAlignment="1">
      <alignment horizontal="left" indent="1"/>
    </xf>
    <xf numFmtId="0" fontId="246" fillId="0" borderId="173" xfId="0" quotePrefix="1" applyFont="1" applyFill="1" applyBorder="1" applyAlignment="1" applyProtection="1">
      <alignment horizontal="left" vertical="center" indent="1"/>
      <protection hidden="1"/>
    </xf>
    <xf numFmtId="0" fontId="0" fillId="0" borderId="169" xfId="0" applyBorder="1" applyAlignment="1">
      <alignment horizontal="left" indent="1"/>
    </xf>
    <xf numFmtId="0" fontId="0" fillId="0" borderId="174" xfId="0" applyBorder="1" applyAlignment="1">
      <alignment horizontal="left" indent="1"/>
    </xf>
    <xf numFmtId="3" fontId="279" fillId="0" borderId="274" xfId="0" applyNumberFormat="1" applyFont="1" applyFill="1" applyBorder="1" applyAlignment="1" applyProtection="1">
      <alignment horizontal="left" vertical="center" indent="1"/>
      <protection hidden="1"/>
    </xf>
    <xf numFmtId="3" fontId="279" fillId="0" borderId="173" xfId="0" applyNumberFormat="1" applyFont="1" applyFill="1" applyBorder="1" applyAlignment="1" applyProtection="1">
      <alignment horizontal="left" vertical="center" indent="1"/>
      <protection hidden="1"/>
    </xf>
    <xf numFmtId="0" fontId="246" fillId="0" borderId="119" xfId="0" applyFont="1" applyFill="1" applyBorder="1" applyAlignment="1" applyProtection="1">
      <alignment horizontal="left" vertical="center" indent="1"/>
      <protection hidden="1"/>
    </xf>
    <xf numFmtId="0" fontId="246" fillId="0" borderId="120" xfId="0" applyFont="1" applyFill="1" applyBorder="1" applyAlignment="1" applyProtection="1">
      <alignment horizontal="left" vertical="center" indent="1"/>
      <protection hidden="1"/>
    </xf>
    <xf numFmtId="0" fontId="246" fillId="0" borderId="121" xfId="0" applyFont="1" applyFill="1" applyBorder="1" applyAlignment="1" applyProtection="1">
      <alignment horizontal="left" vertical="center" indent="1"/>
      <protection hidden="1"/>
    </xf>
    <xf numFmtId="0" fontId="279" fillId="0" borderId="221" xfId="0" applyFont="1" applyBorder="1" applyAlignment="1" applyProtection="1">
      <alignment horizontal="center" vertical="center" wrapText="1"/>
      <protection locked="0" hidden="1"/>
    </xf>
    <xf numFmtId="0" fontId="279" fillId="0" borderId="161" xfId="0" applyFont="1" applyBorder="1" applyAlignment="1" applyProtection="1">
      <alignment horizontal="center" vertical="center" wrapText="1"/>
      <protection locked="0" hidden="1"/>
    </xf>
    <xf numFmtId="0" fontId="279" fillId="0" borderId="262" xfId="0" applyFont="1" applyBorder="1" applyAlignment="1" applyProtection="1">
      <alignment horizontal="center" vertical="center" wrapText="1"/>
      <protection locked="0" hidden="1"/>
    </xf>
    <xf numFmtId="0" fontId="279" fillId="0" borderId="274" xfId="0" applyFont="1" applyBorder="1" applyAlignment="1" applyProtection="1">
      <alignment horizontal="center" vertical="center" wrapText="1"/>
      <protection locked="0" hidden="1"/>
    </xf>
    <xf numFmtId="0" fontId="279" fillId="0" borderId="250" xfId="0" applyFont="1" applyBorder="1" applyAlignment="1" applyProtection="1">
      <alignment horizontal="center" vertical="center" wrapText="1"/>
      <protection locked="0" hidden="1"/>
    </xf>
    <xf numFmtId="0" fontId="279" fillId="0" borderId="273" xfId="0" applyFont="1" applyBorder="1" applyAlignment="1" applyProtection="1">
      <alignment horizontal="center" vertical="center" wrapText="1"/>
      <protection locked="0" hidden="1"/>
    </xf>
    <xf numFmtId="0" fontId="279" fillId="0" borderId="231" xfId="0" applyFont="1" applyBorder="1" applyAlignment="1" applyProtection="1">
      <alignment horizontal="center" vertical="center" wrapText="1"/>
      <protection locked="0" hidden="1"/>
    </xf>
    <xf numFmtId="0" fontId="279" fillId="0" borderId="206" xfId="0" applyFont="1" applyBorder="1" applyAlignment="1" applyProtection="1">
      <alignment horizontal="center" vertical="center" wrapText="1"/>
      <protection locked="0" hidden="1"/>
    </xf>
    <xf numFmtId="0" fontId="279" fillId="0" borderId="309" xfId="0" applyFont="1" applyBorder="1" applyAlignment="1" applyProtection="1">
      <alignment horizontal="center" vertical="center" wrapText="1"/>
      <protection locked="0" hidden="1"/>
    </xf>
    <xf numFmtId="0" fontId="170" fillId="0" borderId="136" xfId="0" applyFont="1" applyFill="1" applyBorder="1" applyAlignment="1" applyProtection="1">
      <alignment horizontal="left" vertical="center" wrapText="1"/>
      <protection hidden="1"/>
    </xf>
    <xf numFmtId="0" fontId="170" fillId="0" borderId="137" xfId="0" applyFont="1" applyFill="1" applyBorder="1" applyAlignment="1" applyProtection="1">
      <alignment horizontal="left" vertical="center" wrapText="1"/>
      <protection hidden="1"/>
    </xf>
    <xf numFmtId="0" fontId="170" fillId="0" borderId="135" xfId="0" applyFont="1" applyFill="1" applyBorder="1" applyAlignment="1" applyProtection="1">
      <alignment horizontal="left" vertical="center" wrapText="1"/>
      <protection hidden="1"/>
    </xf>
    <xf numFmtId="166" fontId="96" fillId="93" borderId="72" xfId="0" applyNumberFormat="1" applyFont="1" applyFill="1" applyBorder="1" applyAlignment="1" applyProtection="1">
      <alignment horizontal="center" vertical="center"/>
      <protection hidden="1"/>
    </xf>
    <xf numFmtId="166" fontId="96" fillId="93" borderId="323" xfId="0" applyNumberFormat="1" applyFont="1" applyFill="1" applyBorder="1" applyAlignment="1" applyProtection="1">
      <alignment horizontal="center" vertical="center"/>
      <protection hidden="1"/>
    </xf>
    <xf numFmtId="0" fontId="34" fillId="86" borderId="136" xfId="0" applyFont="1" applyFill="1" applyBorder="1" applyAlignment="1" applyProtection="1">
      <alignment horizontal="left" vertical="center" wrapText="1"/>
      <protection hidden="1"/>
    </xf>
    <xf numFmtId="0" fontId="34" fillId="86" borderId="137" xfId="0" applyFont="1" applyFill="1" applyBorder="1" applyAlignment="1" applyProtection="1">
      <alignment horizontal="left" vertical="center" wrapText="1"/>
      <protection hidden="1"/>
    </xf>
    <xf numFmtId="0" fontId="34" fillId="86" borderId="135" xfId="0" applyFont="1" applyFill="1" applyBorder="1" applyAlignment="1" applyProtection="1">
      <alignment horizontal="left" vertical="center" wrapText="1"/>
      <protection hidden="1"/>
    </xf>
    <xf numFmtId="0" fontId="252" fillId="54" borderId="313" xfId="13" quotePrefix="1" applyFont="1" applyFill="1" applyBorder="1" applyAlignment="1" applyProtection="1">
      <alignment horizontal="center" vertical="center"/>
      <protection hidden="1"/>
    </xf>
    <xf numFmtId="0" fontId="252" fillId="54" borderId="203" xfId="13" quotePrefix="1" applyFont="1" applyFill="1" applyBorder="1" applyAlignment="1" applyProtection="1">
      <alignment horizontal="center" vertical="center"/>
      <protection hidden="1"/>
    </xf>
    <xf numFmtId="0" fontId="252" fillId="54" borderId="265" xfId="13" quotePrefix="1" applyFont="1" applyFill="1" applyBorder="1" applyAlignment="1" applyProtection="1">
      <alignment horizontal="center" vertical="center"/>
      <protection hidden="1"/>
    </xf>
    <xf numFmtId="0" fontId="252" fillId="54" borderId="681" xfId="13" applyFont="1" applyFill="1" applyBorder="1" applyAlignment="1" applyProtection="1">
      <alignment horizontal="center" vertical="center"/>
      <protection hidden="1"/>
    </xf>
    <xf numFmtId="0" fontId="252" fillId="54" borderId="666" xfId="13" applyFont="1" applyFill="1" applyBorder="1" applyAlignment="1" applyProtection="1">
      <alignment horizontal="center" vertical="center"/>
      <protection hidden="1"/>
    </xf>
    <xf numFmtId="0" fontId="62" fillId="25" borderId="136" xfId="0" applyFont="1" applyFill="1" applyBorder="1" applyAlignment="1" applyProtection="1">
      <alignment horizontal="center" vertical="center"/>
      <protection hidden="1"/>
    </xf>
    <xf numFmtId="0" fontId="62" fillId="25" borderId="217" xfId="0" applyFont="1" applyFill="1" applyBorder="1" applyAlignment="1" applyProtection="1">
      <alignment horizontal="center" vertical="center"/>
      <protection hidden="1"/>
    </xf>
    <xf numFmtId="170" fontId="60" fillId="46" borderId="231" xfId="0" applyNumberFormat="1" applyFont="1" applyFill="1" applyBorder="1" applyAlignment="1" applyProtection="1">
      <alignment horizontal="center" vertical="center"/>
      <protection locked="0" hidden="1"/>
    </xf>
    <xf numFmtId="170" fontId="60" fillId="46" borderId="683" xfId="0" applyNumberFormat="1" applyFont="1" applyFill="1" applyBorder="1" applyAlignment="1" applyProtection="1">
      <alignment horizontal="center" vertical="center"/>
      <protection locked="0" hidden="1"/>
    </xf>
    <xf numFmtId="0" fontId="279" fillId="0" borderId="221" xfId="0" applyFont="1" applyBorder="1" applyAlignment="1" applyProtection="1">
      <alignment horizontal="center" vertical="center" wrapText="1"/>
      <protection hidden="1"/>
    </xf>
    <xf numFmtId="0" fontId="279" fillId="0" borderId="684" xfId="0" applyFont="1" applyBorder="1" applyAlignment="1" applyProtection="1">
      <alignment horizontal="center" vertical="center" wrapText="1"/>
      <protection hidden="1"/>
    </xf>
    <xf numFmtId="0" fontId="279" fillId="0" borderId="684" xfId="0" applyFont="1" applyBorder="1" applyAlignment="1" applyProtection="1">
      <alignment horizontal="center" vertical="center" wrapText="1"/>
      <protection locked="0" hidden="1"/>
    </xf>
    <xf numFmtId="170" fontId="214" fillId="0" borderId="274" xfId="0" applyNumberFormat="1" applyFont="1" applyBorder="1" applyAlignment="1" applyProtection="1">
      <alignment horizontal="center" vertical="center"/>
      <protection locked="0"/>
    </xf>
    <xf numFmtId="170" fontId="214" fillId="0" borderId="685" xfId="0" applyNumberFormat="1" applyFont="1" applyBorder="1" applyAlignment="1" applyProtection="1">
      <alignment horizontal="center" vertical="center"/>
      <protection locked="0"/>
    </xf>
    <xf numFmtId="166" fontId="516" fillId="46" borderId="231" xfId="0" quotePrefix="1" applyNumberFormat="1" applyFont="1" applyFill="1" applyBorder="1" applyAlignment="1" applyProtection="1">
      <alignment horizontal="left" vertical="center" wrapText="1"/>
      <protection hidden="1"/>
    </xf>
    <xf numFmtId="166" fontId="516" fillId="46" borderId="206" xfId="0" quotePrefix="1" applyNumberFormat="1" applyFont="1" applyFill="1" applyBorder="1" applyAlignment="1" applyProtection="1">
      <alignment horizontal="left" vertical="center" wrapText="1"/>
      <protection hidden="1"/>
    </xf>
    <xf numFmtId="166" fontId="516" fillId="46" borderId="260" xfId="0" quotePrefix="1" applyNumberFormat="1" applyFont="1" applyFill="1" applyBorder="1" applyAlignment="1" applyProtection="1">
      <alignment horizontal="left" vertical="center" wrapText="1"/>
      <protection hidden="1"/>
    </xf>
    <xf numFmtId="0" fontId="252" fillId="87" borderId="313" xfId="13" applyFont="1" applyFill="1" applyBorder="1" applyAlignment="1" applyProtection="1">
      <alignment horizontal="center" vertical="center" wrapText="1"/>
      <protection hidden="1"/>
    </xf>
    <xf numFmtId="0" fontId="252" fillId="87" borderId="203" xfId="13" applyFont="1" applyFill="1" applyBorder="1" applyAlignment="1" applyProtection="1">
      <alignment horizontal="center" vertical="center" wrapText="1"/>
      <protection hidden="1"/>
    </xf>
    <xf numFmtId="0" fontId="252" fillId="87" borderId="172" xfId="13" applyFont="1" applyFill="1" applyBorder="1" applyAlignment="1" applyProtection="1">
      <alignment horizontal="center" vertical="center" wrapText="1"/>
      <protection hidden="1"/>
    </xf>
    <xf numFmtId="0" fontId="252" fillId="87" borderId="678" xfId="13" applyFont="1" applyFill="1" applyBorder="1" applyAlignment="1" applyProtection="1">
      <alignment horizontal="center" vertical="center" wrapText="1"/>
      <protection hidden="1"/>
    </xf>
    <xf numFmtId="0" fontId="252" fillId="87" borderId="336" xfId="13" applyFont="1" applyFill="1" applyBorder="1" applyAlignment="1" applyProtection="1">
      <alignment horizontal="center" vertical="center" wrapText="1"/>
      <protection hidden="1"/>
    </xf>
    <xf numFmtId="0" fontId="252" fillId="87" borderId="642" xfId="13" applyFont="1" applyFill="1" applyBorder="1" applyAlignment="1" applyProtection="1">
      <alignment horizontal="center" vertical="center" wrapText="1"/>
      <protection hidden="1"/>
    </xf>
    <xf numFmtId="0" fontId="190" fillId="54" borderId="383" xfId="13" applyFont="1" applyFill="1" applyBorder="1" applyAlignment="1" applyProtection="1">
      <alignment horizontal="center" vertical="center" wrapText="1"/>
      <protection hidden="1"/>
    </xf>
    <xf numFmtId="0" fontId="190" fillId="54" borderId="190" xfId="13" applyFont="1" applyFill="1" applyBorder="1" applyAlignment="1" applyProtection="1">
      <alignment horizontal="center" vertical="center" wrapText="1"/>
      <protection hidden="1"/>
    </xf>
    <xf numFmtId="0" fontId="190" fillId="54" borderId="604" xfId="13" applyFont="1" applyFill="1" applyBorder="1" applyAlignment="1" applyProtection="1">
      <alignment horizontal="center" vertical="center" wrapText="1"/>
      <protection hidden="1"/>
    </xf>
    <xf numFmtId="0" fontId="190" fillId="54" borderId="605" xfId="13" applyFont="1" applyFill="1" applyBorder="1" applyAlignment="1" applyProtection="1">
      <alignment horizontal="center" vertical="center" wrapText="1"/>
      <protection hidden="1"/>
    </xf>
    <xf numFmtId="166" fontId="292" fillId="0" borderId="274" xfId="0" quotePrefix="1" applyNumberFormat="1" applyFont="1" applyBorder="1" applyAlignment="1" applyProtection="1">
      <alignment vertical="center"/>
      <protection locked="0" hidden="1"/>
    </xf>
    <xf numFmtId="0" fontId="0" fillId="0" borderId="680" xfId="0" applyBorder="1" applyAlignment="1">
      <alignment vertical="center"/>
    </xf>
    <xf numFmtId="166" fontId="292" fillId="0" borderId="221" xfId="0" quotePrefix="1" applyNumberFormat="1" applyFont="1" applyBorder="1" applyAlignment="1" applyProtection="1">
      <alignment vertical="center"/>
      <protection hidden="1"/>
    </xf>
    <xf numFmtId="0" fontId="0" fillId="0" borderId="590" xfId="0" applyBorder="1" applyAlignment="1">
      <alignment vertical="center"/>
    </xf>
    <xf numFmtId="0" fontId="213" fillId="54" borderId="556" xfId="0" applyFont="1" applyFill="1" applyBorder="1" applyAlignment="1" applyProtection="1">
      <alignment horizontal="center" vertical="center" wrapText="1"/>
      <protection hidden="1"/>
    </xf>
    <xf numFmtId="0" fontId="213" fillId="54" borderId="350" xfId="0" applyFont="1" applyFill="1" applyBorder="1" applyAlignment="1" applyProtection="1">
      <alignment horizontal="center" vertical="center" wrapText="1"/>
      <protection hidden="1"/>
    </xf>
    <xf numFmtId="0" fontId="213" fillId="54" borderId="686" xfId="0" applyFont="1" applyFill="1" applyBorder="1" applyAlignment="1" applyProtection="1">
      <alignment horizontal="center" vertical="center" wrapText="1"/>
      <protection hidden="1"/>
    </xf>
    <xf numFmtId="0" fontId="279" fillId="0" borderId="602" xfId="0" applyFont="1" applyBorder="1" applyAlignment="1" applyProtection="1">
      <alignment horizontal="left" vertical="center"/>
      <protection locked="0"/>
    </xf>
    <xf numFmtId="0" fontId="279" fillId="0" borderId="589" xfId="0" applyFont="1" applyBorder="1" applyAlignment="1" applyProtection="1">
      <alignment horizontal="left" vertical="center"/>
      <protection locked="0"/>
    </xf>
    <xf numFmtId="0" fontId="279" fillId="0" borderId="603" xfId="0" applyFont="1" applyBorder="1" applyAlignment="1" applyProtection="1">
      <alignment horizontal="left" vertical="center"/>
      <protection locked="0"/>
    </xf>
    <xf numFmtId="0" fontId="292" fillId="0" borderId="258" xfId="0" applyFont="1" applyFill="1" applyBorder="1" applyAlignment="1" applyProtection="1">
      <alignment horizontal="left" vertical="center" indent="1"/>
      <protection locked="0"/>
    </xf>
    <xf numFmtId="0" fontId="353" fillId="0" borderId="206" xfId="0" applyFont="1" applyBorder="1" applyAlignment="1">
      <alignment horizontal="left" vertical="center" indent="1"/>
    </xf>
    <xf numFmtId="0" fontId="329" fillId="69" borderId="71" xfId="0" applyFont="1" applyFill="1" applyBorder="1" applyAlignment="1" applyProtection="1">
      <alignment horizontal="center" vertical="center" wrapText="1"/>
      <protection hidden="1"/>
    </xf>
    <xf numFmtId="0" fontId="329" fillId="69" borderId="172" xfId="0" applyFont="1" applyFill="1" applyBorder="1" applyAlignment="1" applyProtection="1">
      <alignment horizontal="center" vertical="center" wrapText="1"/>
      <protection hidden="1"/>
    </xf>
    <xf numFmtId="0" fontId="329" fillId="69" borderId="581" xfId="0" applyFont="1" applyFill="1" applyBorder="1" applyAlignment="1" applyProtection="1">
      <alignment horizontal="center" vertical="center" wrapText="1"/>
      <protection hidden="1"/>
    </xf>
    <xf numFmtId="0" fontId="329" fillId="69" borderId="642" xfId="0" applyFont="1" applyFill="1" applyBorder="1" applyAlignment="1" applyProtection="1">
      <alignment horizontal="center" vertical="center" wrapText="1"/>
      <protection hidden="1"/>
    </xf>
    <xf numFmtId="0" fontId="190" fillId="54" borderId="545" xfId="0" applyFont="1" applyFill="1" applyBorder="1" applyAlignment="1" applyProtection="1">
      <alignment horizontal="center" vertical="center" wrapText="1"/>
      <protection hidden="1"/>
    </xf>
    <xf numFmtId="0" fontId="190" fillId="54" borderId="595" xfId="0" applyFont="1" applyFill="1" applyBorder="1" applyAlignment="1" applyProtection="1">
      <alignment horizontal="center" vertical="center" wrapText="1"/>
      <protection hidden="1"/>
    </xf>
    <xf numFmtId="0" fontId="190" fillId="54" borderId="372" xfId="0" applyFont="1" applyFill="1" applyBorder="1" applyAlignment="1" applyProtection="1">
      <alignment horizontal="center" vertical="center" wrapText="1"/>
      <protection hidden="1"/>
    </xf>
    <xf numFmtId="0" fontId="190" fillId="54" borderId="598" xfId="0" applyFont="1" applyFill="1" applyBorder="1" applyAlignment="1" applyProtection="1">
      <alignment horizontal="center" vertical="center" wrapText="1"/>
      <protection hidden="1"/>
    </xf>
    <xf numFmtId="0" fontId="329" fillId="69" borderId="390" xfId="0" applyFont="1" applyFill="1" applyBorder="1" applyAlignment="1" applyProtection="1">
      <alignment horizontal="center" vertical="center" wrapText="1"/>
      <protection hidden="1"/>
    </xf>
    <xf numFmtId="0" fontId="329" fillId="69" borderId="643" xfId="0" applyFont="1" applyFill="1" applyBorder="1" applyAlignment="1" applyProtection="1">
      <alignment horizontal="center" vertical="center" wrapText="1"/>
      <protection hidden="1"/>
    </xf>
    <xf numFmtId="0" fontId="329" fillId="69" borderId="223" xfId="0" applyFont="1" applyFill="1" applyBorder="1" applyAlignment="1" applyProtection="1">
      <alignment horizontal="center" vertical="center" wrapText="1"/>
      <protection hidden="1"/>
    </xf>
    <xf numFmtId="0" fontId="329" fillId="69" borderId="644" xfId="0" applyFont="1" applyFill="1" applyBorder="1" applyAlignment="1" applyProtection="1">
      <alignment horizontal="center" vertical="center" wrapText="1"/>
      <protection hidden="1"/>
    </xf>
    <xf numFmtId="0" fontId="198" fillId="0" borderId="0" xfId="32" applyFont="1" applyBorder="1" applyAlignment="1" applyProtection="1">
      <alignment horizontal="center" vertical="center"/>
    </xf>
    <xf numFmtId="0" fontId="190" fillId="54" borderId="373" xfId="13" applyFont="1" applyFill="1" applyBorder="1" applyAlignment="1" applyProtection="1">
      <alignment horizontal="center" vertical="center" wrapText="1"/>
      <protection hidden="1"/>
    </xf>
    <xf numFmtId="0" fontId="190" fillId="54" borderId="598" xfId="13" applyFont="1" applyFill="1" applyBorder="1" applyAlignment="1" applyProtection="1">
      <alignment horizontal="center" vertical="center" wrapText="1"/>
      <protection hidden="1"/>
    </xf>
    <xf numFmtId="166" fontId="104" fillId="0" borderId="0" xfId="0" applyNumberFormat="1" applyFont="1" applyFill="1" applyBorder="1" applyAlignment="1" applyProtection="1">
      <alignment horizontal="center" vertical="center" wrapText="1"/>
      <protection hidden="1"/>
    </xf>
    <xf numFmtId="0" fontId="351" fillId="0" borderId="0" xfId="0" quotePrefix="1" applyFont="1" applyBorder="1" applyAlignment="1">
      <alignment horizontal="center" vertical="center" wrapText="1"/>
    </xf>
    <xf numFmtId="0" fontId="351" fillId="0" borderId="0" xfId="0" applyFont="1" applyBorder="1" applyAlignment="1">
      <alignment horizontal="center" vertical="center" wrapText="1"/>
    </xf>
    <xf numFmtId="0" fontId="427" fillId="94" borderId="136" xfId="0" applyFont="1" applyFill="1" applyBorder="1" applyAlignment="1" applyProtection="1">
      <alignment vertical="center"/>
      <protection hidden="1"/>
    </xf>
    <xf numFmtId="0" fontId="0" fillId="0" borderId="137" xfId="0" applyBorder="1" applyAlignment="1">
      <alignment vertical="center"/>
    </xf>
    <xf numFmtId="0" fontId="0" fillId="0" borderId="135" xfId="0" applyBorder="1" applyAlignment="1">
      <alignment vertical="center"/>
    </xf>
    <xf numFmtId="0" fontId="34" fillId="54" borderId="136" xfId="13" applyFont="1" applyFill="1" applyBorder="1" applyAlignment="1" applyProtection="1">
      <alignment horizontal="left" vertical="center"/>
      <protection hidden="1"/>
    </xf>
    <xf numFmtId="0" fontId="34" fillId="54" borderId="137" xfId="13" applyFont="1" applyFill="1" applyBorder="1" applyAlignment="1" applyProtection="1">
      <alignment horizontal="left" vertical="center"/>
      <protection hidden="1"/>
    </xf>
    <xf numFmtId="0" fontId="34" fillId="54" borderId="135" xfId="13" applyFont="1" applyFill="1" applyBorder="1" applyAlignment="1" applyProtection="1">
      <alignment horizontal="left" vertical="center"/>
      <protection hidden="1"/>
    </xf>
    <xf numFmtId="166" fontId="366" fillId="0" borderId="24" xfId="0" applyNumberFormat="1" applyFont="1" applyFill="1" applyBorder="1" applyAlignment="1" applyProtection="1">
      <alignment horizontal="center" vertical="center" wrapText="1"/>
      <protection hidden="1"/>
    </xf>
    <xf numFmtId="166" fontId="366" fillId="0" borderId="635" xfId="0" applyNumberFormat="1" applyFont="1" applyFill="1" applyBorder="1" applyAlignment="1" applyProtection="1">
      <alignment horizontal="center" vertical="center" wrapText="1"/>
      <protection hidden="1"/>
    </xf>
    <xf numFmtId="3" fontId="429" fillId="0" borderId="0" xfId="0" applyNumberFormat="1" applyFont="1" applyBorder="1" applyAlignment="1" applyProtection="1">
      <alignment horizontal="center" vertical="center"/>
      <protection hidden="1"/>
    </xf>
    <xf numFmtId="0" fontId="279" fillId="46" borderId="611" xfId="0" applyFont="1" applyFill="1" applyBorder="1" applyAlignment="1" applyProtection="1">
      <alignment horizontal="left" vertical="center" wrapText="1"/>
      <protection locked="0" hidden="1"/>
    </xf>
    <xf numFmtId="0" fontId="279" fillId="46" borderId="600" xfId="0" applyFont="1" applyFill="1" applyBorder="1" applyAlignment="1" applyProtection="1">
      <alignment horizontal="left" vertical="center" wrapText="1"/>
      <protection locked="0" hidden="1"/>
    </xf>
    <xf numFmtId="0" fontId="279" fillId="46" borderId="612" xfId="0" applyFont="1" applyFill="1" applyBorder="1" applyAlignment="1" applyProtection="1">
      <alignment horizontal="left" vertical="center" wrapText="1"/>
      <protection locked="0" hidden="1"/>
    </xf>
    <xf numFmtId="0" fontId="190" fillId="54" borderId="369" xfId="0" applyFont="1" applyFill="1" applyBorder="1" applyAlignment="1">
      <alignment horizontal="center" vertical="center" wrapText="1"/>
    </xf>
    <xf numFmtId="0" fontId="190" fillId="54" borderId="513" xfId="0" applyFont="1" applyFill="1" applyBorder="1" applyAlignment="1">
      <alignment horizontal="center" vertical="center" wrapText="1"/>
    </xf>
    <xf numFmtId="0" fontId="266" fillId="54" borderId="371" xfId="0" applyFont="1" applyFill="1" applyBorder="1" applyAlignment="1">
      <alignment horizontal="center" vertical="center" wrapText="1"/>
    </xf>
    <xf numFmtId="0" fontId="266" fillId="54" borderId="514" xfId="0" applyFont="1" applyFill="1" applyBorder="1" applyAlignment="1">
      <alignment horizontal="center" vertical="center" wrapText="1"/>
    </xf>
    <xf numFmtId="0" fontId="329" fillId="69" borderId="375" xfId="0" applyFont="1" applyFill="1" applyBorder="1" applyAlignment="1" applyProtection="1">
      <alignment horizontal="center" vertical="center" wrapText="1"/>
      <protection hidden="1"/>
    </xf>
    <xf numFmtId="0" fontId="103" fillId="69" borderId="379" xfId="0" applyFont="1" applyFill="1" applyBorder="1" applyAlignment="1">
      <alignment horizontal="center" vertical="center" wrapText="1"/>
    </xf>
    <xf numFmtId="182" fontId="274" fillId="0" borderId="0" xfId="0" applyNumberFormat="1" applyFont="1" applyBorder="1" applyAlignment="1" applyProtection="1">
      <alignment horizontal="center" vertical="center" wrapText="1"/>
      <protection hidden="1"/>
    </xf>
    <xf numFmtId="3" fontId="274" fillId="0" borderId="0" xfId="0" applyNumberFormat="1" applyFont="1" applyBorder="1" applyAlignment="1" applyProtection="1">
      <alignment horizontal="center" vertical="center" wrapText="1"/>
      <protection hidden="1"/>
    </xf>
    <xf numFmtId="195" fontId="491" fillId="0" borderId="0" xfId="0" applyNumberFormat="1" applyFont="1" applyFill="1" applyBorder="1" applyAlignment="1" applyProtection="1">
      <alignment horizontal="center" vertical="center"/>
      <protection hidden="1"/>
    </xf>
    <xf numFmtId="0" fontId="283" fillId="0" borderId="72" xfId="0" applyFont="1" applyBorder="1" applyAlignment="1" applyProtection="1">
      <alignment horizontal="left" vertical="center"/>
      <protection locked="0"/>
    </xf>
    <xf numFmtId="0" fontId="279" fillId="0" borderId="160" xfId="0" applyFont="1" applyBorder="1" applyAlignment="1">
      <alignment horizontal="left" vertical="center"/>
    </xf>
    <xf numFmtId="0" fontId="283" fillId="0" borderId="167" xfId="0" applyFont="1" applyBorder="1" applyAlignment="1" applyProtection="1">
      <alignment horizontal="left" vertical="center"/>
      <protection locked="0"/>
    </xf>
    <xf numFmtId="0" fontId="279" fillId="0" borderId="161" xfId="0" applyFont="1" applyBorder="1" applyAlignment="1">
      <alignment horizontal="left" vertical="center"/>
    </xf>
    <xf numFmtId="0" fontId="248" fillId="59" borderId="71" xfId="0" applyFont="1" applyFill="1" applyBorder="1" applyAlignment="1" applyProtection="1">
      <alignment horizontal="center" vertical="center"/>
      <protection locked="0"/>
    </xf>
    <xf numFmtId="0" fontId="147" fillId="0" borderId="203" xfId="0" applyFont="1" applyBorder="1" applyAlignment="1">
      <alignment horizontal="right"/>
    </xf>
    <xf numFmtId="0" fontId="147" fillId="0" borderId="172" xfId="0" applyFont="1" applyBorder="1" applyAlignment="1">
      <alignment horizontal="right"/>
    </xf>
    <xf numFmtId="0" fontId="185" fillId="59" borderId="136" xfId="0" applyFont="1" applyFill="1" applyBorder="1" applyAlignment="1" applyProtection="1">
      <alignment horizontal="center" vertical="center"/>
      <protection locked="0"/>
    </xf>
    <xf numFmtId="0" fontId="185" fillId="59" borderId="137" xfId="0" applyFont="1" applyFill="1" applyBorder="1" applyAlignment="1" applyProtection="1">
      <alignment horizontal="center" vertical="center"/>
      <protection locked="0"/>
    </xf>
    <xf numFmtId="0" fontId="184" fillId="69" borderId="136" xfId="0" applyNumberFormat="1" applyFont="1" applyFill="1" applyBorder="1" applyAlignment="1" applyProtection="1">
      <alignment horizontal="center" vertical="center"/>
      <protection hidden="1"/>
    </xf>
    <xf numFmtId="0" fontId="184" fillId="69" borderId="135" xfId="0" applyNumberFormat="1" applyFont="1" applyFill="1" applyBorder="1" applyAlignment="1" applyProtection="1">
      <alignment horizontal="center" vertical="center"/>
      <protection hidden="1"/>
    </xf>
    <xf numFmtId="0" fontId="279" fillId="0" borderId="224" xfId="0" applyFont="1" applyFill="1" applyBorder="1" applyAlignment="1" applyProtection="1">
      <alignment horizontal="left" vertical="center" indent="1"/>
      <protection locked="0"/>
    </xf>
    <xf numFmtId="0" fontId="353" fillId="0" borderId="0" xfId="0" applyFont="1" applyBorder="1" applyAlignment="1">
      <alignment horizontal="left" vertical="center" indent="1"/>
    </xf>
    <xf numFmtId="0" fontId="428" fillId="0" borderId="0" xfId="0" applyFont="1" applyBorder="1" applyAlignment="1" applyProtection="1">
      <alignment horizontal="right" vertical="center" indent="1"/>
      <protection hidden="1"/>
    </xf>
    <xf numFmtId="0" fontId="292" fillId="0" borderId="167" xfId="0" applyFont="1" applyFill="1" applyBorder="1" applyAlignment="1" applyProtection="1">
      <alignment horizontal="left" vertical="center" wrapText="1" indent="1"/>
      <protection locked="0"/>
    </xf>
    <xf numFmtId="0" fontId="353" fillId="0" borderId="161" xfId="0" applyFont="1" applyBorder="1" applyAlignment="1">
      <alignment horizontal="left" vertical="center" indent="1"/>
    </xf>
    <xf numFmtId="0" fontId="283" fillId="0" borderId="224" xfId="0" applyFont="1" applyBorder="1" applyAlignment="1" applyProtection="1">
      <alignment horizontal="left" vertical="center"/>
      <protection locked="0"/>
    </xf>
    <xf numFmtId="0" fontId="279" fillId="0" borderId="0" xfId="0" applyFont="1" applyBorder="1" applyAlignment="1">
      <alignment horizontal="left" vertical="center"/>
    </xf>
    <xf numFmtId="0" fontId="266" fillId="0" borderId="0" xfId="32" applyFont="1" applyFill="1" applyBorder="1" applyAlignment="1" applyProtection="1">
      <alignment horizontal="center" vertical="center"/>
      <protection hidden="1"/>
    </xf>
    <xf numFmtId="0" fontId="407" fillId="0" borderId="0" xfId="0" applyFont="1" applyBorder="1" applyAlignment="1" applyProtection="1">
      <alignment horizontal="center" vertical="center"/>
      <protection hidden="1"/>
    </xf>
    <xf numFmtId="0" fontId="217"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205" fontId="281" fillId="0" borderId="232" xfId="0" applyNumberFormat="1" applyFont="1" applyFill="1" applyBorder="1" applyAlignment="1" applyProtection="1">
      <alignment horizontal="left" vertical="center" indent="1"/>
      <protection hidden="1"/>
    </xf>
    <xf numFmtId="205" fontId="281" fillId="0" borderId="233" xfId="0" applyNumberFormat="1" applyFont="1" applyFill="1" applyBorder="1" applyAlignment="1" applyProtection="1">
      <alignment horizontal="left" vertical="center" indent="1"/>
      <protection hidden="1"/>
    </xf>
    <xf numFmtId="205" fontId="281" fillId="0" borderId="256" xfId="0" applyNumberFormat="1" applyFont="1" applyFill="1" applyBorder="1" applyAlignment="1" applyProtection="1">
      <alignment horizontal="left" vertical="center" indent="1"/>
      <protection hidden="1"/>
    </xf>
    <xf numFmtId="0" fontId="213" fillId="54" borderId="555" xfId="0" applyFont="1" applyFill="1" applyBorder="1" applyAlignment="1" applyProtection="1">
      <alignment horizontal="center" vertical="center"/>
      <protection hidden="1"/>
    </xf>
    <xf numFmtId="0" fontId="213" fillId="54" borderId="615" xfId="0" applyFont="1" applyFill="1" applyBorder="1" applyAlignment="1" applyProtection="1">
      <alignment horizontal="center" vertical="center"/>
      <protection hidden="1"/>
    </xf>
    <xf numFmtId="0" fontId="216" fillId="0" borderId="0" xfId="0" applyFont="1" applyFill="1" applyBorder="1" applyAlignment="1" applyProtection="1">
      <alignment horizontal="right" vertical="center"/>
    </xf>
    <xf numFmtId="207" fontId="281" fillId="0" borderId="231" xfId="0" applyNumberFormat="1" applyFont="1" applyBorder="1" applyAlignment="1" applyProtection="1">
      <alignment horizontal="left" vertical="center" indent="1"/>
      <protection hidden="1"/>
    </xf>
    <xf numFmtId="207" fontId="483" fillId="0" borderId="206" xfId="0" applyNumberFormat="1" applyFont="1" applyBorder="1" applyAlignment="1" applyProtection="1">
      <alignment horizontal="left" indent="1"/>
      <protection hidden="1"/>
    </xf>
    <xf numFmtId="207" fontId="483" fillId="0" borderId="260" xfId="0" applyNumberFormat="1" applyFont="1" applyBorder="1" applyAlignment="1" applyProtection="1">
      <alignment horizontal="left" indent="1"/>
      <protection hidden="1"/>
    </xf>
    <xf numFmtId="195" fontId="200" fillId="59" borderId="246" xfId="0" applyNumberFormat="1" applyFont="1" applyFill="1" applyBorder="1" applyAlignment="1" applyProtection="1">
      <alignment horizontal="center" vertical="center"/>
      <protection hidden="1"/>
    </xf>
    <xf numFmtId="195" fontId="200" fillId="59" borderId="137" xfId="0" applyNumberFormat="1" applyFont="1" applyFill="1" applyBorder="1" applyAlignment="1" applyProtection="1">
      <alignment horizontal="center" vertical="center"/>
      <protection hidden="1"/>
    </xf>
    <xf numFmtId="195" fontId="200" fillId="59" borderId="135" xfId="0" applyNumberFormat="1" applyFont="1" applyFill="1" applyBorder="1" applyAlignment="1" applyProtection="1">
      <alignment horizontal="center" vertical="center"/>
      <protection hidden="1"/>
    </xf>
    <xf numFmtId="195" fontId="491" fillId="0" borderId="0" xfId="0" applyNumberFormat="1" applyFont="1" applyFill="1" applyBorder="1" applyAlignment="1" applyProtection="1">
      <alignment horizontal="right" vertical="center"/>
      <protection hidden="1"/>
    </xf>
    <xf numFmtId="0" fontId="351" fillId="0" borderId="0" xfId="0" applyFont="1" applyBorder="1" applyAlignment="1">
      <alignment horizontal="right" vertical="center"/>
    </xf>
    <xf numFmtId="0" fontId="252" fillId="54" borderId="220" xfId="13" applyFont="1" applyFill="1" applyBorder="1" applyAlignment="1" applyProtection="1">
      <alignment horizontal="center" vertical="center" wrapText="1"/>
      <protection hidden="1"/>
    </xf>
    <xf numFmtId="0" fontId="252" fillId="54" borderId="86" xfId="13" applyFont="1" applyFill="1" applyBorder="1" applyAlignment="1" applyProtection="1">
      <alignment horizontal="center" vertical="center" wrapText="1"/>
      <protection hidden="1"/>
    </xf>
    <xf numFmtId="0" fontId="252" fillId="54" borderId="64" xfId="13" applyFont="1" applyFill="1" applyBorder="1" applyAlignment="1" applyProtection="1">
      <alignment horizontal="center" vertical="center" wrapText="1"/>
      <protection hidden="1"/>
    </xf>
    <xf numFmtId="0" fontId="252" fillId="54" borderId="597" xfId="13" applyFont="1" applyFill="1" applyBorder="1" applyAlignment="1" applyProtection="1">
      <alignment horizontal="center" vertical="center" wrapText="1"/>
      <protection hidden="1"/>
    </xf>
    <xf numFmtId="0" fontId="427" fillId="94" borderId="136" xfId="0" applyFont="1" applyFill="1" applyBorder="1" applyAlignment="1" applyProtection="1">
      <alignment horizontal="left" vertical="center"/>
      <protection hidden="1"/>
    </xf>
    <xf numFmtId="0" fontId="427" fillId="94" borderId="137" xfId="0" applyFont="1" applyFill="1" applyBorder="1" applyAlignment="1" applyProtection="1">
      <alignment horizontal="left" vertical="center"/>
      <protection hidden="1"/>
    </xf>
    <xf numFmtId="0" fontId="427" fillId="94" borderId="135" xfId="0" applyFont="1" applyFill="1" applyBorder="1" applyAlignment="1" applyProtection="1">
      <alignment horizontal="left" vertical="center"/>
      <protection hidden="1"/>
    </xf>
    <xf numFmtId="3" fontId="279" fillId="0" borderId="157" xfId="0" applyNumberFormat="1" applyFont="1" applyFill="1" applyBorder="1" applyAlignment="1" applyProtection="1">
      <alignment horizontal="left" vertical="center" indent="1"/>
      <protection hidden="1"/>
    </xf>
    <xf numFmtId="3" fontId="279" fillId="0" borderId="170" xfId="0" applyNumberFormat="1" applyFont="1" applyFill="1" applyBorder="1" applyAlignment="1" applyProtection="1">
      <alignment horizontal="left" vertical="center" indent="1"/>
      <protection hidden="1"/>
    </xf>
    <xf numFmtId="0" fontId="279" fillId="0" borderId="170" xfId="0" applyFont="1" applyFill="1" applyBorder="1" applyAlignment="1" applyProtection="1">
      <alignment horizontal="left" vertical="center" indent="1"/>
      <protection hidden="1"/>
    </xf>
    <xf numFmtId="0" fontId="279" fillId="0" borderId="166" xfId="0" applyFont="1" applyFill="1" applyBorder="1" applyAlignment="1" applyProtection="1">
      <alignment horizontal="left" vertical="center" indent="1"/>
      <protection hidden="1"/>
    </xf>
    <xf numFmtId="0" fontId="34" fillId="59" borderId="246" xfId="0" applyFont="1" applyFill="1" applyBorder="1" applyAlignment="1" applyProtection="1">
      <alignment horizontal="center" vertical="center"/>
      <protection hidden="1"/>
    </xf>
    <xf numFmtId="0" fontId="0" fillId="0" borderId="137" xfId="0" applyBorder="1" applyAlignment="1">
      <alignment horizontal="right"/>
    </xf>
    <xf numFmtId="0" fontId="0" fillId="0" borderId="135" xfId="0" applyBorder="1" applyAlignment="1">
      <alignment horizontal="right"/>
    </xf>
    <xf numFmtId="0" fontId="246" fillId="0" borderId="158" xfId="0" applyFont="1" applyFill="1" applyBorder="1" applyAlignment="1" applyProtection="1">
      <alignment horizontal="left" vertical="center" indent="1"/>
      <protection hidden="1"/>
    </xf>
    <xf numFmtId="0" fontId="246" fillId="0" borderId="115" xfId="0" applyFont="1" applyFill="1" applyBorder="1" applyAlignment="1" applyProtection="1">
      <alignment horizontal="left" vertical="center" indent="1"/>
      <protection hidden="1"/>
    </xf>
    <xf numFmtId="0" fontId="246" fillId="0" borderId="115" xfId="0" applyFont="1" applyFill="1" applyBorder="1" applyAlignment="1" applyProtection="1">
      <alignment horizontal="left" vertical="center"/>
      <protection hidden="1"/>
    </xf>
    <xf numFmtId="0" fontId="246" fillId="0" borderId="159" xfId="0" applyFont="1" applyFill="1" applyBorder="1" applyAlignment="1" applyProtection="1">
      <alignment horizontal="left" vertical="center"/>
      <protection hidden="1"/>
    </xf>
    <xf numFmtId="0" fontId="246" fillId="0" borderId="152" xfId="0" applyFont="1" applyFill="1" applyBorder="1" applyAlignment="1" applyProtection="1">
      <alignment horizontal="left" vertical="center" indent="1"/>
      <protection hidden="1"/>
    </xf>
    <xf numFmtId="0" fontId="246" fillId="0" borderId="65" xfId="0" applyFont="1" applyFill="1" applyBorder="1">
      <alignment horizontal="right"/>
    </xf>
    <xf numFmtId="0" fontId="246" fillId="0" borderId="153" xfId="0" applyFont="1" applyFill="1" applyBorder="1">
      <alignment horizontal="right"/>
    </xf>
    <xf numFmtId="166" fontId="246" fillId="93" borderId="180" xfId="0" applyNumberFormat="1" applyFont="1" applyFill="1" applyBorder="1" applyAlignment="1" applyProtection="1">
      <alignment horizontal="right" vertical="center"/>
      <protection hidden="1"/>
    </xf>
    <xf numFmtId="0" fontId="0" fillId="93" borderId="182" xfId="0" applyFill="1" applyBorder="1" applyAlignment="1">
      <alignment horizontal="right" vertical="center"/>
    </xf>
    <xf numFmtId="166" fontId="246" fillId="93" borderId="181" xfId="0" applyNumberFormat="1" applyFont="1" applyFill="1" applyBorder="1" applyAlignment="1" applyProtection="1">
      <alignment horizontal="right" vertical="center"/>
      <protection hidden="1"/>
    </xf>
    <xf numFmtId="0" fontId="0" fillId="93" borderId="183" xfId="0" applyFill="1" applyBorder="1" applyAlignment="1">
      <alignment horizontal="right" vertical="center"/>
    </xf>
    <xf numFmtId="3" fontId="439" fillId="0" borderId="0" xfId="0" applyNumberFormat="1" applyFont="1" applyFill="1" applyBorder="1" applyAlignment="1" applyProtection="1">
      <alignment horizontal="right" vertical="center" indent="1"/>
      <protection hidden="1"/>
    </xf>
    <xf numFmtId="0" fontId="279" fillId="0" borderId="0" xfId="0" applyFont="1" applyBorder="1" applyAlignment="1">
      <alignment horizontal="right" vertical="center"/>
    </xf>
    <xf numFmtId="0" fontId="442" fillId="0" borderId="0" xfId="0" applyFont="1" applyFill="1" applyBorder="1" applyAlignment="1" applyProtection="1">
      <alignment vertical="center"/>
      <protection locked="0"/>
    </xf>
    <xf numFmtId="0" fontId="442" fillId="0" borderId="0" xfId="0" applyFont="1" applyBorder="1" applyAlignment="1">
      <alignment vertical="center"/>
    </xf>
    <xf numFmtId="180" fontId="484" fillId="46" borderId="136" xfId="0" applyNumberFormat="1" applyFont="1" applyFill="1" applyBorder="1" applyAlignment="1" applyProtection="1">
      <alignment horizontal="left" vertical="center" indent="1"/>
      <protection hidden="1"/>
    </xf>
    <xf numFmtId="0" fontId="103" fillId="0" borderId="137" xfId="0" applyFont="1" applyBorder="1" applyAlignment="1" applyProtection="1">
      <alignment horizontal="left" indent="1"/>
      <protection hidden="1"/>
    </xf>
    <xf numFmtId="0" fontId="34" fillId="52" borderId="136" xfId="0" applyFont="1" applyFill="1" applyBorder="1" applyAlignment="1" applyProtection="1">
      <alignment horizontal="center" vertical="center"/>
      <protection hidden="1"/>
    </xf>
    <xf numFmtId="0" fontId="34" fillId="52" borderId="137" xfId="0" applyFont="1" applyFill="1" applyBorder="1" applyAlignment="1" applyProtection="1">
      <alignment horizontal="center" vertical="center"/>
      <protection hidden="1"/>
    </xf>
    <xf numFmtId="0" fontId="34" fillId="52" borderId="135" xfId="0" applyFont="1" applyFill="1" applyBorder="1" applyAlignment="1" applyProtection="1">
      <alignment horizontal="center" vertical="center"/>
      <protection hidden="1"/>
    </xf>
    <xf numFmtId="0" fontId="45" fillId="0" borderId="0" xfId="32" applyFont="1" applyBorder="1" applyAlignment="1" applyProtection="1">
      <alignment horizontal="left" vertical="center" wrapText="1" indent="1"/>
      <protection hidden="1"/>
    </xf>
    <xf numFmtId="0" fontId="498" fillId="0" borderId="171" xfId="0" applyFont="1" applyFill="1" applyBorder="1" applyAlignment="1" applyProtection="1">
      <alignment horizontal="left" vertical="center" indent="1"/>
      <protection hidden="1"/>
    </xf>
    <xf numFmtId="0" fontId="0" fillId="0" borderId="203" xfId="0" applyBorder="1" applyAlignment="1">
      <alignment horizontal="left" indent="1"/>
    </xf>
    <xf numFmtId="0" fontId="498" fillId="0" borderId="173" xfId="0" applyFont="1" applyFill="1" applyBorder="1" applyAlignment="1" applyProtection="1">
      <alignment horizontal="left" vertical="center" indent="1"/>
      <protection hidden="1"/>
    </xf>
    <xf numFmtId="0" fontId="246" fillId="0" borderId="71" xfId="0" applyFont="1" applyFill="1" applyBorder="1" applyAlignment="1" applyProtection="1">
      <alignment horizontal="left" vertical="center" wrapText="1" indent="1"/>
      <protection hidden="1"/>
    </xf>
    <xf numFmtId="0" fontId="0" fillId="0" borderId="203" xfId="0" applyBorder="1" applyAlignment="1">
      <alignment horizontal="left" vertical="center" wrapText="1" indent="1"/>
    </xf>
    <xf numFmtId="0" fontId="246" fillId="0" borderId="219" xfId="0" applyFont="1" applyFill="1" applyBorder="1" applyAlignment="1" applyProtection="1">
      <alignment horizontal="left" vertical="center" indent="1"/>
      <protection hidden="1"/>
    </xf>
    <xf numFmtId="0" fontId="0" fillId="0" borderId="150" xfId="0" applyBorder="1" applyAlignment="1">
      <alignment horizontal="left" indent="1"/>
    </xf>
    <xf numFmtId="0" fontId="0" fillId="0" borderId="181" xfId="0" applyBorder="1" applyAlignment="1">
      <alignment horizontal="left" indent="1"/>
    </xf>
    <xf numFmtId="3" fontId="279" fillId="0" borderId="187" xfId="0" applyNumberFormat="1" applyFont="1" applyFill="1" applyBorder="1" applyAlignment="1" applyProtection="1">
      <alignment horizontal="left" vertical="center" indent="1"/>
      <protection hidden="1"/>
    </xf>
    <xf numFmtId="3" fontId="279" fillId="0" borderId="321" xfId="0" applyNumberFormat="1" applyFont="1" applyFill="1" applyBorder="1" applyAlignment="1" applyProtection="1">
      <alignment horizontal="left" vertical="center" indent="1"/>
      <protection hidden="1"/>
    </xf>
    <xf numFmtId="3" fontId="279" fillId="0" borderId="412" xfId="0" applyNumberFormat="1" applyFont="1" applyFill="1" applyBorder="1" applyAlignment="1" applyProtection="1">
      <alignment horizontal="left" vertical="center" indent="1"/>
      <protection hidden="1"/>
    </xf>
    <xf numFmtId="0" fontId="34" fillId="54" borderId="136" xfId="13" applyFont="1" applyFill="1" applyBorder="1" applyAlignment="1" applyProtection="1">
      <alignment horizontal="center" vertical="center"/>
      <protection hidden="1"/>
    </xf>
    <xf numFmtId="0" fontId="34" fillId="54" borderId="137" xfId="13" applyFont="1" applyFill="1" applyBorder="1" applyAlignment="1" applyProtection="1">
      <alignment horizontal="center" vertical="center"/>
      <protection hidden="1"/>
    </xf>
    <xf numFmtId="0" fontId="34" fillId="54" borderId="135" xfId="13" applyFont="1" applyFill="1" applyBorder="1" applyAlignment="1" applyProtection="1">
      <alignment horizontal="center" vertical="center"/>
      <protection hidden="1"/>
    </xf>
    <xf numFmtId="0" fontId="246" fillId="0" borderId="180" xfId="0" applyFont="1" applyFill="1" applyBorder="1" applyAlignment="1" applyProtection="1">
      <alignment horizontal="left" vertical="center" indent="1"/>
      <protection hidden="1"/>
    </xf>
    <xf numFmtId="0" fontId="246" fillId="0" borderId="150" xfId="0" applyFont="1" applyFill="1" applyBorder="1" applyAlignment="1">
      <alignment horizontal="left" vertical="center" indent="1"/>
    </xf>
    <xf numFmtId="0" fontId="246" fillId="0" borderId="182" xfId="0" applyFont="1" applyFill="1" applyBorder="1" applyAlignment="1">
      <alignment horizontal="left" vertical="center" indent="1"/>
    </xf>
    <xf numFmtId="0" fontId="246" fillId="0" borderId="133" xfId="0" applyFont="1" applyFill="1" applyBorder="1" applyAlignment="1">
      <alignment horizontal="left" vertical="center" indent="1"/>
    </xf>
    <xf numFmtId="3" fontId="279" fillId="0" borderId="180" xfId="0" applyNumberFormat="1" applyFont="1" applyFill="1" applyBorder="1" applyAlignment="1" applyProtection="1">
      <alignment horizontal="left" vertical="center" indent="1"/>
      <protection hidden="1"/>
    </xf>
    <xf numFmtId="0" fontId="279" fillId="0" borderId="150" xfId="0" applyFont="1" applyFill="1" applyBorder="1" applyAlignment="1">
      <alignment horizontal="left" vertical="center" indent="1"/>
    </xf>
    <xf numFmtId="0" fontId="0" fillId="0" borderId="491" xfId="0" applyBorder="1" applyAlignment="1">
      <alignment horizontal="left" indent="1"/>
    </xf>
    <xf numFmtId="0" fontId="279" fillId="0" borderId="182" xfId="0" applyFont="1" applyFill="1" applyBorder="1" applyAlignment="1">
      <alignment horizontal="left" vertical="center" indent="1"/>
    </xf>
    <xf numFmtId="0" fontId="279" fillId="0" borderId="133" xfId="0" applyFont="1" applyFill="1" applyBorder="1" applyAlignment="1">
      <alignment horizontal="left" vertical="center" indent="1"/>
    </xf>
    <xf numFmtId="0" fontId="0" fillId="0" borderId="560" xfId="0" applyBorder="1" applyAlignment="1">
      <alignment horizontal="left" indent="1"/>
    </xf>
    <xf numFmtId="0" fontId="201" fillId="0" borderId="0" xfId="0" applyFont="1" applyFill="1" applyBorder="1" applyAlignment="1" applyProtection="1">
      <alignment horizontal="left" vertical="center" wrapText="1" indent="1"/>
      <protection hidden="1"/>
    </xf>
    <xf numFmtId="0" fontId="0" fillId="0" borderId="134" xfId="0" applyBorder="1" applyAlignment="1">
      <alignment horizontal="left" indent="1"/>
    </xf>
    <xf numFmtId="0" fontId="0" fillId="0" borderId="1" xfId="0" applyAlignment="1">
      <alignment horizontal="left" indent="1"/>
    </xf>
    <xf numFmtId="0" fontId="190"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90" fillId="0" borderId="205" xfId="0" applyFont="1" applyFill="1" applyBorder="1" applyAlignment="1" applyProtection="1">
      <alignment horizontal="left" vertical="center" wrapText="1" indent="1"/>
      <protection hidden="1"/>
    </xf>
    <xf numFmtId="0" fontId="283" fillId="0" borderId="599" xfId="0" applyFont="1" applyBorder="1" applyAlignment="1" applyProtection="1">
      <alignment horizontal="left" vertical="center"/>
      <protection locked="0"/>
    </xf>
    <xf numFmtId="0" fontId="283" fillId="0" borderId="58" xfId="0" applyFont="1" applyBorder="1" applyAlignment="1" applyProtection="1">
      <alignment horizontal="left" vertical="center"/>
      <protection locked="0"/>
    </xf>
    <xf numFmtId="0" fontId="283" fillId="0" borderId="553" xfId="0" applyFont="1" applyBorder="1" applyAlignment="1" applyProtection="1">
      <alignment horizontal="left" vertical="center"/>
      <protection locked="0"/>
    </xf>
    <xf numFmtId="0" fontId="427" fillId="46" borderId="548" xfId="0" applyFont="1" applyFill="1" applyBorder="1" applyAlignment="1" applyProtection="1">
      <alignment horizontal="left" vertical="center"/>
      <protection hidden="1"/>
    </xf>
    <xf numFmtId="0" fontId="427" fillId="46" borderId="600" xfId="0" applyFont="1" applyFill="1" applyBorder="1" applyAlignment="1" applyProtection="1">
      <alignment horizontal="left" vertical="center"/>
      <protection hidden="1"/>
    </xf>
    <xf numFmtId="0" fontId="427" fillId="46" borderId="601" xfId="0" applyFont="1" applyFill="1" applyBorder="1" applyAlignment="1" applyProtection="1">
      <alignment horizontal="left" vertical="center"/>
      <protection hidden="1"/>
    </xf>
    <xf numFmtId="0" fontId="252" fillId="54" borderId="71" xfId="13" applyFont="1" applyFill="1" applyBorder="1" applyAlignment="1" applyProtection="1">
      <alignment horizontal="center" vertical="center"/>
      <protection hidden="1"/>
    </xf>
    <xf numFmtId="0" fontId="252" fillId="54" borderId="203" xfId="13" applyFont="1" applyFill="1" applyBorder="1" applyAlignment="1" applyProtection="1">
      <alignment horizontal="center" vertical="center"/>
      <protection hidden="1"/>
    </xf>
    <xf numFmtId="0" fontId="252" fillId="54" borderId="182" xfId="13" applyFont="1" applyFill="1" applyBorder="1" applyAlignment="1" applyProtection="1">
      <alignment horizontal="center" vertical="center"/>
      <protection hidden="1"/>
    </xf>
    <xf numFmtId="0" fontId="252" fillId="54" borderId="133" xfId="13" applyFont="1" applyFill="1" applyBorder="1" applyAlignment="1" applyProtection="1">
      <alignment horizontal="center" vertical="center"/>
      <protection hidden="1"/>
    </xf>
    <xf numFmtId="0" fontId="279" fillId="0" borderId="609" xfId="0" applyFont="1" applyBorder="1" applyAlignment="1" applyProtection="1">
      <alignment horizontal="left" vertical="center" wrapText="1"/>
      <protection locked="0" hidden="1"/>
    </xf>
    <xf numFmtId="0" fontId="279" fillId="0" borderId="589" xfId="0" applyFont="1" applyBorder="1" applyAlignment="1" applyProtection="1">
      <alignment horizontal="left" vertical="center" wrapText="1"/>
      <protection locked="0" hidden="1"/>
    </xf>
    <xf numFmtId="0" fontId="279" fillId="0" borderId="610" xfId="0" applyFont="1" applyBorder="1" applyAlignment="1" applyProtection="1">
      <alignment horizontal="left" vertical="center" wrapText="1"/>
      <protection locked="0" hidden="1"/>
    </xf>
    <xf numFmtId="0" fontId="279" fillId="0" borderId="606" xfId="0" applyFont="1" applyBorder="1" applyAlignment="1" applyProtection="1">
      <alignment horizontal="left" vertical="center" wrapText="1"/>
      <protection locked="0" hidden="1"/>
    </xf>
    <xf numFmtId="0" fontId="279" fillId="0" borderId="607" xfId="0" applyFont="1" applyBorder="1" applyAlignment="1" applyProtection="1">
      <alignment horizontal="left" vertical="center" wrapText="1"/>
      <protection locked="0" hidden="1"/>
    </xf>
    <xf numFmtId="0" fontId="279" fillId="0" borderId="608" xfId="0" applyFont="1" applyBorder="1" applyAlignment="1" applyProtection="1">
      <alignment horizontal="left" vertical="center" wrapText="1"/>
      <protection locked="0" hidden="1"/>
    </xf>
    <xf numFmtId="0" fontId="279" fillId="0" borderId="609" xfId="0" applyFont="1" applyBorder="1" applyAlignment="1" applyProtection="1">
      <alignment horizontal="left" vertical="center" wrapText="1"/>
      <protection hidden="1"/>
    </xf>
    <xf numFmtId="0" fontId="279" fillId="0" borderId="589" xfId="0" applyFont="1" applyBorder="1" applyAlignment="1" applyProtection="1">
      <alignment horizontal="left" vertical="center" wrapText="1"/>
      <protection hidden="1"/>
    </xf>
    <xf numFmtId="0" fontId="279" fillId="0" borderId="610" xfId="0" applyFont="1" applyBorder="1" applyAlignment="1" applyProtection="1">
      <alignment horizontal="left" vertical="center" wrapText="1"/>
      <protection hidden="1"/>
    </xf>
    <xf numFmtId="206" fontId="281" fillId="0" borderId="221" xfId="0" applyNumberFormat="1" applyFont="1" applyBorder="1" applyAlignment="1" applyProtection="1">
      <alignment horizontal="left" vertical="center" indent="1"/>
      <protection hidden="1"/>
    </xf>
    <xf numFmtId="206" fontId="483" fillId="0" borderId="161" xfId="0" applyNumberFormat="1" applyFont="1" applyBorder="1" applyAlignment="1" applyProtection="1">
      <alignment horizontal="left" indent="1"/>
      <protection hidden="1"/>
    </xf>
    <xf numFmtId="206" fontId="483" fillId="0" borderId="245" xfId="0" applyNumberFormat="1" applyFont="1" applyBorder="1" applyAlignment="1" applyProtection="1">
      <alignment horizontal="left" indent="1"/>
      <protection hidden="1"/>
    </xf>
    <xf numFmtId="0" fontId="252" fillId="54" borderId="313" xfId="13" applyFont="1" applyFill="1" applyBorder="1" applyAlignment="1" applyProtection="1">
      <alignment horizontal="center" vertical="center"/>
      <protection hidden="1"/>
    </xf>
    <xf numFmtId="0" fontId="252" fillId="54" borderId="265" xfId="13" applyFont="1" applyFill="1" applyBorder="1" applyAlignment="1" applyProtection="1">
      <alignment horizontal="center" vertical="center"/>
      <protection hidden="1"/>
    </xf>
    <xf numFmtId="0" fontId="0" fillId="0" borderId="604" xfId="0" applyBorder="1" applyAlignment="1">
      <alignment horizontal="right"/>
    </xf>
    <xf numFmtId="0" fontId="0" fillId="0" borderId="133" xfId="0" applyBorder="1" applyAlignment="1">
      <alignment horizontal="right"/>
    </xf>
    <xf numFmtId="0" fontId="0" fillId="0" borderId="605" xfId="0" applyBorder="1" applyAlignment="1">
      <alignment horizontal="right"/>
    </xf>
    <xf numFmtId="0" fontId="194" fillId="0" borderId="0" xfId="0" applyFont="1" applyBorder="1" applyAlignment="1">
      <alignment horizontal="left" vertical="center"/>
    </xf>
    <xf numFmtId="195" fontId="58" fillId="0" borderId="0" xfId="0" applyNumberFormat="1" applyFont="1" applyFill="1" applyBorder="1" applyAlignment="1" applyProtection="1">
      <alignment horizontal="center" vertical="center"/>
      <protection hidden="1"/>
    </xf>
    <xf numFmtId="0" fontId="377" fillId="59" borderId="0" xfId="0" applyFont="1" applyFill="1" applyBorder="1" applyAlignment="1" applyProtection="1">
      <alignment horizontal="left" vertical="center" wrapText="1" indent="5"/>
      <protection hidden="1"/>
    </xf>
    <xf numFmtId="0" fontId="377" fillId="59" borderId="0" xfId="0" applyFont="1" applyFill="1" applyBorder="1" applyAlignment="1" applyProtection="1">
      <alignment horizontal="center" vertical="top" wrapText="1"/>
      <protection hidden="1"/>
    </xf>
    <xf numFmtId="0" fontId="34" fillId="30" borderId="243" xfId="0" applyFont="1" applyFill="1" applyBorder="1" applyAlignment="1" applyProtection="1">
      <alignment horizontal="left" vertical="center" indent="1"/>
      <protection hidden="1"/>
    </xf>
    <xf numFmtId="0" fontId="147" fillId="30" borderId="218" xfId="0" applyFont="1" applyFill="1" applyBorder="1" applyAlignment="1" applyProtection="1">
      <alignment horizontal="left" indent="1"/>
      <protection hidden="1"/>
    </xf>
    <xf numFmtId="0" fontId="147" fillId="0" borderId="218" xfId="0" applyFont="1" applyBorder="1" applyAlignment="1" applyProtection="1">
      <alignment horizontal="left" indent="1"/>
      <protection hidden="1"/>
    </xf>
    <xf numFmtId="0" fontId="379" fillId="59" borderId="218" xfId="23" applyFont="1" applyFill="1" applyBorder="1" applyAlignment="1" applyProtection="1">
      <alignment horizontal="center" vertical="center" wrapText="1"/>
      <protection hidden="1"/>
    </xf>
    <xf numFmtId="0" fontId="379" fillId="59" borderId="244" xfId="23" applyFont="1" applyFill="1" applyBorder="1" applyAlignment="1" applyProtection="1">
      <alignment horizontal="center" vertical="center" wrapText="1"/>
      <protection hidden="1"/>
    </xf>
    <xf numFmtId="0" fontId="379" fillId="65" borderId="136" xfId="0" quotePrefix="1" applyFont="1" applyFill="1" applyBorder="1" applyAlignment="1" applyProtection="1">
      <alignment horizontal="center" vertical="center"/>
      <protection hidden="1"/>
    </xf>
    <xf numFmtId="0" fontId="379" fillId="65" borderId="137" xfId="0" quotePrefix="1" applyFont="1" applyFill="1" applyBorder="1" applyAlignment="1" applyProtection="1">
      <alignment horizontal="center" vertical="center"/>
      <protection hidden="1"/>
    </xf>
    <xf numFmtId="0" fontId="379" fillId="65" borderId="135" xfId="0" quotePrefix="1" applyFont="1" applyFill="1" applyBorder="1" applyAlignment="1" applyProtection="1">
      <alignment horizontal="center" vertical="center"/>
      <protection hidden="1"/>
    </xf>
    <xf numFmtId="3" fontId="248" fillId="59" borderId="218" xfId="0" applyNumberFormat="1" applyFont="1" applyFill="1" applyBorder="1" applyAlignment="1" applyProtection="1">
      <alignment horizontal="center" vertical="center" wrapText="1"/>
      <protection hidden="1"/>
    </xf>
    <xf numFmtId="3" fontId="248" fillId="59" borderId="244" xfId="0" applyNumberFormat="1" applyFont="1" applyFill="1" applyBorder="1" applyAlignment="1" applyProtection="1">
      <alignment horizontal="center" vertical="center" wrapText="1"/>
      <protection hidden="1"/>
    </xf>
    <xf numFmtId="0" fontId="518" fillId="0" borderId="0" xfId="0" applyFont="1" applyBorder="1" applyAlignment="1" applyProtection="1">
      <alignment horizontal="right"/>
    </xf>
    <xf numFmtId="0" fontId="8" fillId="0" borderId="0" xfId="0" applyFont="1" applyBorder="1" applyAlignment="1">
      <alignment horizontal="right"/>
    </xf>
    <xf numFmtId="0" fontId="518" fillId="0" borderId="0" xfId="0" applyFont="1" applyBorder="1" applyAlignment="1" applyProtection="1">
      <alignment horizontal="right" vertical="top"/>
    </xf>
    <xf numFmtId="3" fontId="361" fillId="0" borderId="0" xfId="0" applyNumberFormat="1" applyFont="1" applyFill="1" applyBorder="1" applyAlignment="1" applyProtection="1">
      <alignment horizontal="right" vertical="center"/>
      <protection hidden="1"/>
    </xf>
    <xf numFmtId="0" fontId="361" fillId="0" borderId="0" xfId="0" applyFont="1" applyBorder="1" applyAlignment="1" applyProtection="1">
      <alignment horizontal="right" vertical="center"/>
      <protection hidden="1"/>
    </xf>
    <xf numFmtId="3" fontId="278" fillId="0" borderId="0" xfId="0" applyNumberFormat="1" applyFont="1" applyFill="1" applyBorder="1" applyAlignment="1" applyProtection="1">
      <alignment horizontal="center" vertical="center" wrapText="1"/>
      <protection hidden="1"/>
    </xf>
    <xf numFmtId="0" fontId="328" fillId="0" borderId="0" xfId="0" applyFont="1" applyFill="1" applyBorder="1" applyAlignment="1" applyProtection="1">
      <alignment horizontal="center" vertical="center"/>
      <protection hidden="1"/>
    </xf>
    <xf numFmtId="180" fontId="361" fillId="46" borderId="136" xfId="0" applyNumberFormat="1" applyFont="1" applyFill="1" applyBorder="1" applyAlignment="1" applyProtection="1">
      <alignment horizontal="center" vertical="center"/>
      <protection hidden="1"/>
    </xf>
    <xf numFmtId="180" fontId="361" fillId="46" borderId="137" xfId="0" applyNumberFormat="1" applyFont="1" applyFill="1" applyBorder="1" applyAlignment="1" applyProtection="1">
      <alignment horizontal="center" vertical="center"/>
      <protection hidden="1"/>
    </xf>
    <xf numFmtId="180" fontId="361" fillId="46" borderId="135" xfId="0" applyNumberFormat="1" applyFont="1" applyFill="1" applyBorder="1" applyAlignment="1" applyProtection="1">
      <alignment horizontal="center" vertical="center"/>
      <protection hidden="1"/>
    </xf>
    <xf numFmtId="168" fontId="76" fillId="68" borderId="472" xfId="0" applyNumberFormat="1" applyFont="1" applyFill="1" applyBorder="1" applyAlignment="1" applyProtection="1">
      <alignment horizontal="center" vertical="center"/>
      <protection hidden="1"/>
    </xf>
    <xf numFmtId="168" fontId="76" fillId="68" borderId="370" xfId="0" applyNumberFormat="1" applyFont="1" applyFill="1" applyBorder="1" applyAlignment="1" applyProtection="1">
      <alignment horizontal="center" vertical="center"/>
      <protection hidden="1"/>
    </xf>
    <xf numFmtId="168" fontId="208" fillId="0" borderId="0" xfId="0" applyNumberFormat="1" applyFont="1" applyFill="1" applyBorder="1" applyAlignment="1" applyProtection="1">
      <alignment horizontal="right" vertical="center" wrapText="1"/>
      <protection hidden="1"/>
    </xf>
    <xf numFmtId="9" fontId="281" fillId="46" borderId="231" xfId="0" applyNumberFormat="1" applyFont="1" applyFill="1" applyBorder="1" applyAlignment="1" applyProtection="1">
      <alignment horizontal="center" vertical="center"/>
      <protection locked="0"/>
    </xf>
    <xf numFmtId="0" fontId="281" fillId="46" borderId="260" xfId="0" applyFont="1" applyFill="1" applyBorder="1" applyAlignment="1" applyProtection="1">
      <alignment horizontal="center" vertical="center"/>
      <protection locked="0"/>
    </xf>
    <xf numFmtId="3" fontId="253" fillId="55" borderId="243" xfId="0" applyNumberFormat="1" applyFont="1" applyFill="1" applyBorder="1" applyAlignment="1" applyProtection="1">
      <alignment horizontal="left" vertical="center" indent="1"/>
      <protection hidden="1"/>
    </xf>
    <xf numFmtId="3" fontId="253" fillId="55" borderId="218" xfId="0" applyNumberFormat="1" applyFont="1" applyFill="1" applyBorder="1" applyAlignment="1" applyProtection="1">
      <alignment horizontal="left" vertical="center" indent="1"/>
      <protection hidden="1"/>
    </xf>
    <xf numFmtId="9" fontId="281" fillId="46" borderId="231" xfId="0" quotePrefix="1" applyNumberFormat="1" applyFont="1" applyFill="1" applyBorder="1" applyAlignment="1" applyProtection="1">
      <alignment horizontal="center" vertical="center"/>
      <protection locked="0"/>
    </xf>
    <xf numFmtId="9" fontId="281" fillId="46" borderId="260" xfId="0" quotePrefix="1" applyNumberFormat="1" applyFont="1" applyFill="1" applyBorder="1" applyAlignment="1" applyProtection="1">
      <alignment horizontal="center" vertical="center"/>
      <protection locked="0"/>
    </xf>
    <xf numFmtId="9" fontId="282" fillId="46" borderId="149" xfId="0" quotePrefix="1" applyNumberFormat="1" applyFont="1" applyFill="1" applyBorder="1" applyAlignment="1" applyProtection="1">
      <alignment horizontal="center" vertical="center"/>
      <protection locked="0"/>
    </xf>
    <xf numFmtId="9" fontId="282" fillId="46" borderId="135" xfId="0" quotePrefix="1" applyNumberFormat="1" applyFont="1" applyFill="1" applyBorder="1" applyAlignment="1" applyProtection="1">
      <alignment horizontal="center" vertical="center"/>
      <protection locked="0"/>
    </xf>
    <xf numFmtId="9" fontId="190" fillId="59" borderId="313" xfId="0" quotePrefix="1" applyNumberFormat="1" applyFont="1" applyFill="1" applyBorder="1" applyAlignment="1" applyProtection="1">
      <alignment horizontal="center" vertical="center" wrapText="1"/>
      <protection hidden="1"/>
    </xf>
    <xf numFmtId="9" fontId="190" fillId="59" borderId="172" xfId="0" quotePrefix="1" applyNumberFormat="1" applyFont="1" applyFill="1" applyBorder="1" applyAlignment="1" applyProtection="1">
      <alignment horizontal="center" vertical="center"/>
      <protection hidden="1"/>
    </xf>
    <xf numFmtId="9" fontId="190" fillId="59" borderId="471" xfId="0" quotePrefix="1" applyNumberFormat="1" applyFont="1" applyFill="1" applyBorder="1" applyAlignment="1" applyProtection="1">
      <alignment horizontal="center" vertical="center"/>
      <protection hidden="1"/>
    </xf>
    <xf numFmtId="9" fontId="190" fillId="59" borderId="323" xfId="0" quotePrefix="1" applyNumberFormat="1" applyFont="1" applyFill="1" applyBorder="1" applyAlignment="1" applyProtection="1">
      <alignment horizontal="center" vertical="center"/>
      <protection hidden="1"/>
    </xf>
    <xf numFmtId="0" fontId="282" fillId="46" borderId="292" xfId="0" applyFont="1" applyFill="1" applyBorder="1" applyAlignment="1">
      <alignment horizontal="center" vertical="center"/>
    </xf>
    <xf numFmtId="0" fontId="341" fillId="0" borderId="447" xfId="0" applyFont="1" applyBorder="1" applyAlignment="1">
      <alignment horizontal="center" vertical="center"/>
    </xf>
    <xf numFmtId="0" fontId="248" fillId="59" borderId="71" xfId="0" applyFont="1" applyFill="1" applyBorder="1" applyAlignment="1" applyProtection="1">
      <alignment horizontal="center" vertical="center" wrapText="1"/>
      <protection hidden="1"/>
    </xf>
    <xf numFmtId="0" fontId="248" fillId="59" borderId="72" xfId="0" applyFont="1" applyFill="1" applyBorder="1" applyAlignment="1" applyProtection="1">
      <alignment horizontal="center" vertical="center"/>
      <protection hidden="1"/>
    </xf>
    <xf numFmtId="0" fontId="269" fillId="0" borderId="0" xfId="0" applyFont="1" applyFill="1" applyBorder="1" applyAlignment="1" applyProtection="1">
      <alignment horizontal="right" vertical="center"/>
      <protection locked="0"/>
    </xf>
    <xf numFmtId="180" fontId="361" fillId="46" borderId="136" xfId="0" applyNumberFormat="1" applyFont="1" applyFill="1" applyBorder="1" applyAlignment="1" applyProtection="1">
      <alignment horizontal="left" vertical="center" indent="1"/>
      <protection hidden="1"/>
    </xf>
    <xf numFmtId="0" fontId="4" fillId="0" borderId="135" xfId="0" applyFont="1" applyBorder="1" applyAlignment="1">
      <alignment horizontal="left" vertical="center" indent="1"/>
    </xf>
    <xf numFmtId="0" fontId="185" fillId="54" borderId="71" xfId="0" applyFont="1" applyFill="1" applyBorder="1" applyAlignment="1" applyProtection="1">
      <alignment vertical="center" wrapText="1"/>
      <protection hidden="1"/>
    </xf>
    <xf numFmtId="0" fontId="0" fillId="0" borderId="72" xfId="0" applyBorder="1" applyAlignment="1">
      <alignment vertical="center" wrapText="1"/>
    </xf>
    <xf numFmtId="9" fontId="190" fillId="54" borderId="396" xfId="0" applyNumberFormat="1" applyFont="1" applyFill="1" applyBorder="1" applyAlignment="1" applyProtection="1">
      <alignment horizontal="center" vertical="center"/>
      <protection locked="0"/>
    </xf>
    <xf numFmtId="9" fontId="190" fillId="54" borderId="382" xfId="0" applyNumberFormat="1" applyFont="1" applyFill="1" applyBorder="1" applyAlignment="1" applyProtection="1">
      <alignment horizontal="center" vertical="center"/>
      <protection locked="0"/>
    </xf>
    <xf numFmtId="0" fontId="274" fillId="0" borderId="71" xfId="0" applyFont="1" applyFill="1" applyBorder="1" applyAlignment="1" applyProtection="1">
      <alignment vertical="center" wrapText="1"/>
      <protection hidden="1"/>
    </xf>
    <xf numFmtId="0" fontId="3" fillId="0" borderId="72" xfId="0" applyFont="1" applyBorder="1" applyAlignment="1">
      <alignment vertical="center" wrapText="1"/>
    </xf>
    <xf numFmtId="0" fontId="189" fillId="46" borderId="232" xfId="0" applyFont="1" applyFill="1" applyBorder="1" applyAlignment="1">
      <alignment horizontal="center" vertical="center"/>
    </xf>
    <xf numFmtId="0" fontId="189" fillId="46" borderId="256" xfId="0" applyFont="1" applyFill="1" applyBorder="1" applyAlignment="1">
      <alignment horizontal="center" vertical="center"/>
    </xf>
    <xf numFmtId="0" fontId="190" fillId="54" borderId="313" xfId="0" applyFont="1" applyFill="1" applyBorder="1" applyAlignment="1">
      <alignment horizontal="center" vertical="center"/>
    </xf>
    <xf numFmtId="0" fontId="340" fillId="54" borderId="172" xfId="0" applyFont="1" applyFill="1" applyBorder="1" applyAlignment="1">
      <alignment horizontal="center" vertical="center"/>
    </xf>
    <xf numFmtId="0" fontId="189" fillId="46" borderId="171" xfId="0" applyFont="1" applyFill="1" applyBorder="1" applyAlignment="1">
      <alignment horizontal="center" vertical="center"/>
    </xf>
    <xf numFmtId="0" fontId="3" fillId="0" borderId="172" xfId="0" applyFont="1" applyBorder="1" applyAlignment="1">
      <alignment horizontal="center" vertical="center"/>
    </xf>
    <xf numFmtId="0" fontId="188" fillId="46" borderId="232" xfId="0" applyFont="1" applyFill="1" applyBorder="1" applyAlignment="1">
      <alignment horizontal="center" vertical="center"/>
    </xf>
    <xf numFmtId="0" fontId="188" fillId="46" borderId="256" xfId="0" applyFont="1" applyFill="1" applyBorder="1" applyAlignment="1">
      <alignment horizontal="center" vertical="center"/>
    </xf>
    <xf numFmtId="0" fontId="529" fillId="0" borderId="0" xfId="0" applyFont="1" applyBorder="1" applyAlignment="1" applyProtection="1">
      <alignment vertical="center"/>
      <protection hidden="1"/>
    </xf>
    <xf numFmtId="0" fontId="427" fillId="0" borderId="0" xfId="0" applyFont="1" applyBorder="1" applyAlignment="1" applyProtection="1">
      <alignment vertical="center"/>
      <protection hidden="1"/>
    </xf>
    <xf numFmtId="0" fontId="18" fillId="0" borderId="0" xfId="0" applyFont="1" applyBorder="1" applyAlignment="1" applyProtection="1">
      <alignment horizontal="left" vertical="center" indent="1"/>
      <protection hidden="1"/>
    </xf>
    <xf numFmtId="0" fontId="279" fillId="0" borderId="0" xfId="0" applyFont="1" applyBorder="1" applyAlignment="1">
      <alignment horizontal="left" vertical="center" indent="3"/>
    </xf>
    <xf numFmtId="0" fontId="487" fillId="0" borderId="0" xfId="0" applyFont="1" applyBorder="1" applyAlignment="1">
      <alignment horizontal="left" vertical="center" indent="3"/>
    </xf>
    <xf numFmtId="0" fontId="295" fillId="0" borderId="0" xfId="0" applyFont="1" applyBorder="1" applyAlignment="1">
      <alignment horizontal="left" vertical="center" indent="3"/>
    </xf>
    <xf numFmtId="3" fontId="488" fillId="0" borderId="0" xfId="0" applyNumberFormat="1" applyFont="1" applyBorder="1" applyAlignment="1" applyProtection="1">
      <alignment horizontal="left" vertical="center" wrapText="1" indent="1"/>
      <protection hidden="1"/>
    </xf>
    <xf numFmtId="3" fontId="60" fillId="0" borderId="0" xfId="0" applyNumberFormat="1" applyFont="1" applyBorder="1" applyAlignment="1" applyProtection="1">
      <alignment horizontal="left" vertical="center" indent="1"/>
      <protection hidden="1"/>
    </xf>
    <xf numFmtId="3" fontId="292" fillId="0" borderId="224" xfId="0" applyNumberFormat="1" applyFont="1" applyBorder="1" applyAlignment="1" applyProtection="1">
      <alignment horizontal="left" vertical="center" wrapText="1" indent="1"/>
      <protection hidden="1"/>
    </xf>
    <xf numFmtId="169" fontId="281" fillId="46" borderId="221" xfId="0" quotePrefix="1" applyNumberFormat="1" applyFont="1" applyFill="1" applyBorder="1" applyAlignment="1" applyProtection="1">
      <alignment horizontal="center" vertical="center"/>
      <protection locked="0"/>
    </xf>
    <xf numFmtId="169" fontId="281" fillId="46" borderId="245" xfId="0" quotePrefix="1" applyNumberFormat="1" applyFont="1" applyFill="1" applyBorder="1" applyAlignment="1" applyProtection="1">
      <alignment horizontal="center" vertical="center"/>
      <protection locked="0"/>
    </xf>
    <xf numFmtId="9" fontId="281" fillId="46" borderId="472" xfId="0" applyNumberFormat="1" applyFont="1" applyFill="1" applyBorder="1" applyAlignment="1" applyProtection="1">
      <alignment horizontal="center" vertical="center"/>
      <protection hidden="1"/>
    </xf>
    <xf numFmtId="0" fontId="4" fillId="0" borderId="370" xfId="0" applyFont="1" applyBorder="1" applyAlignment="1" applyProtection="1">
      <alignment horizontal="center" vertical="center"/>
      <protection hidden="1"/>
    </xf>
    <xf numFmtId="169" fontId="281" fillId="46" borderId="291" xfId="0" applyNumberFormat="1" applyFont="1" applyFill="1" applyBorder="1" applyAlignment="1" applyProtection="1">
      <alignment horizontal="center" vertical="center"/>
      <protection locked="0"/>
    </xf>
    <xf numFmtId="169" fontId="281" fillId="46" borderId="364" xfId="0" applyNumberFormat="1" applyFont="1" applyFill="1" applyBorder="1" applyAlignment="1" applyProtection="1">
      <alignment horizontal="center" vertical="center"/>
      <protection locked="0"/>
    </xf>
    <xf numFmtId="0" fontId="190" fillId="54" borderId="136" xfId="0" applyFont="1" applyFill="1" applyBorder="1" applyAlignment="1" applyProtection="1">
      <alignment vertical="center"/>
      <protection hidden="1"/>
    </xf>
    <xf numFmtId="0" fontId="0" fillId="0" borderId="217" xfId="0" applyBorder="1" applyAlignment="1" applyProtection="1">
      <protection hidden="1"/>
    </xf>
    <xf numFmtId="171" fontId="190" fillId="41" borderId="136" xfId="14" applyNumberFormat="1" applyFont="1" applyFill="1" applyBorder="1" applyAlignment="1" applyProtection="1">
      <alignment vertical="center"/>
      <protection hidden="1"/>
    </xf>
    <xf numFmtId="0" fontId="0" fillId="41" borderId="217" xfId="0" applyFill="1" applyBorder="1" applyAlignment="1">
      <alignment vertical="center"/>
    </xf>
    <xf numFmtId="0" fontId="279" fillId="0" borderId="180" xfId="0" applyFont="1" applyBorder="1" applyAlignment="1">
      <alignment vertical="center"/>
    </xf>
    <xf numFmtId="0" fontId="280" fillId="0" borderId="150" xfId="0" applyFont="1" applyBorder="1" applyAlignment="1">
      <alignment vertical="center"/>
    </xf>
    <xf numFmtId="0" fontId="280" fillId="0" borderId="224" xfId="0" applyFont="1" applyBorder="1" applyAlignment="1">
      <alignment vertical="center"/>
    </xf>
    <xf numFmtId="0" fontId="280" fillId="0" borderId="0" xfId="0" applyFont="1" applyBorder="1" applyAlignment="1">
      <alignment vertical="center"/>
    </xf>
    <xf numFmtId="0" fontId="190" fillId="54" borderId="238" xfId="0" applyFont="1" applyFill="1" applyBorder="1" applyAlignment="1" applyProtection="1">
      <alignment vertical="center"/>
      <protection hidden="1"/>
    </xf>
    <xf numFmtId="0" fontId="0" fillId="0" borderId="209" xfId="0" applyBorder="1" applyAlignment="1">
      <alignment vertical="center"/>
    </xf>
    <xf numFmtId="0" fontId="279" fillId="0" borderId="71" xfId="0" applyFont="1" applyBorder="1" applyAlignment="1">
      <alignment vertical="center"/>
    </xf>
    <xf numFmtId="0" fontId="280" fillId="0" borderId="203" xfId="0" applyFont="1" applyBorder="1" applyAlignment="1">
      <alignment vertical="center"/>
    </xf>
    <xf numFmtId="0" fontId="279" fillId="0" borderId="224" xfId="0" applyFont="1" applyBorder="1" applyAlignment="1">
      <alignment vertical="center"/>
    </xf>
    <xf numFmtId="0" fontId="370" fillId="0" borderId="0" xfId="0" applyFont="1" applyBorder="1" applyAlignment="1">
      <alignment horizontal="left" vertical="center"/>
    </xf>
    <xf numFmtId="169" fontId="281" fillId="46" borderId="232" xfId="0" quotePrefix="1" applyNumberFormat="1" applyFont="1" applyFill="1" applyBorder="1" applyAlignment="1" applyProtection="1">
      <alignment horizontal="center" vertical="center"/>
      <protection locked="0"/>
    </xf>
    <xf numFmtId="169" fontId="281" fillId="46" borderId="256" xfId="0" quotePrefix="1" applyNumberFormat="1" applyFont="1" applyFill="1" applyBorder="1" applyAlignment="1" applyProtection="1">
      <alignment horizontal="center" vertical="center"/>
      <protection locked="0"/>
    </xf>
    <xf numFmtId="229" fontId="190" fillId="54" borderId="246" xfId="0" quotePrefix="1" applyNumberFormat="1" applyFont="1" applyFill="1" applyBorder="1" applyAlignment="1">
      <alignment horizontal="center" vertical="center"/>
    </xf>
    <xf numFmtId="229" fontId="190" fillId="54" borderId="135" xfId="0" quotePrefix="1" applyNumberFormat="1" applyFont="1" applyFill="1" applyBorder="1" applyAlignment="1">
      <alignment horizontal="center" vertical="center"/>
    </xf>
    <xf numFmtId="227" fontId="190" fillId="41" borderId="246" xfId="14" quotePrefix="1" applyNumberFormat="1" applyFont="1" applyFill="1" applyBorder="1" applyAlignment="1" applyProtection="1">
      <alignment horizontal="center" vertical="center"/>
      <protection hidden="1"/>
    </xf>
    <xf numFmtId="227" fontId="190" fillId="41" borderId="135" xfId="14" quotePrefix="1" applyNumberFormat="1" applyFont="1" applyFill="1" applyBorder="1" applyAlignment="1" applyProtection="1">
      <alignment horizontal="center" vertical="center"/>
      <protection hidden="1"/>
    </xf>
    <xf numFmtId="0" fontId="525" fillId="0" borderId="0" xfId="0" applyFont="1" applyBorder="1" applyAlignment="1" applyProtection="1">
      <alignment horizontal="right" vertical="top"/>
      <protection locked="0"/>
    </xf>
    <xf numFmtId="0" fontId="525" fillId="0" borderId="160" xfId="0" applyFont="1" applyBorder="1" applyAlignment="1" applyProtection="1">
      <alignment horizontal="right" vertical="top"/>
      <protection locked="0"/>
    </xf>
    <xf numFmtId="169" fontId="281" fillId="46" borderId="231" xfId="0" quotePrefix="1" applyNumberFormat="1" applyFont="1" applyFill="1" applyBorder="1" applyAlignment="1" applyProtection="1">
      <alignment horizontal="center" vertical="center"/>
      <protection locked="0"/>
    </xf>
    <xf numFmtId="169" fontId="0" fillId="0" borderId="260" xfId="0" applyNumberFormat="1" applyBorder="1" applyAlignment="1" applyProtection="1">
      <alignment horizontal="center" vertical="center"/>
      <protection locked="0"/>
    </xf>
    <xf numFmtId="0" fontId="329" fillId="59" borderId="359" xfId="0" applyFont="1" applyFill="1" applyBorder="1" applyAlignment="1" applyProtection="1">
      <alignment vertical="center"/>
      <protection hidden="1"/>
    </xf>
    <xf numFmtId="0" fontId="406" fillId="59" borderId="359" xfId="0" applyFont="1" applyFill="1" applyBorder="1" applyAlignment="1" applyProtection="1">
      <alignment vertical="center"/>
      <protection hidden="1"/>
    </xf>
    <xf numFmtId="0" fontId="406" fillId="59" borderId="398" xfId="0" applyFont="1" applyFill="1" applyBorder="1" applyAlignment="1" applyProtection="1">
      <alignment vertical="center"/>
      <protection hidden="1"/>
    </xf>
    <xf numFmtId="0" fontId="329" fillId="59" borderId="220" xfId="0" applyFont="1" applyFill="1" applyBorder="1" applyAlignment="1" applyProtection="1">
      <alignment vertical="center"/>
      <protection hidden="1"/>
    </xf>
    <xf numFmtId="0" fontId="406" fillId="59" borderId="220" xfId="0" applyFont="1" applyFill="1" applyBorder="1" applyAlignment="1" applyProtection="1">
      <alignment vertical="center"/>
      <protection hidden="1"/>
    </xf>
    <xf numFmtId="0" fontId="406" fillId="59" borderId="477" xfId="0" applyFont="1" applyFill="1" applyBorder="1" applyAlignment="1" applyProtection="1">
      <alignment vertical="center"/>
      <protection hidden="1"/>
    </xf>
    <xf numFmtId="0" fontId="253" fillId="59" borderId="476" xfId="0" applyFont="1" applyFill="1" applyBorder="1" applyAlignment="1" applyProtection="1">
      <alignment vertical="center" wrapText="1"/>
      <protection hidden="1"/>
    </xf>
    <xf numFmtId="0" fontId="236" fillId="59" borderId="397" xfId="0" applyFont="1" applyFill="1" applyBorder="1" applyAlignment="1" applyProtection="1">
      <alignment vertical="center"/>
      <protection hidden="1"/>
    </xf>
    <xf numFmtId="0" fontId="292" fillId="0" borderId="167" xfId="0" quotePrefix="1" applyFont="1" applyBorder="1" applyAlignment="1" applyProtection="1">
      <alignment vertical="center"/>
      <protection hidden="1"/>
    </xf>
    <xf numFmtId="0" fontId="292" fillId="0" borderId="262" xfId="0" quotePrefix="1" applyFont="1" applyBorder="1" applyAlignment="1" applyProtection="1">
      <alignment vertical="center"/>
      <protection hidden="1"/>
    </xf>
    <xf numFmtId="0" fontId="526" fillId="0" borderId="0" xfId="0" applyFont="1" applyBorder="1" applyAlignment="1" applyProtection="1">
      <alignment horizontal="right" vertical="center"/>
      <protection hidden="1"/>
    </xf>
    <xf numFmtId="0" fontId="248" fillId="55" borderId="243" xfId="0" applyFont="1" applyFill="1" applyBorder="1" applyAlignment="1" applyProtection="1">
      <alignment horizontal="left" vertical="center" indent="1"/>
      <protection hidden="1"/>
    </xf>
    <xf numFmtId="0" fontId="0" fillId="0" borderId="218" xfId="0" applyBorder="1" applyAlignment="1">
      <alignment horizontal="left" vertical="center" indent="1"/>
    </xf>
    <xf numFmtId="0" fontId="404" fillId="59" borderId="218" xfId="0" applyFont="1" applyFill="1" applyBorder="1" applyAlignment="1" applyProtection="1">
      <alignment horizontal="center" vertical="center"/>
      <protection hidden="1"/>
    </xf>
    <xf numFmtId="0" fontId="404" fillId="59" borderId="244" xfId="0" applyFont="1" applyFill="1" applyBorder="1" applyAlignment="1" applyProtection="1">
      <alignment horizontal="center" vertical="center"/>
      <protection hidden="1"/>
    </xf>
    <xf numFmtId="0" fontId="253" fillId="59" borderId="136" xfId="0" applyFont="1" applyFill="1" applyBorder="1" applyAlignment="1" applyProtection="1">
      <alignment horizontal="center" vertical="center"/>
      <protection hidden="1"/>
    </xf>
    <xf numFmtId="0" fontId="253" fillId="59" borderId="137" xfId="0" applyFont="1" applyFill="1" applyBorder="1" applyAlignment="1" applyProtection="1">
      <alignment horizontal="center" vertical="center"/>
      <protection hidden="1"/>
    </xf>
    <xf numFmtId="9" fontId="281" fillId="46" borderId="274" xfId="0" applyNumberFormat="1" applyFont="1" applyFill="1" applyBorder="1" applyAlignment="1">
      <alignment horizontal="center" vertical="center"/>
    </xf>
    <xf numFmtId="0" fontId="4" fillId="0" borderId="368" xfId="0" applyFont="1" applyBorder="1" applyAlignment="1">
      <alignment horizontal="center" vertical="center"/>
    </xf>
    <xf numFmtId="9" fontId="281" fillId="46" borderId="322" xfId="0" applyNumberFormat="1" applyFont="1" applyFill="1" applyBorder="1" applyAlignment="1">
      <alignment horizontal="center" vertical="center"/>
    </xf>
    <xf numFmtId="0" fontId="4" fillId="0" borderId="323" xfId="0" applyFont="1" applyBorder="1" applyAlignment="1">
      <alignment horizontal="center" vertical="center"/>
    </xf>
    <xf numFmtId="0" fontId="0" fillId="0" borderId="217" xfId="0" applyBorder="1" applyAlignment="1">
      <alignment vertical="center"/>
    </xf>
    <xf numFmtId="0" fontId="370" fillId="0" borderId="160" xfId="0" applyFont="1" applyBorder="1" applyAlignment="1">
      <alignment horizontal="left" vertical="center"/>
    </xf>
    <xf numFmtId="9" fontId="281" fillId="46" borderId="219" xfId="0" applyNumberFormat="1" applyFont="1" applyFill="1" applyBorder="1" applyAlignment="1" applyProtection="1">
      <alignment horizontal="center" vertical="center"/>
      <protection hidden="1"/>
    </xf>
    <xf numFmtId="0" fontId="4" fillId="46" borderId="181" xfId="0" applyFont="1" applyFill="1" applyBorder="1" applyAlignment="1" applyProtection="1">
      <alignment horizontal="center" vertical="center"/>
      <protection hidden="1"/>
    </xf>
    <xf numFmtId="9" fontId="282" fillId="46" borderId="472" xfId="0" applyNumberFormat="1" applyFont="1" applyFill="1" applyBorder="1" applyAlignment="1">
      <alignment horizontal="center" vertical="center"/>
    </xf>
    <xf numFmtId="0" fontId="0" fillId="46" borderId="370" xfId="0" applyFill="1" applyBorder="1" applyAlignment="1">
      <alignment horizontal="center" vertical="center"/>
    </xf>
    <xf numFmtId="226" fontId="190" fillId="54" borderId="246" xfId="0" applyNumberFormat="1" applyFont="1" applyFill="1" applyBorder="1" applyAlignment="1" applyProtection="1">
      <alignment horizontal="center" vertical="center"/>
      <protection hidden="1"/>
    </xf>
    <xf numFmtId="226" fontId="190" fillId="54" borderId="135" xfId="0" applyNumberFormat="1" applyFont="1" applyFill="1" applyBorder="1" applyAlignment="1" applyProtection="1">
      <alignment horizontal="center" vertical="center"/>
      <protection hidden="1"/>
    </xf>
    <xf numFmtId="227" fontId="190" fillId="54" borderId="246" xfId="0" applyNumberFormat="1" applyFont="1" applyFill="1" applyBorder="1" applyAlignment="1" applyProtection="1">
      <alignment horizontal="center" vertical="center"/>
      <protection hidden="1"/>
    </xf>
    <xf numFmtId="227" fontId="190" fillId="54" borderId="135" xfId="0" applyNumberFormat="1" applyFont="1" applyFill="1" applyBorder="1" applyAlignment="1" applyProtection="1">
      <alignment horizontal="center" vertical="center"/>
      <protection hidden="1"/>
    </xf>
    <xf numFmtId="228" fontId="190" fillId="54" borderId="475" xfId="0" quotePrefix="1" applyNumberFormat="1" applyFont="1" applyFill="1" applyBorder="1" applyAlignment="1" applyProtection="1">
      <alignment horizontal="center" vertical="center"/>
      <protection hidden="1"/>
    </xf>
    <xf numFmtId="228" fontId="190" fillId="54" borderId="474" xfId="0" quotePrefix="1" applyNumberFormat="1" applyFont="1" applyFill="1" applyBorder="1" applyAlignment="1" applyProtection="1">
      <alignment horizontal="center" vertical="center"/>
      <protection hidden="1"/>
    </xf>
    <xf numFmtId="0" fontId="528" fillId="0" borderId="0" xfId="0" applyFont="1" applyFill="1" applyBorder="1" applyAlignment="1" applyProtection="1">
      <alignment horizontal="right" vertical="center"/>
      <protection hidden="1"/>
    </xf>
    <xf numFmtId="0" fontId="149" fillId="0" borderId="135" xfId="0" applyFont="1" applyBorder="1" applyAlignment="1">
      <alignment horizontal="left" indent="1"/>
    </xf>
    <xf numFmtId="0" fontId="190" fillId="59" borderId="246" xfId="0" applyFont="1" applyFill="1" applyBorder="1" applyAlignment="1" applyProtection="1">
      <alignment horizontal="center" vertical="center"/>
      <protection hidden="1"/>
    </xf>
    <xf numFmtId="0" fontId="190" fillId="59" borderId="135" xfId="0" applyFont="1" applyFill="1" applyBorder="1" applyAlignment="1" applyProtection="1">
      <alignment horizontal="center" vertical="center"/>
      <protection hidden="1"/>
    </xf>
    <xf numFmtId="0" fontId="361" fillId="0" borderId="224" xfId="0" applyFont="1" applyBorder="1" applyAlignment="1" applyProtection="1">
      <alignment horizontal="right" vertical="center"/>
      <protection locked="0"/>
    </xf>
    <xf numFmtId="0" fontId="361" fillId="0" borderId="0" xfId="0" applyFont="1" applyBorder="1" applyAlignment="1" applyProtection="1">
      <alignment horizontal="right" vertical="center"/>
      <protection locked="0"/>
    </xf>
    <xf numFmtId="0" fontId="361" fillId="0" borderId="293" xfId="0" applyFont="1" applyBorder="1" applyAlignment="1" applyProtection="1">
      <alignment horizontal="right" vertical="center"/>
      <protection locked="0"/>
    </xf>
    <xf numFmtId="9" fontId="282" fillId="46" borderId="149" xfId="0" applyNumberFormat="1" applyFont="1" applyFill="1" applyBorder="1" applyAlignment="1">
      <alignment horizontal="center" vertical="center"/>
    </xf>
    <xf numFmtId="0" fontId="0" fillId="46" borderId="135" xfId="0" applyFill="1" applyBorder="1" applyAlignment="1">
      <alignment horizontal="center" vertical="center"/>
    </xf>
    <xf numFmtId="0" fontId="525" fillId="0" borderId="160" xfId="0" applyFont="1" applyBorder="1" applyAlignment="1" applyProtection="1">
      <alignment horizontal="right"/>
      <protection locked="0"/>
    </xf>
    <xf numFmtId="0" fontId="430" fillId="0" borderId="0" xfId="0" applyFont="1" applyFill="1" applyBorder="1" applyAlignment="1" applyProtection="1">
      <alignment horizontal="center" vertical="center"/>
      <protection hidden="1"/>
    </xf>
    <xf numFmtId="1" fontId="20" fillId="27" borderId="210" xfId="0" applyNumberFormat="1" applyFont="1" applyFill="1" applyBorder="1" applyAlignment="1" applyProtection="1">
      <alignment horizontal="center" vertical="center"/>
      <protection hidden="1"/>
    </xf>
    <xf numFmtId="1" fontId="20" fillId="27" borderId="507" xfId="0" applyNumberFormat="1" applyFont="1" applyFill="1" applyBorder="1" applyAlignment="1" applyProtection="1">
      <alignment horizontal="center" vertical="center"/>
      <protection hidden="1"/>
    </xf>
    <xf numFmtId="0" fontId="185" fillId="59" borderId="135" xfId="0" applyFont="1" applyFill="1" applyBorder="1" applyAlignment="1" applyProtection="1">
      <alignment horizontal="center" vertical="center"/>
      <protection locked="0"/>
    </xf>
    <xf numFmtId="0" fontId="279" fillId="46" borderId="238" xfId="0" applyFont="1" applyFill="1" applyBorder="1" applyAlignment="1" applyProtection="1">
      <alignment horizontal="left" vertical="center" indent="1"/>
      <protection locked="0"/>
    </xf>
    <xf numFmtId="0" fontId="279" fillId="46" borderId="447" xfId="0" applyFont="1" applyFill="1" applyBorder="1" applyAlignment="1">
      <alignment horizontal="left" vertical="center" indent="1"/>
    </xf>
    <xf numFmtId="0" fontId="279" fillId="46" borderId="185" xfId="0" applyFont="1" applyFill="1" applyBorder="1" applyAlignment="1" applyProtection="1">
      <alignment horizontal="left" vertical="center" indent="1"/>
      <protection locked="0"/>
    </xf>
    <xf numFmtId="0" fontId="279" fillId="0" borderId="399" xfId="0" applyFont="1" applyBorder="1" applyAlignment="1">
      <alignment horizontal="left" vertical="center" indent="1"/>
    </xf>
    <xf numFmtId="0" fontId="279" fillId="0" borderId="293" xfId="0" applyFont="1" applyBorder="1" applyAlignment="1">
      <alignment horizontal="left" vertical="center" indent="1"/>
    </xf>
    <xf numFmtId="0" fontId="279" fillId="0" borderId="365" xfId="0" applyFont="1" applyFill="1" applyBorder="1" applyAlignment="1" applyProtection="1">
      <alignment horizontal="left" vertical="center" indent="1"/>
      <protection locked="0"/>
    </xf>
    <xf numFmtId="0" fontId="279" fillId="0" borderId="364" xfId="0" applyFont="1" applyBorder="1" applyAlignment="1">
      <alignment horizontal="left" vertical="center" indent="1"/>
    </xf>
    <xf numFmtId="0" fontId="274" fillId="0" borderId="0" xfId="0" applyFont="1" applyFill="1" applyBorder="1" applyAlignment="1" applyProtection="1">
      <alignment horizontal="left" vertical="center"/>
      <protection locked="0"/>
    </xf>
    <xf numFmtId="0" fontId="292" fillId="0" borderId="71" xfId="0" applyFont="1" applyBorder="1" applyAlignment="1" applyProtection="1">
      <alignment horizontal="left" vertical="center" indent="1"/>
      <protection locked="0"/>
    </xf>
    <xf numFmtId="0" fontId="292" fillId="0" borderId="172" xfId="0" applyFont="1" applyBorder="1" applyAlignment="1" applyProtection="1">
      <alignment horizontal="left" vertical="center" indent="1"/>
      <protection locked="0"/>
    </xf>
    <xf numFmtId="0" fontId="292" fillId="0" borderId="238" xfId="0" applyFont="1" applyBorder="1" applyAlignment="1" applyProtection="1">
      <alignment horizontal="left" vertical="center" indent="1"/>
      <protection locked="0"/>
    </xf>
    <xf numFmtId="0" fontId="292" fillId="0" borderId="447" xfId="0" applyFont="1" applyBorder="1" applyAlignment="1" applyProtection="1">
      <alignment horizontal="left" vertical="center" indent="1"/>
      <protection locked="0"/>
    </xf>
    <xf numFmtId="0" fontId="73" fillId="35" borderId="238" xfId="0" applyFont="1" applyFill="1" applyBorder="1" applyAlignment="1" applyProtection="1">
      <alignment horizontal="left" vertical="center" indent="1"/>
      <protection hidden="1"/>
    </xf>
    <xf numFmtId="0" fontId="16" fillId="0" borderId="447" xfId="0" applyFont="1" applyBorder="1" applyAlignment="1" applyProtection="1">
      <alignment horizontal="left" vertical="center" indent="1"/>
      <protection hidden="1"/>
    </xf>
    <xf numFmtId="0" fontId="23" fillId="0" borderId="258" xfId="0" applyFont="1" applyBorder="1" applyAlignment="1" applyProtection="1">
      <alignment horizontal="left" vertical="center" indent="1"/>
      <protection hidden="1"/>
    </xf>
    <xf numFmtId="0" fontId="0" fillId="0" borderId="260" xfId="0" applyBorder="1" applyAlignment="1" applyProtection="1">
      <alignment horizontal="left" vertical="center" indent="1"/>
      <protection hidden="1"/>
    </xf>
    <xf numFmtId="0" fontId="62" fillId="26" borderId="502" xfId="0" applyFont="1" applyFill="1" applyBorder="1" applyAlignment="1" applyProtection="1">
      <alignment horizontal="left" vertical="center" indent="1"/>
      <protection hidden="1"/>
    </xf>
    <xf numFmtId="0" fontId="149" fillId="0" borderId="503" xfId="0" applyFont="1" applyBorder="1" applyAlignment="1">
      <alignment horizontal="left" vertical="center" indent="1"/>
    </xf>
    <xf numFmtId="0" fontId="185" fillId="59" borderId="243" xfId="0" applyFont="1" applyFill="1" applyBorder="1" applyAlignment="1" applyProtection="1">
      <alignment horizontal="left" vertical="center" indent="1"/>
      <protection hidden="1"/>
    </xf>
    <xf numFmtId="0" fontId="182" fillId="59" borderId="244" xfId="0" applyFont="1" applyFill="1" applyBorder="1" applyAlignment="1">
      <alignment horizontal="left" vertical="center" indent="1"/>
    </xf>
    <xf numFmtId="0" fontId="25" fillId="46" borderId="72" xfId="0" applyFont="1" applyFill="1" applyBorder="1" applyAlignment="1" applyProtection="1">
      <alignment horizontal="left" vertical="center" indent="1"/>
      <protection hidden="1"/>
    </xf>
    <xf numFmtId="0" fontId="4" fillId="46" borderId="323" xfId="0" applyFont="1" applyFill="1" applyBorder="1" applyAlignment="1">
      <alignment horizontal="left" vertical="center" indent="1"/>
    </xf>
    <xf numFmtId="0" fontId="292" fillId="46" borderId="238" xfId="0" applyFont="1" applyFill="1" applyBorder="1" applyAlignment="1" applyProtection="1">
      <alignment horizontal="left" vertical="center" indent="1"/>
      <protection hidden="1"/>
    </xf>
    <xf numFmtId="0" fontId="353" fillId="46" borderId="447" xfId="0" applyFont="1" applyFill="1" applyBorder="1" applyAlignment="1" applyProtection="1">
      <alignment horizontal="left" vertical="center" indent="1"/>
      <protection hidden="1"/>
    </xf>
    <xf numFmtId="0" fontId="25" fillId="37" borderId="167" xfId="0" applyFont="1" applyFill="1" applyBorder="1" applyAlignment="1" applyProtection="1">
      <alignment horizontal="left" vertical="center" indent="1"/>
      <protection hidden="1"/>
    </xf>
    <xf numFmtId="0" fontId="105" fillId="37" borderId="245" xfId="0" applyFont="1" applyFill="1" applyBorder="1" applyAlignment="1" applyProtection="1">
      <alignment horizontal="left" vertical="center" indent="1"/>
      <protection hidden="1"/>
    </xf>
    <xf numFmtId="1" fontId="20" fillId="59" borderId="543" xfId="0" applyNumberFormat="1" applyFont="1" applyFill="1" applyBorder="1" applyAlignment="1" applyProtection="1">
      <alignment horizontal="center"/>
      <protection hidden="1"/>
    </xf>
    <xf numFmtId="1" fontId="20" fillId="59" borderId="499" xfId="0" applyNumberFormat="1" applyFont="1" applyFill="1" applyBorder="1" applyAlignment="1" applyProtection="1">
      <alignment horizontal="center"/>
      <protection hidden="1"/>
    </xf>
    <xf numFmtId="174" fontId="104" fillId="59" borderId="224" xfId="0" applyNumberFormat="1" applyFont="1" applyFill="1" applyBorder="1" applyAlignment="1" applyProtection="1">
      <alignment horizontal="center" vertical="top"/>
      <protection locked="0"/>
    </xf>
    <xf numFmtId="174" fontId="104" fillId="59" borderId="293" xfId="0" applyNumberFormat="1" applyFont="1" applyFill="1" applyBorder="1" applyAlignment="1" applyProtection="1">
      <alignment horizontal="center" vertical="top"/>
      <protection locked="0"/>
    </xf>
    <xf numFmtId="0" fontId="25" fillId="24" borderId="167" xfId="0" applyFont="1" applyFill="1" applyBorder="1" applyAlignment="1" applyProtection="1">
      <alignment horizontal="left" vertical="center" indent="1"/>
      <protection hidden="1"/>
    </xf>
    <xf numFmtId="0" fontId="0" fillId="0" borderId="245" xfId="0" applyBorder="1" applyAlignment="1">
      <alignment horizontal="left" vertical="center" indent="1"/>
    </xf>
    <xf numFmtId="0" fontId="53" fillId="0" borderId="0" xfId="0" applyFont="1" applyBorder="1" applyAlignment="1" applyProtection="1">
      <alignment horizontal="center"/>
      <protection locked="0"/>
    </xf>
    <xf numFmtId="0" fontId="16" fillId="0" borderId="0" xfId="0" applyFont="1" applyBorder="1" applyAlignment="1" applyProtection="1">
      <protection locked="0"/>
    </xf>
    <xf numFmtId="0" fontId="185" fillId="59" borderId="397" xfId="0" applyFont="1" applyFill="1" applyBorder="1" applyAlignment="1" applyProtection="1">
      <alignment horizontal="left" vertical="center" indent="1"/>
      <protection hidden="1"/>
    </xf>
    <xf numFmtId="0" fontId="182" fillId="59" borderId="398" xfId="0" applyFont="1" applyFill="1" applyBorder="1" applyAlignment="1">
      <alignment horizontal="left" vertical="center" indent="1"/>
    </xf>
    <xf numFmtId="0" fontId="185" fillId="59" borderId="476" xfId="0" applyFont="1" applyFill="1" applyBorder="1" applyAlignment="1" applyProtection="1">
      <alignment horizontal="left" vertical="center" indent="1"/>
      <protection hidden="1"/>
    </xf>
    <xf numFmtId="0" fontId="182" fillId="59" borderId="477" xfId="0" applyFont="1" applyFill="1" applyBorder="1" applyAlignment="1">
      <alignment horizontal="left" vertical="center" indent="1"/>
    </xf>
    <xf numFmtId="0" fontId="147" fillId="59" borderId="137" xfId="0" applyFont="1" applyFill="1" applyBorder="1" applyAlignment="1">
      <alignment horizontal="center" vertical="center"/>
    </xf>
    <xf numFmtId="0" fontId="147" fillId="59" borderId="135" xfId="0" applyFont="1" applyFill="1" applyBorder="1" applyAlignment="1">
      <alignment horizontal="center" vertical="center"/>
    </xf>
    <xf numFmtId="0" fontId="279" fillId="0" borderId="0" xfId="0" applyFont="1" applyFill="1" applyBorder="1" applyAlignment="1" applyProtection="1">
      <alignment horizontal="right" vertical="center" indent="1"/>
      <protection locked="0"/>
    </xf>
    <xf numFmtId="0" fontId="279" fillId="0" borderId="0" xfId="0" applyFont="1" applyBorder="1" applyAlignment="1">
      <alignment horizontal="right" indent="1"/>
    </xf>
    <xf numFmtId="166" fontId="304" fillId="0" borderId="0" xfId="0" applyNumberFormat="1" applyFont="1" applyBorder="1" applyAlignment="1" applyProtection="1">
      <alignment horizontal="center" vertical="center"/>
      <protection hidden="1"/>
    </xf>
    <xf numFmtId="0" fontId="190" fillId="59" borderId="243" xfId="0" applyFont="1" applyFill="1" applyBorder="1" applyAlignment="1" applyProtection="1">
      <alignment horizontal="left" vertical="center" indent="1"/>
      <protection hidden="1"/>
    </xf>
    <xf numFmtId="0" fontId="191" fillId="59" borderId="244" xfId="0" applyFont="1" applyFill="1" applyBorder="1" applyAlignment="1">
      <alignment horizontal="left" vertical="center" indent="1"/>
    </xf>
    <xf numFmtId="0" fontId="389" fillId="0" borderId="0" xfId="0" applyFont="1" applyFill="1" applyBorder="1" applyAlignment="1" applyProtection="1">
      <alignment horizontal="center" vertical="center"/>
      <protection hidden="1"/>
    </xf>
    <xf numFmtId="0" fontId="204" fillId="0" borderId="0" xfId="0" applyFont="1" applyFill="1" applyBorder="1" applyAlignment="1">
      <alignment horizontal="center" vertical="center"/>
    </xf>
    <xf numFmtId="0" fontId="34" fillId="59" borderId="71" xfId="0" applyFont="1" applyFill="1" applyBorder="1" applyAlignment="1" applyProtection="1">
      <alignment horizontal="center" vertical="center"/>
      <protection hidden="1"/>
    </xf>
    <xf numFmtId="0" fontId="34" fillId="59" borderId="224" xfId="0" applyFont="1" applyFill="1" applyBorder="1" applyAlignment="1" applyProtection="1">
      <alignment horizontal="center" vertical="center"/>
      <protection hidden="1"/>
    </xf>
    <xf numFmtId="0" fontId="34" fillId="59" borderId="72" xfId="0" applyFont="1" applyFill="1" applyBorder="1" applyAlignment="1" applyProtection="1">
      <alignment horizontal="center" vertical="center"/>
      <protection hidden="1"/>
    </xf>
    <xf numFmtId="168" fontId="16" fillId="46" borderId="166" xfId="0" applyNumberFormat="1" applyFont="1" applyFill="1" applyBorder="1" applyAlignment="1" applyProtection="1">
      <alignment vertical="center"/>
      <protection hidden="1"/>
    </xf>
    <xf numFmtId="0" fontId="0" fillId="46" borderId="413" xfId="0" applyFill="1" applyBorder="1" applyAlignment="1">
      <alignment vertical="center"/>
    </xf>
    <xf numFmtId="0" fontId="0" fillId="46" borderId="445" xfId="0" applyFill="1" applyBorder="1" applyAlignment="1">
      <alignment vertical="center"/>
    </xf>
    <xf numFmtId="166" fontId="16" fillId="46" borderId="71" xfId="0" applyNumberFormat="1" applyFont="1" applyFill="1" applyBorder="1" applyAlignment="1" applyProtection="1">
      <alignment horizontal="right"/>
      <protection hidden="1"/>
    </xf>
    <xf numFmtId="0" fontId="0" fillId="46" borderId="172" xfId="0" applyFill="1" applyBorder="1" applyAlignment="1" applyProtection="1">
      <alignment horizontal="right"/>
      <protection hidden="1"/>
    </xf>
    <xf numFmtId="166" fontId="16" fillId="46" borderId="224" xfId="0" applyNumberFormat="1" applyFont="1" applyFill="1" applyBorder="1" applyAlignment="1" applyProtection="1">
      <alignment horizontal="right"/>
      <protection hidden="1"/>
    </xf>
    <xf numFmtId="0" fontId="0" fillId="46" borderId="293" xfId="0" applyFill="1" applyBorder="1" applyAlignment="1" applyProtection="1">
      <alignment horizontal="right"/>
      <protection hidden="1"/>
    </xf>
    <xf numFmtId="0" fontId="0" fillId="46" borderId="224" xfId="0" applyFill="1" applyBorder="1" applyAlignment="1" applyProtection="1">
      <alignment horizontal="right"/>
      <protection hidden="1"/>
    </xf>
    <xf numFmtId="0" fontId="0" fillId="46" borderId="72" xfId="0" applyFill="1" applyBorder="1" applyAlignment="1" applyProtection="1">
      <alignment horizontal="right"/>
      <protection hidden="1"/>
    </xf>
    <xf numFmtId="0" fontId="0" fillId="46" borderId="323" xfId="0" applyFill="1" applyBorder="1" applyAlignment="1" applyProtection="1">
      <alignment horizontal="right"/>
      <protection hidden="1"/>
    </xf>
    <xf numFmtId="174" fontId="104" fillId="59" borderId="224" xfId="0" applyNumberFormat="1" applyFont="1" applyFill="1" applyBorder="1" applyAlignment="1" applyProtection="1">
      <alignment horizontal="center" vertical="top"/>
      <protection hidden="1"/>
    </xf>
    <xf numFmtId="174" fontId="104" fillId="59" borderId="293" xfId="0" applyNumberFormat="1" applyFont="1" applyFill="1" applyBorder="1" applyAlignment="1" applyProtection="1">
      <alignment horizontal="center" vertical="top"/>
      <protection hidden="1"/>
    </xf>
    <xf numFmtId="0" fontId="432" fillId="0" borderId="0" xfId="0" applyFont="1" applyBorder="1" applyAlignment="1" applyProtection="1">
      <alignment horizontal="left" vertical="center" wrapText="1"/>
      <protection hidden="1"/>
    </xf>
    <xf numFmtId="0" fontId="211" fillId="0" borderId="0" xfId="0" applyFont="1" applyBorder="1" applyAlignment="1" applyProtection="1">
      <alignment horizontal="left" vertical="center" wrapText="1"/>
      <protection hidden="1"/>
    </xf>
    <xf numFmtId="0" fontId="211" fillId="0" borderId="0" xfId="0" applyFont="1" applyFill="1" applyBorder="1" applyAlignment="1" applyProtection="1">
      <alignment horizontal="left" vertical="center" wrapText="1"/>
      <protection hidden="1"/>
    </xf>
    <xf numFmtId="0" fontId="283" fillId="40" borderId="136" xfId="0" applyFont="1" applyFill="1" applyBorder="1" applyAlignment="1" applyProtection="1">
      <alignment horizontal="left" vertical="center" indent="1"/>
      <protection hidden="1"/>
    </xf>
    <xf numFmtId="0" fontId="279" fillId="40" borderId="135" xfId="0" applyFont="1" applyFill="1" applyBorder="1" applyAlignment="1" applyProtection="1">
      <alignment horizontal="left" vertical="center" indent="1"/>
      <protection hidden="1"/>
    </xf>
    <xf numFmtId="0" fontId="211" fillId="0" borderId="0" xfId="0" applyFont="1" applyBorder="1" applyAlignment="1" applyProtection="1">
      <alignment horizontal="right" vertical="center"/>
      <protection hidden="1"/>
    </xf>
    <xf numFmtId="0" fontId="25" fillId="0" borderId="0" xfId="0" applyFont="1" applyFill="1" applyBorder="1" applyAlignment="1" applyProtection="1">
      <alignment horizontal="right" vertical="center" indent="1"/>
      <protection hidden="1"/>
    </xf>
    <xf numFmtId="0" fontId="16" fillId="0" borderId="0" xfId="0" applyFont="1" applyBorder="1" applyAlignment="1" applyProtection="1">
      <alignment horizontal="right" vertical="center" indent="1"/>
      <protection hidden="1"/>
    </xf>
    <xf numFmtId="0" fontId="16" fillId="0" borderId="24" xfId="0" applyFont="1" applyBorder="1" applyAlignment="1" applyProtection="1">
      <alignment horizontal="right" vertical="center" indent="1"/>
      <protection hidden="1"/>
    </xf>
    <xf numFmtId="0" fontId="185" fillId="59" borderId="218" xfId="0" applyFont="1" applyFill="1" applyBorder="1" applyAlignment="1">
      <alignment horizontal="left" vertical="center" indent="1"/>
    </xf>
    <xf numFmtId="0" fontId="185" fillId="59" borderId="244" xfId="0" applyFont="1" applyFill="1" applyBorder="1" applyAlignment="1">
      <alignment horizontal="left" vertical="center" indent="1"/>
    </xf>
    <xf numFmtId="166" fontId="20" fillId="54" borderId="357" xfId="0" applyNumberFormat="1" applyFont="1" applyFill="1" applyBorder="1" applyAlignment="1" applyProtection="1">
      <alignment horizontal="left" vertical="center" indent="1"/>
      <protection hidden="1"/>
    </xf>
    <xf numFmtId="0" fontId="0" fillId="54" borderId="227" xfId="0" applyFill="1" applyBorder="1" applyAlignment="1">
      <alignment horizontal="left" vertical="center" indent="1"/>
    </xf>
    <xf numFmtId="0" fontId="0" fillId="54" borderId="382" xfId="0" applyFill="1" applyBorder="1" applyAlignment="1">
      <alignment horizontal="left" vertical="center" indent="1"/>
    </xf>
    <xf numFmtId="0" fontId="371" fillId="49" borderId="461" xfId="0" applyFont="1" applyFill="1" applyBorder="1" applyAlignment="1" applyProtection="1">
      <alignment horizontal="center" vertical="center"/>
      <protection hidden="1"/>
    </xf>
    <xf numFmtId="0" fontId="371" fillId="49" borderId="318" xfId="0" applyFont="1" applyFill="1" applyBorder="1" applyAlignment="1" applyProtection="1">
      <alignment horizontal="center" vertical="center"/>
      <protection hidden="1"/>
    </xf>
    <xf numFmtId="0" fontId="62" fillId="25" borderId="136" xfId="0" applyFont="1" applyFill="1" applyBorder="1" applyAlignment="1" applyProtection="1">
      <alignment horizontal="left" vertical="center" indent="1"/>
      <protection locked="0"/>
    </xf>
    <xf numFmtId="0" fontId="149" fillId="0" borderId="137" xfId="0" applyFont="1" applyBorder="1" applyAlignment="1">
      <alignment horizontal="left" vertical="center" indent="1"/>
    </xf>
    <xf numFmtId="0" fontId="149" fillId="0" borderId="135" xfId="0" applyFont="1" applyBorder="1" applyAlignment="1">
      <alignment horizontal="left" vertical="center" indent="1"/>
    </xf>
    <xf numFmtId="0" fontId="283" fillId="46" borderId="258" xfId="0" quotePrefix="1" applyFont="1" applyFill="1" applyBorder="1" applyAlignment="1" applyProtection="1">
      <alignment horizontal="left" vertical="center" indent="1"/>
      <protection locked="0"/>
    </xf>
    <xf numFmtId="0" fontId="279" fillId="46" borderId="206" xfId="0" applyFont="1" applyFill="1" applyBorder="1" applyAlignment="1">
      <alignment horizontal="left" vertical="center" indent="1"/>
    </xf>
    <xf numFmtId="0" fontId="279" fillId="46" borderId="260" xfId="0" applyFont="1" applyFill="1" applyBorder="1" applyAlignment="1">
      <alignment horizontal="left" vertical="center" indent="1"/>
    </xf>
    <xf numFmtId="0" fontId="290" fillId="46" borderId="532" xfId="0" applyFont="1" applyFill="1" applyBorder="1" applyAlignment="1" applyProtection="1">
      <alignment horizontal="center" vertical="center"/>
      <protection hidden="1"/>
    </xf>
    <xf numFmtId="0" fontId="290" fillId="46" borderId="436" xfId="0" applyFont="1" applyFill="1" applyBorder="1" applyAlignment="1" applyProtection="1">
      <alignment horizontal="center" vertical="center"/>
      <protection hidden="1"/>
    </xf>
    <xf numFmtId="0" fontId="290" fillId="46" borderId="534" xfId="0" applyFont="1" applyFill="1" applyBorder="1" applyAlignment="1" applyProtection="1">
      <alignment horizontal="center" vertical="center"/>
      <protection hidden="1"/>
    </xf>
    <xf numFmtId="0" fontId="290" fillId="46" borderId="435" xfId="0" applyFont="1" applyFill="1" applyBorder="1" applyAlignment="1" applyProtection="1">
      <alignment horizontal="center" vertical="center"/>
      <protection hidden="1"/>
    </xf>
    <xf numFmtId="0" fontId="283" fillId="46" borderId="167" xfId="0" applyFont="1" applyFill="1" applyBorder="1" applyAlignment="1" applyProtection="1">
      <alignment horizontal="left" vertical="center" indent="1"/>
      <protection locked="0"/>
    </xf>
    <xf numFmtId="0" fontId="279" fillId="46" borderId="161" xfId="0" applyFont="1" applyFill="1" applyBorder="1" applyAlignment="1">
      <alignment horizontal="left" vertical="center" indent="1"/>
    </xf>
    <xf numFmtId="0" fontId="279" fillId="46" borderId="245" xfId="0" applyFont="1" applyFill="1" applyBorder="1" applyAlignment="1">
      <alignment horizontal="left" vertical="center" indent="1"/>
    </xf>
    <xf numFmtId="0" fontId="283" fillId="39" borderId="365" xfId="0" applyFont="1" applyFill="1" applyBorder="1" applyAlignment="1" applyProtection="1">
      <alignment horizontal="left" vertical="center" indent="1"/>
      <protection hidden="1"/>
    </xf>
    <xf numFmtId="0" fontId="279" fillId="0" borderId="146" xfId="0" applyFont="1" applyBorder="1" applyAlignment="1">
      <alignment horizontal="left" vertical="center" indent="1"/>
    </xf>
    <xf numFmtId="0" fontId="279" fillId="0" borderId="298" xfId="0" applyFont="1" applyBorder="1" applyAlignment="1">
      <alignment horizontal="left" vertical="center" indent="1"/>
    </xf>
    <xf numFmtId="0" fontId="279" fillId="0" borderId="204" xfId="0" applyFont="1" applyBorder="1" applyAlignment="1">
      <alignment horizontal="left" vertical="center" indent="1"/>
    </xf>
    <xf numFmtId="0" fontId="279" fillId="0" borderId="318" xfId="0" applyFont="1" applyBorder="1" applyAlignment="1">
      <alignment horizontal="left" vertical="center" indent="1"/>
    </xf>
    <xf numFmtId="0" fontId="274" fillId="46" borderId="509" xfId="0" applyFont="1" applyFill="1" applyBorder="1" applyAlignment="1" applyProtection="1">
      <alignment horizontal="left" vertical="center" indent="1"/>
      <protection hidden="1"/>
    </xf>
    <xf numFmtId="0" fontId="274" fillId="46" borderId="510" xfId="0" applyFont="1" applyFill="1" applyBorder="1" applyAlignment="1">
      <alignment horizontal="left" vertical="center" indent="1"/>
    </xf>
    <xf numFmtId="0" fontId="274" fillId="46" borderId="511" xfId="0" applyFont="1" applyFill="1" applyBorder="1" applyAlignment="1">
      <alignment horizontal="left" vertical="center" indent="1"/>
    </xf>
    <xf numFmtId="1" fontId="20" fillId="59" borderId="71" xfId="0" applyNumberFormat="1" applyFont="1" applyFill="1" applyBorder="1" applyAlignment="1" applyProtection="1">
      <alignment horizontal="center"/>
      <protection hidden="1"/>
    </xf>
    <xf numFmtId="1" fontId="20" fillId="59" borderId="172" xfId="0" applyNumberFormat="1" applyFont="1" applyFill="1" applyBorder="1" applyAlignment="1" applyProtection="1">
      <alignment horizontal="center"/>
      <protection hidden="1"/>
    </xf>
    <xf numFmtId="0" fontId="283" fillId="28" borderId="365" xfId="0" applyFont="1" applyFill="1" applyBorder="1" applyAlignment="1" applyProtection="1">
      <alignment horizontal="left" vertical="center" indent="1"/>
      <protection hidden="1"/>
    </xf>
    <xf numFmtId="0" fontId="283" fillId="0" borderId="146" xfId="0" applyFont="1" applyBorder="1" applyAlignment="1">
      <alignment horizontal="left" vertical="center" indent="1"/>
    </xf>
    <xf numFmtId="0" fontId="283" fillId="0" borderId="364" xfId="0" applyFont="1" applyBorder="1" applyAlignment="1">
      <alignment horizontal="left" vertical="center" indent="1"/>
    </xf>
    <xf numFmtId="0" fontId="283" fillId="0" borderId="298" xfId="0" applyFont="1" applyBorder="1" applyAlignment="1">
      <alignment horizontal="left" vertical="center" indent="1"/>
    </xf>
    <xf numFmtId="0" fontId="283" fillId="0" borderId="204" xfId="0" applyFont="1" applyBorder="1" applyAlignment="1">
      <alignment horizontal="left" vertical="center" indent="1"/>
    </xf>
    <xf numFmtId="0" fontId="283" fillId="0" borderId="318" xfId="0" applyFont="1" applyBorder="1" applyAlignment="1">
      <alignment horizontal="left" vertical="center" indent="1"/>
    </xf>
    <xf numFmtId="0" fontId="274" fillId="46" borderId="423" xfId="0" applyFont="1" applyFill="1" applyBorder="1" applyAlignment="1" applyProtection="1">
      <alignment horizontal="left" vertical="center" indent="1"/>
      <protection hidden="1"/>
    </xf>
    <xf numFmtId="0" fontId="274" fillId="46" borderId="421" xfId="0" applyFont="1" applyFill="1" applyBorder="1" applyAlignment="1">
      <alignment horizontal="left" vertical="center" indent="1"/>
    </xf>
    <xf numFmtId="0" fontId="274" fillId="46" borderId="422" xfId="0" applyFont="1" applyFill="1" applyBorder="1" applyAlignment="1">
      <alignment horizontal="left" vertical="center" indent="1"/>
    </xf>
    <xf numFmtId="0" fontId="283" fillId="46" borderId="167" xfId="0" applyFont="1" applyFill="1" applyBorder="1" applyAlignment="1" applyProtection="1">
      <alignment horizontal="left" vertical="center" indent="1"/>
      <protection hidden="1"/>
    </xf>
    <xf numFmtId="0" fontId="283" fillId="46" borderId="161" xfId="0" applyFont="1" applyFill="1" applyBorder="1" applyAlignment="1">
      <alignment horizontal="left" vertical="center" indent="1"/>
    </xf>
    <xf numFmtId="0" fontId="283" fillId="46" borderId="245" xfId="0" applyFont="1" applyFill="1" applyBorder="1" applyAlignment="1">
      <alignment horizontal="left" vertical="center" indent="1"/>
    </xf>
    <xf numFmtId="0" fontId="190" fillId="59" borderId="71" xfId="0" applyFont="1" applyFill="1" applyBorder="1" applyAlignment="1" applyProtection="1">
      <alignment horizontal="left" vertical="center" indent="1"/>
      <protection hidden="1"/>
    </xf>
    <xf numFmtId="0" fontId="191" fillId="59" borderId="203" xfId="0" applyFont="1" applyFill="1" applyBorder="1" applyAlignment="1">
      <alignment horizontal="left" vertical="center" indent="1"/>
    </xf>
    <xf numFmtId="0" fontId="191" fillId="59" borderId="172" xfId="0" applyFont="1" applyFill="1" applyBorder="1" applyAlignment="1">
      <alignment horizontal="left" vertical="center" indent="1"/>
    </xf>
    <xf numFmtId="0" fontId="237" fillId="31" borderId="0" xfId="0" applyFont="1" applyFill="1" applyBorder="1" applyAlignment="1" applyProtection="1">
      <alignment horizontal="center" vertical="center"/>
      <protection locked="0"/>
    </xf>
    <xf numFmtId="0" fontId="20" fillId="59" borderId="171" xfId="0" applyFont="1" applyFill="1" applyBorder="1" applyAlignment="1" applyProtection="1">
      <alignment horizontal="left"/>
      <protection hidden="1"/>
    </xf>
    <xf numFmtId="0" fontId="20" fillId="59" borderId="172" xfId="0" applyFont="1" applyFill="1" applyBorder="1" applyAlignment="1" applyProtection="1">
      <alignment horizontal="left"/>
      <protection hidden="1"/>
    </xf>
    <xf numFmtId="0" fontId="104" fillId="59" borderId="131" xfId="0" applyFont="1" applyFill="1" applyBorder="1" applyAlignment="1" applyProtection="1">
      <alignment horizontal="left" vertical="top"/>
      <protection hidden="1"/>
    </xf>
    <xf numFmtId="0" fontId="104" fillId="59" borderId="293" xfId="0" applyFont="1" applyFill="1" applyBorder="1" applyAlignment="1" applyProtection="1">
      <alignment horizontal="left" vertical="top"/>
      <protection hidden="1"/>
    </xf>
    <xf numFmtId="0" fontId="183" fillId="59" borderId="292" xfId="0" applyFont="1" applyFill="1" applyBorder="1" applyAlignment="1" applyProtection="1">
      <alignment horizontal="center" vertical="center"/>
      <protection hidden="1"/>
    </xf>
    <xf numFmtId="0" fontId="183" fillId="59" borderId="447" xfId="0" applyFont="1" applyFill="1" applyBorder="1" applyAlignment="1" applyProtection="1">
      <alignment horizontal="center" vertical="center"/>
      <protection hidden="1"/>
    </xf>
    <xf numFmtId="0" fontId="0" fillId="0" borderId="137" xfId="0" applyBorder="1" applyAlignment="1">
      <alignment horizontal="center" vertical="center"/>
    </xf>
    <xf numFmtId="0" fontId="0" fillId="0" borderId="135" xfId="0" applyBorder="1" applyAlignment="1">
      <alignment horizontal="center" vertical="center"/>
    </xf>
    <xf numFmtId="0" fontId="283" fillId="37" borderId="167" xfId="0" applyFont="1" applyFill="1" applyBorder="1" applyAlignment="1" applyProtection="1">
      <alignment horizontal="left" vertical="center" indent="1"/>
      <protection locked="0"/>
    </xf>
    <xf numFmtId="0" fontId="279" fillId="37" borderId="161" xfId="0" applyFont="1" applyFill="1" applyBorder="1" applyAlignment="1">
      <alignment horizontal="left" vertical="center" indent="1"/>
    </xf>
    <xf numFmtId="0" fontId="279" fillId="37" borderId="245" xfId="0" applyFont="1" applyFill="1" applyBorder="1" applyAlignment="1">
      <alignment horizontal="left" vertical="center" indent="1"/>
    </xf>
    <xf numFmtId="0" fontId="213" fillId="66" borderId="238" xfId="0" applyFont="1" applyFill="1" applyBorder="1" applyAlignment="1" applyProtection="1">
      <alignment horizontal="left" vertical="center" indent="1"/>
      <protection hidden="1"/>
    </xf>
    <xf numFmtId="0" fontId="149" fillId="66" borderId="209" xfId="0" applyFont="1" applyFill="1" applyBorder="1" applyAlignment="1">
      <alignment horizontal="left" vertical="center" indent="1"/>
    </xf>
    <xf numFmtId="0" fontId="149" fillId="66" borderId="447" xfId="0" applyFont="1" applyFill="1" applyBorder="1" applyAlignment="1">
      <alignment horizontal="left" vertical="center" indent="1"/>
    </xf>
    <xf numFmtId="0" fontId="202" fillId="0" borderId="365" xfId="0" applyFont="1" applyBorder="1" applyAlignment="1" applyProtection="1">
      <alignment horizontal="left" vertical="center" indent="1"/>
      <protection hidden="1"/>
    </xf>
    <xf numFmtId="0" fontId="202" fillId="0" borderId="365" xfId="0" applyFont="1" applyBorder="1" applyAlignment="1" applyProtection="1">
      <alignment horizontal="left" vertical="center" indent="2"/>
      <protection hidden="1"/>
    </xf>
    <xf numFmtId="0" fontId="0" fillId="0" borderId="146" xfId="0" applyBorder="1" applyAlignment="1">
      <alignment horizontal="left" vertical="center" indent="2"/>
    </xf>
    <xf numFmtId="0" fontId="0" fillId="0" borderId="364" xfId="0" applyBorder="1" applyAlignment="1">
      <alignment horizontal="left" vertical="center" indent="2"/>
    </xf>
    <xf numFmtId="0" fontId="283" fillId="37" borderId="167" xfId="0" applyFont="1" applyFill="1" applyBorder="1" applyAlignment="1" applyProtection="1">
      <alignment horizontal="left" vertical="center" indent="1"/>
      <protection hidden="1"/>
    </xf>
    <xf numFmtId="0" fontId="279" fillId="0" borderId="161" xfId="0" applyFont="1" applyBorder="1" applyAlignment="1">
      <alignment horizontal="left" vertical="center" indent="1"/>
    </xf>
    <xf numFmtId="0" fontId="279" fillId="0" borderId="245" xfId="0" applyFont="1" applyBorder="1" applyAlignment="1">
      <alignment horizontal="left" vertical="center" indent="1"/>
    </xf>
    <xf numFmtId="0" fontId="283" fillId="28" borderId="167" xfId="0" applyFont="1" applyFill="1" applyBorder="1" applyAlignment="1" applyProtection="1">
      <alignment horizontal="left" vertical="center" indent="1"/>
      <protection hidden="1"/>
    </xf>
    <xf numFmtId="0" fontId="283" fillId="39" borderId="167" xfId="0" applyFont="1" applyFill="1" applyBorder="1" applyAlignment="1" applyProtection="1">
      <alignment horizontal="left" vertical="center" indent="1"/>
      <protection hidden="1"/>
    </xf>
    <xf numFmtId="0" fontId="283" fillId="37" borderId="522" xfId="0" applyFont="1" applyFill="1" applyBorder="1" applyAlignment="1" applyProtection="1">
      <alignment horizontal="left" vertical="center" indent="1"/>
      <protection locked="0"/>
    </xf>
    <xf numFmtId="0" fontId="279" fillId="0" borderId="523" xfId="0" applyFont="1" applyBorder="1" applyAlignment="1">
      <alignment horizontal="left" vertical="center" indent="1"/>
    </xf>
    <xf numFmtId="0" fontId="279" fillId="0" borderId="524" xfId="0" applyFont="1" applyBorder="1" applyAlignment="1">
      <alignment horizontal="left" vertical="center" indent="1"/>
    </xf>
    <xf numFmtId="0" fontId="283" fillId="24" borderId="517" xfId="0" applyFont="1" applyFill="1" applyBorder="1" applyAlignment="1" applyProtection="1">
      <alignment horizontal="left" vertical="center" indent="1"/>
      <protection hidden="1"/>
    </xf>
    <xf numFmtId="0" fontId="0" fillId="0" borderId="518" xfId="0" applyBorder="1" applyAlignment="1">
      <alignment horizontal="left" vertical="center" indent="1"/>
    </xf>
    <xf numFmtId="0" fontId="0" fillId="0" borderId="519" xfId="0" applyBorder="1" applyAlignment="1">
      <alignment horizontal="left" vertical="center" indent="1"/>
    </xf>
    <xf numFmtId="0" fontId="497" fillId="0" borderId="167" xfId="0" quotePrefix="1" applyFont="1" applyBorder="1" applyAlignment="1" applyProtection="1">
      <alignment horizontal="left" vertical="center" indent="1"/>
      <protection hidden="1"/>
    </xf>
    <xf numFmtId="0" fontId="492" fillId="0" borderId="161" xfId="0" applyFont="1" applyBorder="1" applyAlignment="1">
      <alignment horizontal="left" vertical="center" indent="1"/>
    </xf>
    <xf numFmtId="0" fontId="492" fillId="0" borderId="245" xfId="0" applyFont="1" applyBorder="1" applyAlignment="1">
      <alignment horizontal="left" vertical="center" indent="1"/>
    </xf>
    <xf numFmtId="0" fontId="34" fillId="59" borderId="71" xfId="0" applyFont="1" applyFill="1" applyBorder="1" applyAlignment="1" applyProtection="1">
      <alignment horizontal="center" vertical="center" wrapText="1"/>
      <protection hidden="1"/>
    </xf>
    <xf numFmtId="0" fontId="0" fillId="0" borderId="203" xfId="0" applyBorder="1" applyAlignment="1">
      <alignment horizontal="right"/>
    </xf>
    <xf numFmtId="0" fontId="0" fillId="0" borderId="172" xfId="0" applyBorder="1" applyAlignment="1">
      <alignment horizontal="right"/>
    </xf>
    <xf numFmtId="0" fontId="0" fillId="0" borderId="224" xfId="0" applyBorder="1" applyAlignment="1">
      <alignment horizontal="right"/>
    </xf>
    <xf numFmtId="0" fontId="0" fillId="0" borderId="293" xfId="0" applyBorder="1" applyAlignment="1">
      <alignment horizontal="right"/>
    </xf>
    <xf numFmtId="0" fontId="0" fillId="0" borderId="72" xfId="0" applyBorder="1" applyAlignment="1">
      <alignment horizontal="right"/>
    </xf>
    <xf numFmtId="0" fontId="0" fillId="0" borderId="160" xfId="0" applyBorder="1" applyAlignment="1">
      <alignment horizontal="right"/>
    </xf>
    <xf numFmtId="0" fontId="0" fillId="0" borderId="323" xfId="0" applyBorder="1" applyAlignment="1">
      <alignment horizontal="right"/>
    </xf>
    <xf numFmtId="0" fontId="292" fillId="0" borderId="0" xfId="0" applyFont="1" applyBorder="1" applyAlignment="1" applyProtection="1">
      <alignment horizontal="left" vertical="center" wrapText="1" indent="2"/>
      <protection hidden="1"/>
    </xf>
    <xf numFmtId="0" fontId="353" fillId="0" borderId="0" xfId="0" applyFont="1" applyBorder="1" applyAlignment="1">
      <alignment horizontal="left" vertical="center" indent="2"/>
    </xf>
    <xf numFmtId="0" fontId="353" fillId="0" borderId="133" xfId="0" applyFont="1" applyBorder="1" applyAlignment="1">
      <alignment horizontal="left" vertical="center" indent="2"/>
    </xf>
    <xf numFmtId="166" fontId="16" fillId="93" borderId="354" xfId="0" applyNumberFormat="1" applyFont="1" applyFill="1" applyBorder="1" applyAlignment="1" applyProtection="1">
      <alignment vertical="center"/>
      <protection hidden="1"/>
    </xf>
    <xf numFmtId="0" fontId="0" fillId="93" borderId="350" xfId="0" applyFill="1" applyBorder="1" applyAlignment="1">
      <alignment vertical="center"/>
    </xf>
    <xf numFmtId="0" fontId="0" fillId="93" borderId="370" xfId="0" applyFill="1" applyBorder="1" applyAlignment="1">
      <alignment vertical="center"/>
    </xf>
    <xf numFmtId="0" fontId="185" fillId="59" borderId="227" xfId="0" applyFont="1" applyFill="1" applyBorder="1" applyAlignment="1" applyProtection="1">
      <alignment horizontal="left" vertical="center" indent="1"/>
      <protection hidden="1"/>
    </xf>
    <xf numFmtId="0" fontId="23" fillId="0" borderId="298" xfId="0" applyFont="1" applyBorder="1" applyAlignment="1" applyProtection="1">
      <alignment horizontal="left" vertical="center" indent="1"/>
      <protection hidden="1"/>
    </xf>
    <xf numFmtId="0" fontId="23" fillId="0" borderId="365" xfId="0" applyFont="1" applyBorder="1" applyAlignment="1" applyProtection="1">
      <alignment horizontal="left" vertical="center" indent="1"/>
      <protection hidden="1"/>
    </xf>
    <xf numFmtId="0" fontId="496" fillId="0" borderId="366" xfId="0" applyFont="1" applyBorder="1" applyAlignment="1" applyProtection="1">
      <alignment horizontal="left" vertical="center" indent="1"/>
      <protection hidden="1"/>
    </xf>
    <xf numFmtId="0" fontId="493" fillId="0" borderId="250" xfId="0" applyFont="1" applyBorder="1" applyAlignment="1">
      <alignment horizontal="left" vertical="center" indent="1"/>
    </xf>
    <xf numFmtId="0" fontId="493" fillId="0" borderId="368" xfId="0" applyFont="1" applyBorder="1" applyAlignment="1">
      <alignment horizontal="left" vertical="center" indent="1"/>
    </xf>
    <xf numFmtId="0" fontId="492" fillId="46" borderId="258" xfId="0" applyFont="1" applyFill="1" applyBorder="1" applyAlignment="1" applyProtection="1">
      <alignment horizontal="left" vertical="center" indent="1"/>
      <protection hidden="1"/>
    </xf>
    <xf numFmtId="0" fontId="492" fillId="46" borderId="206" xfId="0" applyFont="1" applyFill="1" applyBorder="1" applyAlignment="1">
      <alignment horizontal="left" vertical="center" indent="1"/>
    </xf>
    <xf numFmtId="0" fontId="492" fillId="46" borderId="260" xfId="0" applyFont="1" applyFill="1" applyBorder="1" applyAlignment="1">
      <alignment horizontal="left" vertical="center" indent="1"/>
    </xf>
    <xf numFmtId="0" fontId="185" fillId="59" borderId="545" xfId="0" applyFont="1" applyFill="1" applyBorder="1" applyAlignment="1" applyProtection="1">
      <alignment horizontal="left" vertical="center" indent="1"/>
      <protection hidden="1"/>
    </xf>
    <xf numFmtId="0" fontId="185" fillId="59" borderId="0" xfId="0" applyFont="1" applyFill="1" applyBorder="1" applyAlignment="1" applyProtection="1">
      <alignment horizontal="left" vertical="center" indent="1"/>
      <protection hidden="1"/>
    </xf>
    <xf numFmtId="0" fontId="182" fillId="59" borderId="372" xfId="0" applyFont="1" applyFill="1" applyBorder="1" applyAlignment="1">
      <alignment horizontal="left" vertical="center" indent="1"/>
    </xf>
    <xf numFmtId="0" fontId="0" fillId="0" borderId="146" xfId="0" applyBorder="1" applyAlignment="1">
      <alignment horizontal="left" indent="1"/>
    </xf>
    <xf numFmtId="0" fontId="0" fillId="0" borderId="364" xfId="0" applyBorder="1" applyAlignment="1">
      <alignment horizontal="left" indent="1"/>
    </xf>
    <xf numFmtId="0" fontId="23" fillId="46" borderId="459" xfId="0" applyFont="1" applyFill="1" applyBorder="1" applyAlignment="1" applyProtection="1">
      <alignment horizontal="left" vertical="center" indent="1"/>
      <protection hidden="1"/>
    </xf>
    <xf numFmtId="0" fontId="4" fillId="46" borderId="169" xfId="0" applyFont="1" applyFill="1" applyBorder="1" applyAlignment="1">
      <alignment horizontal="left" indent="1"/>
    </xf>
    <xf numFmtId="0" fontId="4" fillId="46" borderId="174" xfId="0" applyFont="1" applyFill="1" applyBorder="1" applyAlignment="1">
      <alignment horizontal="left" indent="1"/>
    </xf>
    <xf numFmtId="3" fontId="248" fillId="59" borderId="476" xfId="0" applyNumberFormat="1" applyFont="1" applyFill="1" applyBorder="1" applyAlignment="1" applyProtection="1">
      <alignment horizontal="center" vertical="center" wrapText="1"/>
      <protection hidden="1"/>
    </xf>
    <xf numFmtId="3" fontId="248" fillId="59" borderId="220" xfId="0" applyNumberFormat="1" applyFont="1" applyFill="1" applyBorder="1" applyAlignment="1" applyProtection="1">
      <alignment horizontal="center" vertical="center" wrapText="1"/>
      <protection hidden="1"/>
    </xf>
    <xf numFmtId="3" fontId="248" fillId="59" borderId="477" xfId="0" applyNumberFormat="1" applyFont="1" applyFill="1" applyBorder="1" applyAlignment="1" applyProtection="1">
      <alignment horizontal="center" vertical="center" wrapText="1"/>
      <protection hidden="1"/>
    </xf>
    <xf numFmtId="0" fontId="492" fillId="0" borderId="298" xfId="0" applyFont="1" applyBorder="1" applyAlignment="1" applyProtection="1">
      <alignment horizontal="left" vertical="center" indent="1"/>
      <protection hidden="1"/>
    </xf>
    <xf numFmtId="0" fontId="492" fillId="0" borderId="204" xfId="0" applyFont="1" applyBorder="1" applyAlignment="1">
      <alignment horizontal="left" vertical="center" indent="1"/>
    </xf>
    <xf numFmtId="0" fontId="492" fillId="0" borderId="318" xfId="0" applyFont="1" applyBorder="1" applyAlignment="1">
      <alignment horizontal="left" vertical="center" indent="1"/>
    </xf>
    <xf numFmtId="0" fontId="492" fillId="0" borderId="167" xfId="0" applyFont="1" applyFill="1" applyBorder="1" applyAlignment="1" applyProtection="1">
      <alignment horizontal="left" vertical="center" indent="1"/>
      <protection hidden="1"/>
    </xf>
    <xf numFmtId="0" fontId="492" fillId="0" borderId="167" xfId="0" applyFont="1" applyBorder="1" applyAlignment="1" applyProtection="1">
      <alignment horizontal="left" vertical="center" indent="1"/>
      <protection hidden="1"/>
    </xf>
    <xf numFmtId="0" fontId="499" fillId="59" borderId="136" xfId="0" applyFont="1" applyFill="1" applyBorder="1" applyAlignment="1" applyProtection="1">
      <alignment horizontal="center" vertical="center"/>
      <protection hidden="1"/>
    </xf>
    <xf numFmtId="0" fontId="499" fillId="59" borderId="137" xfId="0" applyFont="1" applyFill="1" applyBorder="1" applyAlignment="1" applyProtection="1">
      <alignment horizontal="center" vertical="center"/>
      <protection hidden="1"/>
    </xf>
    <xf numFmtId="0" fontId="501" fillId="59" borderId="135" xfId="0" applyFont="1" applyFill="1" applyBorder="1" applyAlignment="1">
      <alignment horizontal="center" vertical="center"/>
    </xf>
    <xf numFmtId="0" fontId="307" fillId="40" borderId="90" xfId="0" applyFont="1" applyFill="1" applyBorder="1" applyAlignment="1" applyProtection="1">
      <alignment vertical="center"/>
      <protection locked="0" hidden="1"/>
    </xf>
    <xf numFmtId="0" fontId="307" fillId="40" borderId="399" xfId="0" applyFont="1" applyFill="1" applyBorder="1" applyAlignment="1" applyProtection="1">
      <alignment vertical="center"/>
      <protection locked="0" hidden="1"/>
    </xf>
    <xf numFmtId="0" fontId="274" fillId="46" borderId="136" xfId="16" applyFont="1" applyFill="1" applyBorder="1" applyAlignment="1" applyProtection="1">
      <alignment horizontal="left" vertical="center" indent="1"/>
      <protection hidden="1"/>
    </xf>
    <xf numFmtId="0" fontId="292" fillId="46" borderId="137" xfId="0" applyFont="1" applyFill="1" applyBorder="1" applyAlignment="1">
      <alignment horizontal="left" vertical="center" indent="1"/>
    </xf>
    <xf numFmtId="0" fontId="292" fillId="46" borderId="135" xfId="0" applyFont="1" applyFill="1" applyBorder="1" applyAlignment="1">
      <alignment horizontal="left" vertical="center" indent="1"/>
    </xf>
    <xf numFmtId="0" fontId="292" fillId="0" borderId="316" xfId="0" applyFont="1" applyBorder="1" applyAlignment="1" applyProtection="1">
      <alignment horizontal="left" vertical="center" indent="2"/>
      <protection hidden="1"/>
    </xf>
    <xf numFmtId="0" fontId="353" fillId="0" borderId="233" xfId="0" applyFont="1" applyBorder="1" applyAlignment="1">
      <alignment horizontal="left" indent="2"/>
    </xf>
    <xf numFmtId="0" fontId="292" fillId="0" borderId="0" xfId="0" applyFont="1" applyBorder="1" applyAlignment="1" applyProtection="1">
      <alignment horizontal="right" vertical="center" indent="1"/>
      <protection hidden="1"/>
    </xf>
    <xf numFmtId="166" fontId="292" fillId="0" borderId="660" xfId="0" applyNumberFormat="1" applyFont="1" applyBorder="1" applyAlignment="1" applyProtection="1">
      <alignment vertical="center"/>
      <protection locked="0"/>
    </xf>
    <xf numFmtId="0" fontId="353" fillId="0" borderId="317" xfId="0" applyFont="1" applyBorder="1" applyAlignment="1">
      <alignment vertical="center"/>
    </xf>
    <xf numFmtId="166" fontId="292" fillId="0" borderId="290" xfId="0" applyNumberFormat="1" applyFont="1" applyBorder="1" applyAlignment="1" applyProtection="1">
      <protection locked="0"/>
    </xf>
    <xf numFmtId="0" fontId="353" fillId="0" borderId="147" xfId="0" applyFont="1" applyBorder="1" applyAlignment="1"/>
    <xf numFmtId="0" fontId="292" fillId="0" borderId="528" xfId="0" applyFont="1" applyBorder="1" applyAlignment="1" applyProtection="1">
      <alignment horizontal="left" indent="1"/>
      <protection hidden="1"/>
    </xf>
    <xf numFmtId="0" fontId="353" fillId="0" borderId="662" xfId="0" applyFont="1" applyBorder="1" applyAlignment="1">
      <alignment horizontal="left" indent="1"/>
    </xf>
    <xf numFmtId="0" fontId="428" fillId="0" borderId="349" xfId="0" applyFont="1" applyBorder="1" applyAlignment="1" applyProtection="1">
      <alignment horizontal="left" vertical="top" indent="1"/>
      <protection hidden="1"/>
    </xf>
    <xf numFmtId="0" fontId="307" fillId="0" borderId="348" xfId="0" applyFont="1" applyBorder="1" applyAlignment="1">
      <alignment horizontal="left" vertical="top" indent="1"/>
    </xf>
    <xf numFmtId="168" fontId="428" fillId="0" borderId="349" xfId="0" applyNumberFormat="1" applyFont="1" applyFill="1" applyBorder="1" applyAlignment="1" applyProtection="1">
      <alignment horizontal="center" vertical="top"/>
      <protection hidden="1"/>
    </xf>
    <xf numFmtId="0" fontId="307" fillId="0" borderId="560" xfId="0" applyFont="1" applyBorder="1" applyAlignment="1">
      <alignment horizontal="center" vertical="top"/>
    </xf>
    <xf numFmtId="0" fontId="292" fillId="0" borderId="185" xfId="0" applyFont="1" applyBorder="1" applyAlignment="1" applyProtection="1">
      <alignment horizontal="left" vertical="center" indent="2"/>
      <protection hidden="1"/>
    </xf>
    <xf numFmtId="0" fontId="353" fillId="0" borderId="90" xfId="0" applyFont="1" applyBorder="1" applyAlignment="1">
      <alignment horizontal="left" indent="2"/>
    </xf>
    <xf numFmtId="168" fontId="292" fillId="0" borderId="661" xfId="0" applyNumberFormat="1" applyFont="1" applyBorder="1" applyAlignment="1" applyProtection="1">
      <alignment horizontal="left" vertical="center" wrapText="1" indent="3"/>
      <protection hidden="1"/>
    </xf>
    <xf numFmtId="0" fontId="353" fillId="0" borderId="74" xfId="0" applyFont="1" applyBorder="1" applyAlignment="1">
      <alignment horizontal="left" indent="3"/>
    </xf>
    <xf numFmtId="0" fontId="309" fillId="65" borderId="476" xfId="0" applyFont="1" applyFill="1" applyBorder="1" applyAlignment="1" applyProtection="1">
      <alignment horizontal="center" vertical="center"/>
      <protection hidden="1"/>
    </xf>
    <xf numFmtId="0" fontId="309" fillId="65" borderId="220" xfId="0" applyFont="1" applyFill="1" applyBorder="1" applyAlignment="1" applyProtection="1">
      <alignment horizontal="center" vertical="center"/>
      <protection hidden="1"/>
    </xf>
    <xf numFmtId="0" fontId="309" fillId="65" borderId="477" xfId="0" applyFont="1" applyFill="1" applyBorder="1" applyAlignment="1" applyProtection="1">
      <alignment horizontal="center" vertical="center"/>
      <protection hidden="1"/>
    </xf>
    <xf numFmtId="0" fontId="23" fillId="28" borderId="354" xfId="0" applyFont="1" applyFill="1" applyBorder="1" applyAlignment="1" applyProtection="1">
      <alignment horizontal="left" vertical="center" indent="1"/>
      <protection hidden="1"/>
    </xf>
    <xf numFmtId="0" fontId="0" fillId="0" borderId="350" xfId="0" applyBorder="1" applyAlignment="1">
      <alignment horizontal="left" indent="1"/>
    </xf>
    <xf numFmtId="0" fontId="0" fillId="0" borderId="370" xfId="0" applyBorder="1" applyAlignment="1">
      <alignment horizontal="left" indent="1"/>
    </xf>
    <xf numFmtId="0" fontId="23" fillId="0" borderId="366" xfId="0" applyFont="1" applyBorder="1" applyAlignment="1" applyProtection="1">
      <alignment horizontal="left" vertical="center" indent="1"/>
      <protection hidden="1"/>
    </xf>
    <xf numFmtId="0" fontId="23" fillId="0" borderId="167" xfId="0" applyFont="1" applyBorder="1" applyAlignment="1" applyProtection="1">
      <alignment horizontal="left" vertical="center" indent="1"/>
      <protection hidden="1"/>
    </xf>
    <xf numFmtId="0" fontId="0" fillId="0" borderId="161" xfId="0" applyBorder="1" applyAlignment="1">
      <alignment horizontal="left" indent="1"/>
    </xf>
    <xf numFmtId="0" fontId="0" fillId="0" borderId="245" xfId="0" applyBorder="1" applyAlignment="1">
      <alignment horizontal="left" indent="1"/>
    </xf>
    <xf numFmtId="0" fontId="292" fillId="0" borderId="209" xfId="0" applyFont="1" applyBorder="1" applyAlignment="1" applyProtection="1">
      <alignment horizontal="left" vertical="center" indent="2"/>
      <protection hidden="1"/>
    </xf>
    <xf numFmtId="0" fontId="353" fillId="0" borderId="209" xfId="0" applyFont="1" applyBorder="1" applyAlignment="1">
      <alignment horizontal="left" vertical="center" indent="2"/>
    </xf>
    <xf numFmtId="0" fontId="492" fillId="46" borderId="365" xfId="0" applyFont="1" applyFill="1" applyBorder="1" applyAlignment="1" applyProtection="1">
      <alignment horizontal="left" vertical="center" indent="1"/>
      <protection hidden="1"/>
    </xf>
    <xf numFmtId="0" fontId="492" fillId="46" borderId="146" xfId="0" applyFont="1" applyFill="1" applyBorder="1" applyAlignment="1">
      <alignment horizontal="left" vertical="center" indent="1"/>
    </xf>
    <xf numFmtId="0" fontId="492" fillId="46" borderId="364" xfId="0" applyFont="1" applyFill="1" applyBorder="1" applyAlignment="1">
      <alignment horizontal="left" vertical="center" indent="1"/>
    </xf>
    <xf numFmtId="166" fontId="18" fillId="93" borderId="224" xfId="0" applyNumberFormat="1" applyFont="1" applyFill="1" applyBorder="1" applyAlignment="1" applyProtection="1">
      <alignment horizontal="center" vertical="center"/>
      <protection hidden="1"/>
    </xf>
    <xf numFmtId="166" fontId="18" fillId="93" borderId="0" xfId="0" applyNumberFormat="1" applyFont="1" applyFill="1" applyBorder="1" applyAlignment="1" applyProtection="1">
      <alignment horizontal="center" vertical="center"/>
      <protection hidden="1"/>
    </xf>
    <xf numFmtId="166" fontId="18" fillId="93" borderId="293" xfId="0" applyNumberFormat="1" applyFont="1" applyFill="1" applyBorder="1" applyAlignment="1" applyProtection="1">
      <alignment horizontal="center" vertical="center"/>
      <protection hidden="1"/>
    </xf>
    <xf numFmtId="166" fontId="18" fillId="93" borderId="182" xfId="0" applyNumberFormat="1" applyFont="1" applyFill="1" applyBorder="1" applyAlignment="1" applyProtection="1">
      <alignment horizontal="center" vertical="center"/>
      <protection hidden="1"/>
    </xf>
    <xf numFmtId="166" fontId="18" fillId="93" borderId="133" xfId="0" applyNumberFormat="1" applyFont="1" applyFill="1" applyBorder="1" applyAlignment="1" applyProtection="1">
      <alignment horizontal="center" vertical="center"/>
      <protection hidden="1"/>
    </xf>
    <xf numFmtId="166" fontId="18" fillId="93" borderId="183" xfId="0" applyNumberFormat="1" applyFont="1" applyFill="1" applyBorder="1" applyAlignment="1" applyProtection="1">
      <alignment horizontal="center" vertical="center"/>
      <protection hidden="1"/>
    </xf>
    <xf numFmtId="0" fontId="23" fillId="28" borderId="182" xfId="0" applyFont="1" applyFill="1" applyBorder="1" applyAlignment="1" applyProtection="1">
      <alignment horizontal="left" vertical="center" wrapText="1" indent="1"/>
      <protection hidden="1"/>
    </xf>
    <xf numFmtId="0" fontId="23" fillId="28" borderId="133" xfId="0" applyFont="1" applyFill="1" applyBorder="1" applyAlignment="1" applyProtection="1">
      <alignment horizontal="left" vertical="center" wrapText="1" indent="1"/>
      <protection hidden="1"/>
    </xf>
    <xf numFmtId="0" fontId="23" fillId="28" borderId="183" xfId="0" applyFont="1" applyFill="1" applyBorder="1" applyAlignment="1" applyProtection="1">
      <alignment horizontal="left" vertical="center" wrapText="1" indent="1"/>
      <protection hidden="1"/>
    </xf>
    <xf numFmtId="0" fontId="495" fillId="28" borderId="241" xfId="0" applyFont="1" applyFill="1" applyBorder="1" applyAlignment="1" applyProtection="1">
      <alignment horizontal="left" vertical="center" wrapText="1" indent="1"/>
      <protection hidden="1"/>
    </xf>
    <xf numFmtId="0" fontId="495" fillId="28" borderId="245" xfId="0" applyFont="1" applyFill="1" applyBorder="1" applyAlignment="1" applyProtection="1">
      <alignment horizontal="left" vertical="center" wrapText="1" indent="1"/>
      <protection hidden="1"/>
    </xf>
    <xf numFmtId="0" fontId="492" fillId="0" borderId="365" xfId="0" applyFont="1" applyBorder="1" applyAlignment="1" applyProtection="1">
      <alignment horizontal="left" vertical="center" indent="1"/>
      <protection hidden="1"/>
    </xf>
    <xf numFmtId="0" fontId="492" fillId="0" borderId="146" xfId="0" applyFont="1" applyBorder="1" applyAlignment="1">
      <alignment horizontal="left" vertical="center" indent="1"/>
    </xf>
    <xf numFmtId="0" fontId="492" fillId="0" borderId="364" xfId="0" applyFont="1" applyBorder="1" applyAlignment="1">
      <alignment horizontal="left" vertical="center" indent="1"/>
    </xf>
    <xf numFmtId="0" fontId="185" fillId="59" borderId="137" xfId="0" applyFont="1" applyFill="1" applyBorder="1" applyAlignment="1" applyProtection="1">
      <alignment horizontal="left" vertical="center" indent="1"/>
      <protection hidden="1"/>
    </xf>
    <xf numFmtId="0" fontId="20" fillId="87" borderId="357" xfId="0" applyFont="1" applyFill="1" applyBorder="1" applyAlignment="1" applyProtection="1">
      <alignment horizontal="left" vertical="center" wrapText="1" indent="1"/>
      <protection hidden="1"/>
    </xf>
    <xf numFmtId="0" fontId="0" fillId="0" borderId="227" xfId="0" applyBorder="1" applyAlignment="1" applyProtection="1">
      <alignment horizontal="left" vertical="center" indent="1"/>
      <protection hidden="1"/>
    </xf>
    <xf numFmtId="0" fontId="0" fillId="0" borderId="382" xfId="0" applyBorder="1" applyAlignment="1" applyProtection="1">
      <alignment horizontal="left" vertical="center" indent="1"/>
      <protection hidden="1"/>
    </xf>
    <xf numFmtId="0" fontId="185" fillId="44" borderId="476" xfId="0" applyFont="1" applyFill="1" applyBorder="1" applyAlignment="1" applyProtection="1">
      <alignment horizontal="left" vertical="center" indent="1"/>
      <protection hidden="1"/>
    </xf>
    <xf numFmtId="0" fontId="185" fillId="44" borderId="228" xfId="0" applyFont="1" applyFill="1" applyBorder="1" applyAlignment="1" applyProtection="1">
      <alignment horizontal="left" vertical="center" indent="1"/>
      <protection hidden="1"/>
    </xf>
    <xf numFmtId="0" fontId="182" fillId="44" borderId="477" xfId="0" applyFont="1" applyFill="1" applyBorder="1" applyAlignment="1">
      <alignment horizontal="left" vertical="center" indent="1"/>
    </xf>
    <xf numFmtId="0" fontId="23" fillId="28" borderId="369" xfId="0" applyFont="1" applyFill="1" applyBorder="1" applyAlignment="1" applyProtection="1">
      <alignment horizontal="left" vertical="center" wrapText="1" indent="1"/>
      <protection hidden="1"/>
    </xf>
    <xf numFmtId="0" fontId="23" fillId="28" borderId="513" xfId="0" applyFont="1" applyFill="1" applyBorder="1" applyAlignment="1" applyProtection="1">
      <alignment horizontal="left" vertical="center" wrapText="1" indent="1"/>
      <protection hidden="1"/>
    </xf>
    <xf numFmtId="0" fontId="40" fillId="28" borderId="249" xfId="0" applyFont="1" applyFill="1" applyBorder="1" applyAlignment="1" applyProtection="1">
      <alignment horizontal="left" vertical="center" wrapText="1" indent="1"/>
      <protection hidden="1"/>
    </xf>
    <xf numFmtId="0" fontId="40" fillId="28" borderId="174" xfId="0" applyFont="1" applyFill="1" applyBorder="1" applyAlignment="1" applyProtection="1">
      <alignment horizontal="left" vertical="center" wrapText="1" indent="1"/>
      <protection hidden="1"/>
    </xf>
    <xf numFmtId="0" fontId="0" fillId="0" borderId="161" xfId="0" applyBorder="1" applyAlignment="1">
      <alignment horizontal="left" vertical="center" indent="1"/>
    </xf>
    <xf numFmtId="0" fontId="4" fillId="46" borderId="169" xfId="0" applyFont="1" applyFill="1" applyBorder="1" applyAlignment="1">
      <alignment horizontal="left" vertical="center" indent="1"/>
    </xf>
    <xf numFmtId="0" fontId="4" fillId="46" borderId="174" xfId="0" applyFont="1" applyFill="1" applyBorder="1" applyAlignment="1">
      <alignment horizontal="left" vertical="center" indent="1"/>
    </xf>
    <xf numFmtId="0" fontId="496" fillId="0" borderId="365" xfId="0" applyFont="1" applyBorder="1" applyAlignment="1" applyProtection="1">
      <alignment horizontal="left" vertical="center" indent="1"/>
      <protection hidden="1"/>
    </xf>
    <xf numFmtId="0" fontId="493" fillId="0" borderId="146" xfId="0" applyFont="1" applyBorder="1" applyAlignment="1">
      <alignment horizontal="left" vertical="center" indent="1"/>
    </xf>
    <xf numFmtId="0" fontId="493" fillId="0" borderId="364" xfId="0" applyFont="1" applyBorder="1" applyAlignment="1">
      <alignment horizontal="left" vertical="center" indent="1"/>
    </xf>
    <xf numFmtId="0" fontId="496" fillId="0" borderId="365" xfId="0" applyFont="1" applyBorder="1" applyAlignment="1" applyProtection="1">
      <alignment horizontal="left" vertical="center" indent="1"/>
      <protection locked="0"/>
    </xf>
    <xf numFmtId="0" fontId="490" fillId="0" borderId="167" xfId="0" quotePrefix="1" applyFont="1" applyBorder="1" applyAlignment="1" applyProtection="1">
      <alignment horizontal="left" vertical="center" indent="1"/>
      <protection hidden="1"/>
    </xf>
    <xf numFmtId="0" fontId="249" fillId="0" borderId="161" xfId="0" applyFont="1" applyBorder="1" applyAlignment="1">
      <alignment horizontal="left" vertical="center" indent="1"/>
    </xf>
    <xf numFmtId="0" fontId="249" fillId="0" borderId="245" xfId="0" applyFont="1" applyBorder="1" applyAlignment="1">
      <alignment horizontal="left" vertical="center" indent="1"/>
    </xf>
    <xf numFmtId="0" fontId="453" fillId="48" borderId="238" xfId="0" applyFont="1" applyFill="1" applyBorder="1" applyAlignment="1" applyProtection="1">
      <alignment horizontal="left" vertical="center"/>
      <protection hidden="1"/>
    </xf>
    <xf numFmtId="0" fontId="453" fillId="48" borderId="209" xfId="0" applyFont="1" applyFill="1" applyBorder="1" applyAlignment="1" applyProtection="1">
      <alignment horizontal="left" vertical="center"/>
      <protection hidden="1"/>
    </xf>
    <xf numFmtId="0" fontId="453" fillId="48" borderId="447" xfId="0" applyFont="1" applyFill="1" applyBorder="1" applyAlignment="1" applyProtection="1">
      <alignment horizontal="left" vertical="center"/>
      <protection hidden="1"/>
    </xf>
    <xf numFmtId="9" fontId="110" fillId="93" borderId="258" xfId="0" applyNumberFormat="1" applyFont="1" applyFill="1" applyBorder="1" applyAlignment="1" applyProtection="1">
      <alignment horizontal="center" vertical="center"/>
      <protection hidden="1"/>
    </xf>
    <xf numFmtId="9" fontId="110" fillId="93" borderId="260" xfId="0" applyNumberFormat="1" applyFont="1" applyFill="1" applyBorder="1" applyAlignment="1" applyProtection="1">
      <alignment horizontal="center" vertical="center"/>
      <protection hidden="1"/>
    </xf>
    <xf numFmtId="166" fontId="96" fillId="93" borderId="258" xfId="0" applyNumberFormat="1" applyFont="1" applyFill="1" applyBorder="1" applyAlignment="1" applyProtection="1">
      <alignment horizontal="center" vertical="center"/>
      <protection hidden="1"/>
    </xf>
    <xf numFmtId="166" fontId="96" fillId="93" borderId="260" xfId="0" applyNumberFormat="1" applyFont="1" applyFill="1" applyBorder="1" applyAlignment="1" applyProtection="1">
      <alignment horizontal="center" vertical="center"/>
      <protection hidden="1"/>
    </xf>
    <xf numFmtId="0" fontId="279" fillId="0" borderId="221" xfId="0" applyFont="1" applyBorder="1" applyAlignment="1" applyProtection="1">
      <alignment horizontal="left" vertical="center" indent="1"/>
      <protection hidden="1"/>
    </xf>
    <xf numFmtId="0" fontId="0" fillId="0" borderId="262" xfId="0" applyBorder="1" applyAlignment="1">
      <alignment horizontal="left" vertical="center"/>
    </xf>
    <xf numFmtId="0" fontId="279" fillId="0" borderId="221" xfId="0" applyFont="1" applyBorder="1" applyAlignment="1" applyProtection="1">
      <alignment horizontal="left" vertical="center" indent="1"/>
      <protection locked="0"/>
    </xf>
    <xf numFmtId="0" fontId="427" fillId="46" borderId="231" xfId="0" applyFont="1" applyFill="1" applyBorder="1" applyAlignment="1" applyProtection="1">
      <alignment horizontal="left" vertical="center" indent="1"/>
      <protection hidden="1"/>
    </xf>
    <xf numFmtId="0" fontId="427" fillId="46" borderId="206" xfId="0" applyFont="1" applyFill="1" applyBorder="1" applyAlignment="1">
      <alignment horizontal="left" vertical="center" indent="1"/>
    </xf>
    <xf numFmtId="0" fontId="0" fillId="0" borderId="309" xfId="0" applyBorder="1" applyAlignment="1">
      <alignment horizontal="left" vertical="center"/>
    </xf>
    <xf numFmtId="0" fontId="279" fillId="0" borderId="221" xfId="0" applyFont="1" applyBorder="1" applyAlignment="1" applyProtection="1">
      <alignment horizontal="left" vertical="center" wrapText="1"/>
      <protection locked="0" hidden="1"/>
    </xf>
    <xf numFmtId="0" fontId="279" fillId="0" borderId="161" xfId="0" applyFont="1" applyBorder="1" applyAlignment="1" applyProtection="1">
      <alignment horizontal="left" vertical="center" wrapText="1"/>
      <protection locked="0" hidden="1"/>
    </xf>
    <xf numFmtId="0" fontId="0" fillId="0" borderId="161" xfId="0" applyBorder="1" applyAlignment="1">
      <alignment horizontal="left" vertical="center" wrapText="1"/>
    </xf>
    <xf numFmtId="166" fontId="279" fillId="46" borderId="231" xfId="0" applyNumberFormat="1" applyFont="1" applyFill="1" applyBorder="1" applyAlignment="1" applyProtection="1">
      <alignment horizontal="left" vertical="center" wrapText="1"/>
      <protection locked="0" hidden="1"/>
    </xf>
    <xf numFmtId="0" fontId="279" fillId="46" borderId="206" xfId="0" applyFont="1" applyFill="1" applyBorder="1" applyAlignment="1">
      <alignment horizontal="left" vertical="center" wrapText="1"/>
    </xf>
    <xf numFmtId="0" fontId="0" fillId="0" borderId="206" xfId="0" applyBorder="1" applyAlignment="1">
      <alignment horizontal="left" vertical="center" wrapText="1"/>
    </xf>
    <xf numFmtId="0" fontId="427" fillId="46" borderId="72" xfId="0" applyFont="1" applyFill="1" applyBorder="1" applyAlignment="1" applyProtection="1">
      <alignment horizontal="left" vertical="center" indent="1"/>
      <protection hidden="1"/>
    </xf>
    <xf numFmtId="0" fontId="427" fillId="46" borderId="160" xfId="0" applyFont="1" applyFill="1" applyBorder="1" applyAlignment="1" applyProtection="1">
      <alignment horizontal="left" vertical="center" indent="1"/>
      <protection hidden="1"/>
    </xf>
    <xf numFmtId="0" fontId="62" fillId="44" borderId="136" xfId="32" applyFont="1" applyFill="1" applyBorder="1" applyAlignment="1" applyProtection="1">
      <alignment horizontal="left" vertical="center"/>
      <protection hidden="1"/>
    </xf>
    <xf numFmtId="0" fontId="62" fillId="44" borderId="217" xfId="32" applyFont="1" applyFill="1" applyBorder="1" applyAlignment="1" applyProtection="1">
      <alignment horizontal="left" vertical="center"/>
      <protection hidden="1"/>
    </xf>
    <xf numFmtId="166" fontId="213" fillId="54" borderId="313" xfId="13" applyNumberFormat="1" applyFont="1" applyFill="1" applyBorder="1" applyAlignment="1" applyProtection="1">
      <alignment horizontal="center" vertical="center"/>
      <protection hidden="1"/>
    </xf>
    <xf numFmtId="166" fontId="213" fillId="54" borderId="203" xfId="13" applyNumberFormat="1" applyFont="1" applyFill="1" applyBorder="1" applyAlignment="1" applyProtection="1">
      <alignment horizontal="center" vertical="center"/>
      <protection hidden="1"/>
    </xf>
    <xf numFmtId="166" fontId="213" fillId="54" borderId="265" xfId="13" applyNumberFormat="1" applyFont="1" applyFill="1" applyBorder="1" applyAlignment="1" applyProtection="1">
      <alignment horizontal="center" vertical="center"/>
      <protection hidden="1"/>
    </xf>
    <xf numFmtId="166" fontId="213" fillId="54" borderId="604" xfId="13" applyNumberFormat="1" applyFont="1" applyFill="1" applyBorder="1" applyAlignment="1" applyProtection="1">
      <alignment horizontal="center" vertical="center"/>
      <protection hidden="1"/>
    </xf>
    <xf numFmtId="166" fontId="213" fillId="54" borderId="133" xfId="13" applyNumberFormat="1" applyFont="1" applyFill="1" applyBorder="1" applyAlignment="1" applyProtection="1">
      <alignment horizontal="center" vertical="center"/>
      <protection hidden="1"/>
    </xf>
    <xf numFmtId="166" fontId="213" fillId="54" borderId="605" xfId="13" applyNumberFormat="1" applyFont="1" applyFill="1" applyBorder="1" applyAlignment="1" applyProtection="1">
      <alignment horizontal="center" vertical="center"/>
      <protection hidden="1"/>
    </xf>
    <xf numFmtId="0" fontId="279" fillId="0" borderId="274" xfId="0" applyFont="1" applyBorder="1" applyAlignment="1" applyProtection="1">
      <alignment horizontal="left" vertical="center" wrapText="1"/>
      <protection locked="0" hidden="1"/>
    </xf>
    <xf numFmtId="0" fontId="279" fillId="0" borderId="250" xfId="0" applyFont="1" applyBorder="1" applyAlignment="1">
      <alignment horizontal="left" vertical="center" wrapText="1"/>
    </xf>
    <xf numFmtId="0" fontId="0" fillId="0" borderId="250" xfId="0" applyBorder="1" applyAlignment="1">
      <alignment horizontal="left" vertical="center" wrapText="1"/>
    </xf>
    <xf numFmtId="0" fontId="278" fillId="0" borderId="0" xfId="0" applyFont="1" applyBorder="1" applyAlignment="1" applyProtection="1">
      <alignment horizontal="left" vertical="center"/>
      <protection locked="0"/>
    </xf>
    <xf numFmtId="0" fontId="185" fillId="59" borderId="149" xfId="0" applyFont="1" applyFill="1" applyBorder="1" applyAlignment="1" applyProtection="1">
      <alignment horizontal="center" vertical="center" wrapText="1"/>
      <protection hidden="1"/>
    </xf>
    <xf numFmtId="0" fontId="185" fillId="59" borderId="137" xfId="0" applyFont="1" applyFill="1" applyBorder="1" applyAlignment="1" applyProtection="1">
      <alignment horizontal="center" vertical="center" wrapText="1"/>
      <protection hidden="1"/>
    </xf>
    <xf numFmtId="0" fontId="190" fillId="59" borderId="136" xfId="0" applyFont="1" applyFill="1" applyBorder="1" applyAlignment="1" applyProtection="1">
      <alignment horizontal="center" vertical="center"/>
      <protection hidden="1"/>
    </xf>
    <xf numFmtId="0" fontId="190" fillId="59" borderId="137" xfId="0" applyFont="1" applyFill="1" applyBorder="1" applyAlignment="1" applyProtection="1">
      <alignment horizontal="center" vertical="center"/>
      <protection hidden="1"/>
    </xf>
    <xf numFmtId="0" fontId="185" fillId="59" borderId="136" xfId="0" applyFont="1" applyFill="1" applyBorder="1" applyAlignment="1" applyProtection="1">
      <alignment horizontal="center" vertical="center"/>
      <protection hidden="1"/>
    </xf>
    <xf numFmtId="0" fontId="185" fillId="59" borderId="137" xfId="0" applyFont="1" applyFill="1" applyBorder="1" applyAlignment="1" applyProtection="1">
      <alignment horizontal="center" vertical="center"/>
      <protection hidden="1"/>
    </xf>
    <xf numFmtId="0" fontId="185" fillId="59" borderId="404" xfId="0" applyFont="1" applyFill="1" applyBorder="1" applyAlignment="1" applyProtection="1">
      <alignment horizontal="center" vertical="center"/>
      <protection hidden="1"/>
    </xf>
    <xf numFmtId="215" fontId="361" fillId="0" borderId="0" xfId="0" applyNumberFormat="1" applyFont="1" applyFill="1" applyBorder="1" applyAlignment="1" applyProtection="1">
      <alignment horizontal="left" vertical="center"/>
      <protection hidden="1"/>
    </xf>
    <xf numFmtId="0" fontId="427" fillId="0" borderId="0" xfId="0" applyFont="1" applyFill="1" applyBorder="1" applyAlignment="1" applyProtection="1">
      <alignment horizontal="left" vertical="center" wrapText="1" indent="4"/>
      <protection locked="0"/>
    </xf>
    <xf numFmtId="0" fontId="427" fillId="0" borderId="0" xfId="0" applyFont="1" applyBorder="1" applyAlignment="1">
      <alignment horizontal="left" vertical="center" wrapText="1" indent="4"/>
    </xf>
    <xf numFmtId="0" fontId="427" fillId="0" borderId="264" xfId="0" applyFont="1" applyBorder="1" applyAlignment="1">
      <alignment horizontal="left" vertical="center" wrapText="1" indent="4"/>
    </xf>
    <xf numFmtId="214" fontId="517" fillId="0" borderId="0" xfId="0" applyNumberFormat="1" applyFont="1" applyFill="1" applyBorder="1" applyAlignment="1" applyProtection="1">
      <alignment horizontal="left" vertical="center"/>
      <protection hidden="1"/>
    </xf>
    <xf numFmtId="0" fontId="34" fillId="54" borderId="136" xfId="0" applyFont="1" applyFill="1" applyBorder="1" applyAlignment="1" applyProtection="1">
      <alignment horizontal="center" vertical="center"/>
      <protection hidden="1"/>
    </xf>
    <xf numFmtId="0" fontId="34" fillId="54" borderId="137" xfId="0" applyFont="1" applyFill="1" applyBorder="1" applyAlignment="1" applyProtection="1">
      <alignment horizontal="center" vertical="center"/>
      <protection hidden="1"/>
    </xf>
    <xf numFmtId="0" fontId="34" fillId="54" borderId="135" xfId="0" applyFont="1" applyFill="1" applyBorder="1" applyAlignment="1" applyProtection="1">
      <alignment horizontal="center" vertical="center"/>
      <protection hidden="1"/>
    </xf>
    <xf numFmtId="0" fontId="274" fillId="46" borderId="136" xfId="16" applyFont="1" applyFill="1" applyBorder="1" applyAlignment="1" applyProtection="1">
      <alignment horizontal="left" vertical="center" indent="1"/>
      <protection locked="0"/>
    </xf>
    <xf numFmtId="0" fontId="20" fillId="88" borderId="243" xfId="23" applyFont="1" applyFill="1" applyBorder="1" applyAlignment="1" applyProtection="1">
      <alignment horizontal="center" vertical="center"/>
      <protection hidden="1"/>
    </xf>
    <xf numFmtId="0" fontId="20" fillId="88" borderId="246" xfId="23" applyFont="1" applyFill="1" applyBorder="1" applyAlignment="1" applyProtection="1">
      <alignment horizontal="center" vertical="center"/>
      <protection hidden="1"/>
    </xf>
    <xf numFmtId="1" fontId="252" fillId="65" borderId="136" xfId="23" applyNumberFormat="1" applyFont="1" applyFill="1" applyBorder="1" applyAlignment="1" applyProtection="1">
      <alignment horizontal="center" vertical="center"/>
      <protection hidden="1"/>
    </xf>
    <xf numFmtId="1" fontId="252" fillId="65" borderId="137" xfId="23" applyNumberFormat="1" applyFont="1" applyFill="1" applyBorder="1" applyAlignment="1" applyProtection="1">
      <alignment horizontal="center" vertical="center"/>
      <protection hidden="1"/>
    </xf>
    <xf numFmtId="1" fontId="252" fillId="65" borderId="135" xfId="23" applyNumberFormat="1" applyFont="1" applyFill="1" applyBorder="1" applyAlignment="1" applyProtection="1">
      <alignment horizontal="center" vertical="center"/>
      <protection hidden="1"/>
    </xf>
    <xf numFmtId="1" fontId="252" fillId="65" borderId="390" xfId="23" applyNumberFormat="1" applyFont="1" applyFill="1" applyBorder="1" applyAlignment="1" applyProtection="1">
      <alignment horizontal="center" vertical="center" wrapText="1"/>
      <protection hidden="1"/>
    </xf>
    <xf numFmtId="1" fontId="252" fillId="65" borderId="545" xfId="23" applyNumberFormat="1" applyFont="1" applyFill="1" applyBorder="1" applyAlignment="1" applyProtection="1">
      <alignment horizontal="center" vertical="center" wrapText="1"/>
      <protection hidden="1"/>
    </xf>
    <xf numFmtId="1" fontId="252" fillId="65" borderId="374" xfId="23" applyNumberFormat="1" applyFont="1" applyFill="1" applyBorder="1" applyAlignment="1" applyProtection="1">
      <alignment horizontal="center" vertical="center"/>
      <protection hidden="1"/>
    </xf>
    <xf numFmtId="1" fontId="252" fillId="65" borderId="223" xfId="23" applyNumberFormat="1" applyFont="1" applyFill="1" applyBorder="1" applyAlignment="1" applyProtection="1">
      <alignment horizontal="center" vertical="center" wrapText="1"/>
      <protection hidden="1"/>
    </xf>
    <xf numFmtId="1" fontId="252" fillId="65" borderId="372" xfId="23" applyNumberFormat="1" applyFont="1" applyFill="1" applyBorder="1" applyAlignment="1" applyProtection="1">
      <alignment horizontal="center" vertical="center" wrapText="1"/>
      <protection hidden="1"/>
    </xf>
    <xf numFmtId="1" fontId="252" fillId="65" borderId="248" xfId="23" applyNumberFormat="1" applyFont="1" applyFill="1" applyBorder="1" applyAlignment="1" applyProtection="1">
      <alignment horizontal="center" vertical="center" wrapText="1"/>
      <protection hidden="1"/>
    </xf>
    <xf numFmtId="0" fontId="246" fillId="0" borderId="163" xfId="0" applyFont="1" applyFill="1" applyBorder="1" applyAlignment="1" applyProtection="1">
      <alignment horizontal="left" vertical="center" indent="1"/>
      <protection hidden="1"/>
    </xf>
    <xf numFmtId="0" fontId="246" fillId="0" borderId="269" xfId="0" applyFont="1" applyFill="1" applyBorder="1" applyAlignment="1" applyProtection="1">
      <alignment horizontal="left" vertical="center" indent="1"/>
      <protection hidden="1"/>
    </xf>
    <xf numFmtId="0" fontId="246" fillId="0" borderId="164" xfId="0" applyFont="1" applyFill="1" applyBorder="1" applyAlignment="1" applyProtection="1">
      <alignment horizontal="left" vertical="center" indent="1"/>
      <protection hidden="1"/>
    </xf>
    <xf numFmtId="0" fontId="246" fillId="0" borderId="165" xfId="0" applyFont="1" applyFill="1" applyBorder="1" applyAlignment="1" applyProtection="1">
      <alignment horizontal="left" vertical="center" indent="1"/>
      <protection hidden="1"/>
    </xf>
    <xf numFmtId="0" fontId="246" fillId="0" borderId="116" xfId="0" applyFont="1" applyFill="1" applyBorder="1" applyAlignment="1" applyProtection="1">
      <alignment horizontal="left" vertical="center" indent="1"/>
      <protection hidden="1"/>
    </xf>
    <xf numFmtId="0" fontId="246" fillId="0" borderId="268" xfId="0" applyFont="1" applyFill="1" applyBorder="1" applyAlignment="1" applyProtection="1">
      <alignment horizontal="left" vertical="center" indent="1"/>
      <protection hidden="1"/>
    </xf>
    <xf numFmtId="0" fontId="246" fillId="0" borderId="117" xfId="0" applyFont="1" applyFill="1" applyBorder="1" applyAlignment="1" applyProtection="1">
      <alignment horizontal="left" vertical="center" indent="1"/>
      <protection hidden="1"/>
    </xf>
    <xf numFmtId="0" fontId="246" fillId="0" borderId="118" xfId="0" applyFont="1" applyFill="1" applyBorder="1" applyAlignment="1" applyProtection="1">
      <alignment horizontal="left" vertical="center" indent="1"/>
      <protection hidden="1"/>
    </xf>
    <xf numFmtId="0" fontId="246" fillId="0" borderId="270" xfId="0" applyFont="1" applyFill="1" applyBorder="1" applyAlignment="1" applyProtection="1">
      <alignment horizontal="left" vertical="center" indent="1"/>
      <protection hidden="1"/>
    </xf>
    <xf numFmtId="0" fontId="246" fillId="0" borderId="120" xfId="0" applyFont="1" applyBorder="1" applyAlignment="1" applyProtection="1">
      <alignment horizontal="left" vertical="center" indent="1"/>
      <protection hidden="1"/>
    </xf>
    <xf numFmtId="0" fontId="246" fillId="0" borderId="121" xfId="0" applyFont="1" applyBorder="1" applyAlignment="1" applyProtection="1">
      <alignment horizontal="left" vertical="center" indent="1"/>
      <protection hidden="1"/>
    </xf>
    <xf numFmtId="0" fontId="246" fillId="0" borderId="164" xfId="0" applyFont="1" applyBorder="1" applyAlignment="1" applyProtection="1">
      <alignment horizontal="left" vertical="center" indent="1"/>
      <protection hidden="1"/>
    </xf>
    <xf numFmtId="0" fontId="246" fillId="0" borderId="165" xfId="0" applyFont="1" applyBorder="1" applyAlignment="1" applyProtection="1">
      <alignment horizontal="left" vertical="center" indent="1"/>
      <protection hidden="1"/>
    </xf>
    <xf numFmtId="0" fontId="246" fillId="46" borderId="163" xfId="0" applyFont="1" applyFill="1" applyBorder="1" applyAlignment="1" applyProtection="1">
      <alignment horizontal="left" vertical="center" indent="1"/>
      <protection hidden="1"/>
    </xf>
    <xf numFmtId="0" fontId="246" fillId="46" borderId="269" xfId="0" applyFont="1" applyFill="1" applyBorder="1" applyAlignment="1" applyProtection="1">
      <alignment horizontal="left" vertical="center" indent="1"/>
      <protection hidden="1"/>
    </xf>
    <xf numFmtId="0" fontId="246" fillId="46" borderId="164" xfId="0" applyFont="1" applyFill="1" applyBorder="1" applyAlignment="1" applyProtection="1">
      <alignment horizontal="left" vertical="center" indent="1"/>
      <protection hidden="1"/>
    </xf>
    <xf numFmtId="0" fontId="246" fillId="46" borderId="165" xfId="0" applyFont="1" applyFill="1" applyBorder="1" applyAlignment="1" applyProtection="1">
      <alignment horizontal="left" vertical="center" indent="1"/>
      <protection hidden="1"/>
    </xf>
    <xf numFmtId="0" fontId="430" fillId="0" borderId="0" xfId="0" applyFont="1" applyFill="1" applyBorder="1" applyAlignment="1" applyProtection="1">
      <alignment horizontal="left" vertical="center" wrapText="1" indent="1"/>
      <protection hidden="1"/>
    </xf>
    <xf numFmtId="0" fontId="253" fillId="54" borderId="618" xfId="0" applyFont="1" applyFill="1" applyBorder="1" applyAlignment="1" applyProtection="1">
      <alignment horizontal="center" vertical="center" wrapText="1"/>
      <protection hidden="1"/>
    </xf>
    <xf numFmtId="0" fontId="253" fillId="54" borderId="624" xfId="0" applyFont="1" applyFill="1" applyBorder="1" applyAlignment="1" applyProtection="1">
      <alignment horizontal="center" vertical="center" wrapText="1"/>
      <protection hidden="1"/>
    </xf>
    <xf numFmtId="0" fontId="253" fillId="54" borderId="623" xfId="0" applyFont="1" applyFill="1" applyBorder="1" applyAlignment="1" applyProtection="1">
      <alignment horizontal="center" vertical="center" wrapText="1"/>
      <protection hidden="1"/>
    </xf>
    <xf numFmtId="0" fontId="253" fillId="54" borderId="628" xfId="0" applyFont="1" applyFill="1" applyBorder="1" applyAlignment="1" applyProtection="1">
      <alignment horizontal="center" vertical="center" wrapText="1"/>
      <protection hidden="1"/>
    </xf>
    <xf numFmtId="0" fontId="213" fillId="54" borderId="222" xfId="13" quotePrefix="1" applyFont="1" applyFill="1" applyBorder="1" applyAlignment="1" applyProtection="1">
      <alignment horizontal="center" vertical="center"/>
      <protection hidden="1"/>
    </xf>
    <xf numFmtId="3" fontId="426" fillId="0" borderId="224" xfId="0" applyNumberFormat="1" applyFont="1" applyFill="1" applyBorder="1" applyAlignment="1" applyProtection="1">
      <alignment horizontal="right" vertical="center" indent="1"/>
      <protection hidden="1"/>
    </xf>
    <xf numFmtId="0" fontId="279" fillId="0" borderId="307" xfId="0" applyFont="1" applyFill="1" applyBorder="1" applyAlignment="1">
      <alignment horizontal="right" indent="1"/>
    </xf>
    <xf numFmtId="0" fontId="213" fillId="54" borderId="631" xfId="13" applyFont="1" applyFill="1" applyBorder="1" applyAlignment="1" applyProtection="1">
      <alignment horizontal="center" vertical="center"/>
      <protection hidden="1"/>
    </xf>
    <xf numFmtId="0" fontId="213" fillId="54" borderId="619" xfId="13" applyFont="1" applyFill="1" applyBorder="1" applyAlignment="1" applyProtection="1">
      <alignment horizontal="center" vertical="center"/>
      <protection hidden="1"/>
    </xf>
    <xf numFmtId="0" fontId="213" fillId="54" borderId="632" xfId="13" applyFont="1" applyFill="1" applyBorder="1" applyAlignment="1" applyProtection="1">
      <alignment horizontal="center" vertical="center"/>
      <protection hidden="1"/>
    </xf>
    <xf numFmtId="0" fontId="213" fillId="54" borderId="633" xfId="13" applyFont="1" applyFill="1" applyBorder="1" applyAlignment="1" applyProtection="1">
      <alignment horizontal="center" vertical="center"/>
      <protection hidden="1"/>
    </xf>
    <xf numFmtId="0" fontId="213" fillId="54" borderId="629" xfId="13" applyFont="1" applyFill="1" applyBorder="1" applyAlignment="1" applyProtection="1">
      <alignment horizontal="center" vertical="center"/>
      <protection hidden="1"/>
    </xf>
    <xf numFmtId="0" fontId="213" fillId="54" borderId="630" xfId="13" applyFont="1" applyFill="1" applyBorder="1" applyAlignment="1" applyProtection="1">
      <alignment horizontal="center" vertical="center"/>
      <protection hidden="1"/>
    </xf>
    <xf numFmtId="0" fontId="279" fillId="0" borderId="167" xfId="0" applyFont="1" applyBorder="1" applyAlignment="1" applyProtection="1">
      <alignment horizontal="left" vertical="center" indent="1"/>
      <protection locked="0"/>
    </xf>
    <xf numFmtId="0" fontId="279" fillId="0" borderId="161" xfId="0" applyFont="1" applyBorder="1" applyAlignment="1" applyProtection="1">
      <alignment horizontal="left" vertical="center" indent="1"/>
      <protection locked="0"/>
    </xf>
    <xf numFmtId="0" fontId="253" fillId="54" borderId="621" xfId="0" applyFont="1" applyFill="1" applyBorder="1" applyAlignment="1" applyProtection="1">
      <alignment horizontal="center" vertical="center" wrapText="1"/>
      <protection hidden="1"/>
    </xf>
    <xf numFmtId="0" fontId="253" fillId="54" borderId="626" xfId="0" applyFont="1" applyFill="1" applyBorder="1" applyAlignment="1" applyProtection="1">
      <alignment horizontal="center" vertical="center" wrapText="1"/>
      <protection hidden="1"/>
    </xf>
    <xf numFmtId="0" fontId="279" fillId="0" borderId="167" xfId="0" applyFont="1" applyBorder="1" applyAlignment="1" applyProtection="1">
      <alignment horizontal="left" vertical="center" indent="1"/>
      <protection hidden="1"/>
    </xf>
    <xf numFmtId="0" fontId="279" fillId="0" borderId="161" xfId="0" applyFont="1" applyBorder="1" applyAlignment="1" applyProtection="1">
      <alignment horizontal="left" vertical="center" indent="1"/>
      <protection hidden="1"/>
    </xf>
    <xf numFmtId="166" fontId="283" fillId="0" borderId="0" xfId="0" applyNumberFormat="1" applyFont="1" applyBorder="1" applyAlignment="1" applyProtection="1">
      <alignment horizontal="left" vertical="center"/>
      <protection hidden="1"/>
    </xf>
    <xf numFmtId="3" fontId="305" fillId="0" borderId="0" xfId="0" applyNumberFormat="1" applyFont="1" applyBorder="1" applyAlignment="1" applyProtection="1">
      <alignment horizontal="right" vertical="center" indent="1"/>
      <protection hidden="1"/>
    </xf>
    <xf numFmtId="0" fontId="190" fillId="54" borderId="222" xfId="0" applyFont="1" applyFill="1" applyBorder="1" applyAlignment="1" applyProtection="1">
      <alignment horizontal="center" vertical="center" wrapText="1"/>
      <protection hidden="1"/>
    </xf>
    <xf numFmtId="0" fontId="190" fillId="54" borderId="596" xfId="0" applyFont="1" applyFill="1" applyBorder="1" applyAlignment="1" applyProtection="1">
      <alignment horizontal="center" vertical="center" wrapText="1"/>
      <protection hidden="1"/>
    </xf>
    <xf numFmtId="0" fontId="252" fillId="54" borderId="313" xfId="0" applyFont="1" applyFill="1" applyBorder="1" applyAlignment="1" applyProtection="1">
      <alignment horizontal="center" vertical="center" wrapText="1"/>
      <protection hidden="1"/>
    </xf>
    <xf numFmtId="0" fontId="252" fillId="54" borderId="203" xfId="0" applyFont="1" applyFill="1" applyBorder="1" applyAlignment="1" applyProtection="1">
      <alignment horizontal="center" vertical="center" wrapText="1"/>
      <protection hidden="1"/>
    </xf>
    <xf numFmtId="0" fontId="252" fillId="54" borderId="604" xfId="0" applyFont="1" applyFill="1" applyBorder="1" applyAlignment="1" applyProtection="1">
      <alignment horizontal="center" vertical="center" wrapText="1"/>
      <protection hidden="1"/>
    </xf>
    <xf numFmtId="0" fontId="252" fillId="54" borderId="133" xfId="0" applyFont="1" applyFill="1" applyBorder="1" applyAlignment="1" applyProtection="1">
      <alignment horizontal="center" vertical="center" wrapText="1"/>
      <protection hidden="1"/>
    </xf>
    <xf numFmtId="3" fontId="279" fillId="0" borderId="72" xfId="0" applyNumberFormat="1" applyFont="1" applyFill="1" applyBorder="1" applyAlignment="1" applyProtection="1">
      <alignment horizontal="left" vertical="center" indent="1"/>
      <protection hidden="1"/>
    </xf>
    <xf numFmtId="3" fontId="279" fillId="0" borderId="160" xfId="0" applyNumberFormat="1" applyFont="1" applyFill="1" applyBorder="1" applyAlignment="1" applyProtection="1">
      <alignment horizontal="left" vertical="center" indent="1"/>
      <protection hidden="1"/>
    </xf>
    <xf numFmtId="0" fontId="279" fillId="0" borderId="160" xfId="0" applyFont="1" applyFill="1" applyBorder="1" applyAlignment="1" applyProtection="1">
      <alignment horizontal="left" vertical="center" indent="1"/>
      <protection hidden="1"/>
    </xf>
    <xf numFmtId="0" fontId="279" fillId="0" borderId="323" xfId="0" applyFont="1" applyFill="1" applyBorder="1" applyAlignment="1" applyProtection="1">
      <alignment horizontal="left" vertical="center" indent="1"/>
      <protection hidden="1"/>
    </xf>
    <xf numFmtId="3" fontId="279" fillId="0" borderId="71" xfId="0" applyNumberFormat="1" applyFont="1" applyFill="1" applyBorder="1" applyAlignment="1" applyProtection="1">
      <alignment horizontal="left" vertical="center" indent="1"/>
      <protection hidden="1"/>
    </xf>
    <xf numFmtId="3" fontId="279" fillId="0" borderId="203" xfId="0" applyNumberFormat="1" applyFont="1" applyFill="1" applyBorder="1" applyAlignment="1" applyProtection="1">
      <alignment horizontal="left" vertical="center" indent="1"/>
      <protection hidden="1"/>
    </xf>
    <xf numFmtId="0" fontId="279" fillId="0" borderId="203" xfId="0" applyFont="1" applyFill="1" applyBorder="1" applyAlignment="1" applyProtection="1">
      <alignment horizontal="left" vertical="center" indent="1"/>
      <protection hidden="1"/>
    </xf>
    <xf numFmtId="0" fontId="279" fillId="0" borderId="172" xfId="0" applyFont="1" applyFill="1" applyBorder="1" applyAlignment="1" applyProtection="1">
      <alignment horizontal="left" vertical="center" indent="1"/>
      <protection hidden="1"/>
    </xf>
    <xf numFmtId="3" fontId="279" fillId="0" borderId="167" xfId="0" applyNumberFormat="1" applyFont="1" applyFill="1" applyBorder="1" applyAlignment="1" applyProtection="1">
      <alignment horizontal="left" vertical="center" indent="1"/>
      <protection hidden="1"/>
    </xf>
    <xf numFmtId="0" fontId="217" fillId="0" borderId="0" xfId="0" applyFont="1" applyFill="1" applyBorder="1" applyAlignment="1" applyProtection="1">
      <alignment vertical="center"/>
      <protection locked="0"/>
    </xf>
    <xf numFmtId="0" fontId="279" fillId="0" borderId="167" xfId="0" applyFont="1" applyFill="1" applyBorder="1" applyAlignment="1" applyProtection="1">
      <alignment horizontal="left" vertical="center" indent="1"/>
      <protection hidden="1"/>
    </xf>
    <xf numFmtId="0" fontId="279" fillId="0" borderId="161" xfId="0" applyFont="1" applyFill="1" applyBorder="1" applyAlignment="1" applyProtection="1">
      <alignment horizontal="left" vertical="center" indent="1"/>
      <protection hidden="1"/>
    </xf>
    <xf numFmtId="0" fontId="279" fillId="0" borderId="245" xfId="0" applyFont="1" applyFill="1" applyBorder="1" applyAlignment="1" applyProtection="1">
      <alignment horizontal="left" vertical="center" indent="1"/>
      <protection hidden="1"/>
    </xf>
    <xf numFmtId="0" fontId="170" fillId="0" borderId="136" xfId="0" applyFont="1" applyFill="1" applyBorder="1" applyAlignment="1" applyProtection="1">
      <alignment horizontal="left" vertical="center" wrapText="1" indent="1"/>
      <protection hidden="1"/>
    </xf>
    <xf numFmtId="0" fontId="170" fillId="0" borderId="137" xfId="0" applyFont="1" applyFill="1" applyBorder="1" applyAlignment="1" applyProtection="1">
      <alignment horizontal="left" vertical="center" wrapText="1" indent="1"/>
      <protection hidden="1"/>
    </xf>
    <xf numFmtId="0" fontId="253" fillId="54" borderId="622" xfId="0" applyFont="1" applyFill="1" applyBorder="1" applyAlignment="1" applyProtection="1">
      <alignment horizontal="center" vertical="center" wrapText="1"/>
      <protection hidden="1"/>
    </xf>
    <xf numFmtId="0" fontId="253" fillId="54" borderId="627" xfId="0" applyFont="1" applyFill="1" applyBorder="1" applyAlignment="1" applyProtection="1">
      <alignment horizontal="center" vertical="center" wrapText="1"/>
      <protection hidden="1"/>
    </xf>
    <xf numFmtId="0" fontId="200" fillId="54" borderId="620" xfId="0" applyFont="1" applyFill="1" applyBorder="1" applyAlignment="1" applyProtection="1">
      <alignment horizontal="center" vertical="center" wrapText="1"/>
      <protection hidden="1"/>
    </xf>
    <xf numFmtId="0" fontId="200" fillId="54" borderId="625" xfId="0" applyFont="1" applyFill="1" applyBorder="1" applyAlignment="1" applyProtection="1">
      <alignment horizontal="center" vertical="center" wrapText="1"/>
      <protection hidden="1"/>
    </xf>
    <xf numFmtId="0" fontId="427" fillId="46" borderId="354" xfId="0" applyFont="1" applyFill="1" applyBorder="1" applyAlignment="1" applyProtection="1">
      <alignment horizontal="left" vertical="center"/>
      <protection hidden="1"/>
    </xf>
    <xf numFmtId="0" fontId="427" fillId="46" borderId="350" xfId="0" applyFont="1" applyFill="1" applyBorder="1" applyAlignment="1" applyProtection="1">
      <alignment horizontal="left" vertical="center"/>
      <protection hidden="1"/>
    </xf>
    <xf numFmtId="0" fontId="427" fillId="46" borderId="370" xfId="0" applyFont="1" applyFill="1" applyBorder="1" applyAlignment="1" applyProtection="1">
      <alignment horizontal="left" vertical="center"/>
      <protection hidden="1"/>
    </xf>
    <xf numFmtId="166" fontId="305" fillId="0" borderId="0" xfId="0" applyNumberFormat="1" applyFont="1" applyFill="1" applyBorder="1" applyAlignment="1" applyProtection="1">
      <alignment horizontal="left" vertical="center" wrapText="1"/>
      <protection hidden="1"/>
    </xf>
    <xf numFmtId="168" fontId="214" fillId="71" borderId="71" xfId="0" applyNumberFormat="1" applyFont="1" applyFill="1" applyBorder="1" applyAlignment="1" applyProtection="1">
      <alignment horizontal="center" vertical="center"/>
      <protection hidden="1"/>
    </xf>
    <xf numFmtId="168" fontId="214" fillId="71" borderId="203" xfId="0" applyNumberFormat="1" applyFont="1" applyFill="1" applyBorder="1" applyAlignment="1" applyProtection="1">
      <alignment horizontal="center" vertical="center"/>
      <protection hidden="1"/>
    </xf>
    <xf numFmtId="0" fontId="198" fillId="0" borderId="0" xfId="32" applyFont="1" applyBorder="1" applyAlignment="1" applyProtection="1">
      <alignment horizontal="right" vertical="center"/>
    </xf>
    <xf numFmtId="0" fontId="351" fillId="0" borderId="0" xfId="0" applyFont="1" applyBorder="1" applyAlignment="1">
      <alignment horizontal="right" vertical="center" wrapText="1"/>
    </xf>
    <xf numFmtId="168" fontId="214" fillId="71" borderId="167" xfId="0" applyNumberFormat="1" applyFont="1" applyFill="1" applyBorder="1" applyAlignment="1" applyProtection="1">
      <alignment horizontal="center" vertical="center"/>
      <protection hidden="1"/>
    </xf>
    <xf numFmtId="168" fontId="214" fillId="71" borderId="161" xfId="0" applyNumberFormat="1" applyFont="1" applyFill="1" applyBorder="1" applyAlignment="1" applyProtection="1">
      <alignment horizontal="center" vertical="center"/>
      <protection hidden="1"/>
    </xf>
    <xf numFmtId="166" fontId="104" fillId="0" borderId="203" xfId="0" applyNumberFormat="1" applyFont="1" applyFill="1" applyBorder="1" applyAlignment="1" applyProtection="1">
      <alignment horizontal="center" vertical="center" wrapText="1"/>
      <protection hidden="1"/>
    </xf>
    <xf numFmtId="0" fontId="252" fillId="54" borderId="172" xfId="0" applyFont="1" applyFill="1" applyBorder="1" applyAlignment="1" applyProtection="1">
      <alignment horizontal="center" vertical="center" wrapText="1"/>
      <protection hidden="1"/>
    </xf>
    <xf numFmtId="0" fontId="252" fillId="54" borderId="183" xfId="0" applyFont="1" applyFill="1" applyBorder="1" applyAlignment="1" applyProtection="1">
      <alignment horizontal="center" vertical="center" wrapText="1"/>
      <protection hidden="1"/>
    </xf>
    <xf numFmtId="0" fontId="292" fillId="0" borderId="224" xfId="0" applyFont="1" applyBorder="1" applyAlignment="1" applyProtection="1">
      <alignment horizontal="left" vertical="center" wrapText="1"/>
      <protection hidden="1"/>
    </xf>
    <xf numFmtId="0" fontId="292" fillId="0" borderId="0" xfId="0" applyFont="1" applyBorder="1" applyAlignment="1" applyProtection="1">
      <alignment horizontal="left" vertical="center" wrapText="1"/>
      <protection hidden="1"/>
    </xf>
    <xf numFmtId="0" fontId="279" fillId="46" borderId="185" xfId="0" applyFont="1" applyFill="1" applyBorder="1" applyAlignment="1" applyProtection="1">
      <alignment vertical="center"/>
      <protection hidden="1"/>
    </xf>
    <xf numFmtId="0" fontId="0" fillId="0" borderId="90" xfId="0" applyBorder="1" applyAlignment="1" applyProtection="1">
      <alignment vertical="center"/>
      <protection hidden="1"/>
    </xf>
    <xf numFmtId="0" fontId="279" fillId="0" borderId="238" xfId="0" applyFont="1" applyBorder="1" applyAlignment="1" applyProtection="1">
      <alignment vertical="center"/>
      <protection hidden="1"/>
    </xf>
    <xf numFmtId="0" fontId="0" fillId="0" borderId="209" xfId="0" applyBorder="1" applyAlignment="1" applyProtection="1">
      <alignment horizontal="right"/>
      <protection hidden="1"/>
    </xf>
    <xf numFmtId="0" fontId="0" fillId="0" borderId="266" xfId="0" applyBorder="1" applyAlignment="1" applyProtection="1">
      <alignment horizontal="right"/>
      <protection hidden="1"/>
    </xf>
    <xf numFmtId="0" fontId="292" fillId="0" borderId="316" xfId="0" applyFont="1" applyBorder="1" applyAlignment="1" applyProtection="1">
      <alignment horizontal="left" vertical="center"/>
      <protection hidden="1"/>
    </xf>
    <xf numFmtId="0" fontId="0" fillId="0" borderId="233" xfId="0" applyBorder="1" applyAlignment="1" applyProtection="1">
      <alignment horizontal="right"/>
      <protection hidden="1"/>
    </xf>
    <xf numFmtId="0" fontId="0" fillId="0" borderId="256" xfId="0" applyBorder="1" applyAlignment="1" applyProtection="1">
      <alignment horizontal="right"/>
      <protection hidden="1"/>
    </xf>
    <xf numFmtId="0" fontId="292" fillId="0" borderId="167" xfId="0" applyFont="1" applyBorder="1" applyAlignment="1" applyProtection="1">
      <alignment horizontal="left" vertical="center"/>
      <protection hidden="1"/>
    </xf>
    <xf numFmtId="0" fontId="292" fillId="0" borderId="161" xfId="0" applyFont="1" applyBorder="1" applyAlignment="1" applyProtection="1">
      <alignment horizontal="left" vertical="center"/>
      <protection hidden="1"/>
    </xf>
    <xf numFmtId="0" fontId="292" fillId="0" borderId="245" xfId="0" applyFont="1" applyBorder="1" applyAlignment="1" applyProtection="1">
      <alignment horizontal="left" vertical="center"/>
      <protection hidden="1"/>
    </xf>
    <xf numFmtId="0" fontId="292" fillId="0" borderId="258" xfId="0" applyFont="1" applyBorder="1" applyAlignment="1" applyProtection="1">
      <alignment horizontal="left" vertical="center"/>
      <protection hidden="1"/>
    </xf>
    <xf numFmtId="0" fontId="292" fillId="0" borderId="206" xfId="0" applyFont="1" applyBorder="1" applyAlignment="1" applyProtection="1">
      <alignment horizontal="left" vertical="center"/>
      <protection hidden="1"/>
    </xf>
    <xf numFmtId="0" fontId="292" fillId="0" borderId="260" xfId="0" applyFont="1" applyBorder="1" applyAlignment="1" applyProtection="1">
      <alignment horizontal="left" vertical="center"/>
      <protection hidden="1"/>
    </xf>
    <xf numFmtId="0" fontId="292" fillId="0" borderId="316" xfId="0" applyFont="1" applyBorder="1" applyAlignment="1" applyProtection="1">
      <alignment horizontal="left" vertical="center" wrapText="1"/>
      <protection hidden="1"/>
    </xf>
    <xf numFmtId="0" fontId="292" fillId="0" borderId="233" xfId="0" applyFont="1" applyBorder="1" applyAlignment="1" applyProtection="1">
      <alignment horizontal="left" vertical="center" wrapText="1"/>
      <protection hidden="1"/>
    </xf>
    <xf numFmtId="0" fontId="0" fillId="0" borderId="403" xfId="0" applyBorder="1" applyAlignment="1" applyProtection="1">
      <alignment horizontal="right" vertical="center" wrapText="1"/>
      <protection hidden="1"/>
    </xf>
    <xf numFmtId="0" fontId="190" fillId="89" borderId="71" xfId="0" applyFont="1" applyFill="1" applyBorder="1" applyAlignment="1" applyProtection="1">
      <alignment horizontal="center" vertical="center" wrapText="1"/>
      <protection hidden="1"/>
    </xf>
    <xf numFmtId="0" fontId="190" fillId="89" borderId="172" xfId="0" applyFont="1" applyFill="1" applyBorder="1" applyAlignment="1" applyProtection="1">
      <alignment horizontal="center" vertical="center" wrapText="1"/>
      <protection hidden="1"/>
    </xf>
    <xf numFmtId="0" fontId="190" fillId="89" borderId="224" xfId="0" applyFont="1" applyFill="1" applyBorder="1" applyAlignment="1" applyProtection="1">
      <alignment horizontal="center" vertical="center" wrapText="1"/>
      <protection hidden="1"/>
    </xf>
    <xf numFmtId="0" fontId="190" fillId="89" borderId="293" xfId="0" applyFont="1" applyFill="1" applyBorder="1" applyAlignment="1" applyProtection="1">
      <alignment horizontal="center" vertical="center" wrapText="1"/>
      <protection hidden="1"/>
    </xf>
    <xf numFmtId="3" fontId="200" fillId="59" borderId="258" xfId="0" applyNumberFormat="1" applyFont="1" applyFill="1" applyBorder="1" applyAlignment="1" applyProtection="1">
      <alignment horizontal="right" vertical="center" indent="1"/>
      <protection hidden="1"/>
    </xf>
    <xf numFmtId="3" fontId="200" fillId="59" borderId="419" xfId="0" applyNumberFormat="1" applyFont="1" applyFill="1" applyBorder="1" applyAlignment="1" applyProtection="1">
      <alignment horizontal="right" vertical="center" indent="1"/>
      <protection hidden="1"/>
    </xf>
    <xf numFmtId="3" fontId="200" fillId="65" borderId="258" xfId="0" applyNumberFormat="1" applyFont="1" applyFill="1" applyBorder="1" applyAlignment="1" applyProtection="1">
      <alignment horizontal="right" vertical="center" indent="1"/>
      <protection hidden="1"/>
    </xf>
    <xf numFmtId="3" fontId="200" fillId="65" borderId="419" xfId="0" applyNumberFormat="1" applyFont="1" applyFill="1" applyBorder="1" applyAlignment="1" applyProtection="1">
      <alignment horizontal="right" vertical="center" indent="1"/>
      <protection hidden="1"/>
    </xf>
    <xf numFmtId="0" fontId="279" fillId="0" borderId="316" xfId="0" applyFont="1" applyFill="1" applyBorder="1" applyAlignment="1" applyProtection="1">
      <alignment horizontal="left" vertical="center" wrapText="1"/>
      <protection hidden="1"/>
    </xf>
    <xf numFmtId="0" fontId="279" fillId="0" borderId="365" xfId="0" applyFont="1" applyFill="1" applyBorder="1" applyAlignment="1" applyProtection="1">
      <alignment horizontal="left" vertical="center" wrapText="1"/>
      <protection hidden="1"/>
    </xf>
    <xf numFmtId="0" fontId="285" fillId="0" borderId="316" xfId="0" applyFont="1" applyFill="1" applyBorder="1" applyAlignment="1" applyProtection="1">
      <alignment vertical="center"/>
      <protection hidden="1"/>
    </xf>
    <xf numFmtId="0" fontId="0" fillId="0" borderId="256" xfId="0" applyFill="1" applyBorder="1" applyAlignment="1" applyProtection="1">
      <alignment vertical="center"/>
      <protection hidden="1"/>
    </xf>
    <xf numFmtId="0" fontId="279" fillId="46" borderId="365" xfId="0" quotePrefix="1" applyFont="1" applyFill="1" applyBorder="1" applyAlignment="1" applyProtection="1">
      <alignment vertical="center"/>
      <protection hidden="1"/>
    </xf>
    <xf numFmtId="0" fontId="4" fillId="46" borderId="364" xfId="0" applyFont="1" applyFill="1" applyBorder="1" applyAlignment="1" applyProtection="1">
      <alignment vertical="center"/>
      <protection hidden="1"/>
    </xf>
    <xf numFmtId="0" fontId="190" fillId="59" borderId="375" xfId="0" applyFont="1" applyFill="1" applyBorder="1" applyAlignment="1" applyProtection="1">
      <alignment horizontal="left" vertical="center" wrapText="1" indent="1"/>
      <protection hidden="1"/>
    </xf>
    <xf numFmtId="0" fontId="190" fillId="59" borderId="376" xfId="0" applyFont="1" applyFill="1" applyBorder="1" applyAlignment="1" applyProtection="1">
      <alignment horizontal="left" vertical="center" wrapText="1" indent="1"/>
      <protection hidden="1"/>
    </xf>
    <xf numFmtId="0" fontId="190" fillId="59" borderId="377" xfId="0" applyFont="1" applyFill="1" applyBorder="1" applyAlignment="1" applyProtection="1">
      <alignment horizontal="left" vertical="center" wrapText="1" indent="1"/>
      <protection hidden="1"/>
    </xf>
    <xf numFmtId="0" fontId="190" fillId="59" borderId="378" xfId="0" applyFont="1" applyFill="1" applyBorder="1" applyAlignment="1" applyProtection="1">
      <alignment horizontal="left" vertical="center" wrapText="1" indent="1"/>
      <protection hidden="1"/>
    </xf>
    <xf numFmtId="0" fontId="190" fillId="59" borderId="414" xfId="0" applyFont="1" applyFill="1" applyBorder="1" applyAlignment="1" applyProtection="1">
      <alignment horizontal="left" vertical="center" wrapText="1" indent="1"/>
      <protection hidden="1"/>
    </xf>
    <xf numFmtId="0" fontId="190" fillId="59" borderId="190" xfId="0" applyFont="1" applyFill="1" applyBorder="1" applyAlignment="1" applyProtection="1">
      <alignment horizontal="left" vertical="center" wrapText="1" indent="1"/>
      <protection hidden="1"/>
    </xf>
    <xf numFmtId="166" fontId="279" fillId="46" borderId="365" xfId="0" applyNumberFormat="1" applyFont="1" applyFill="1" applyBorder="1" applyAlignment="1" applyProtection="1">
      <alignment horizontal="center" vertical="center"/>
      <protection hidden="1"/>
    </xf>
    <xf numFmtId="166" fontId="279" fillId="46" borderId="364" xfId="0" applyNumberFormat="1" applyFont="1" applyFill="1" applyBorder="1" applyAlignment="1" applyProtection="1">
      <alignment horizontal="center" vertical="center"/>
      <protection hidden="1"/>
    </xf>
    <xf numFmtId="166" fontId="279" fillId="46" borderId="459" xfId="0" applyNumberFormat="1" applyFont="1" applyFill="1" applyBorder="1" applyAlignment="1" applyProtection="1">
      <alignment horizontal="center" vertical="center"/>
      <protection hidden="1"/>
    </xf>
    <xf numFmtId="166" fontId="279" fillId="46" borderId="174" xfId="0" applyNumberFormat="1" applyFont="1" applyFill="1" applyBorder="1" applyAlignment="1" applyProtection="1">
      <alignment horizontal="center" vertical="center"/>
      <protection hidden="1"/>
    </xf>
    <xf numFmtId="0" fontId="279" fillId="0" borderId="224" xfId="0" applyFont="1" applyFill="1" applyBorder="1" applyAlignment="1" applyProtection="1">
      <alignment horizontal="left" vertical="center" wrapText="1"/>
      <protection hidden="1"/>
    </xf>
    <xf numFmtId="0" fontId="279" fillId="0" borderId="72" xfId="0" applyFont="1" applyFill="1" applyBorder="1" applyAlignment="1" applyProtection="1">
      <alignment horizontal="left" vertical="center" wrapText="1"/>
      <protection hidden="1"/>
    </xf>
    <xf numFmtId="0" fontId="285" fillId="0" borderId="298" xfId="0" applyFont="1" applyFill="1" applyBorder="1" applyAlignment="1" applyProtection="1">
      <alignment vertical="center"/>
      <protection hidden="1"/>
    </xf>
    <xf numFmtId="0" fontId="0" fillId="0" borderId="318" xfId="0" applyFill="1" applyBorder="1" applyAlignment="1" applyProtection="1">
      <alignment vertical="center"/>
      <protection hidden="1"/>
    </xf>
    <xf numFmtId="168" fontId="307" fillId="46" borderId="298" xfId="0" applyNumberFormat="1" applyFont="1" applyFill="1" applyBorder="1" applyAlignment="1" applyProtection="1">
      <alignment horizontal="center" vertical="center"/>
      <protection hidden="1"/>
    </xf>
    <xf numFmtId="168" fontId="307" fillId="46" borderId="318" xfId="0" applyNumberFormat="1" applyFont="1" applyFill="1" applyBorder="1" applyAlignment="1" applyProtection="1">
      <alignment horizontal="center" vertical="center"/>
      <protection hidden="1"/>
    </xf>
    <xf numFmtId="0" fontId="279" fillId="46" borderId="258" xfId="0" quotePrefix="1" applyFont="1" applyFill="1" applyBorder="1" applyAlignment="1" applyProtection="1">
      <alignment vertical="center"/>
      <protection hidden="1"/>
    </xf>
    <xf numFmtId="0" fontId="4" fillId="46" borderId="260" xfId="0" applyFont="1" applyFill="1" applyBorder="1" applyAlignment="1" applyProtection="1">
      <alignment vertical="center"/>
      <protection hidden="1"/>
    </xf>
    <xf numFmtId="166" fontId="279" fillId="46" borderId="258" xfId="0" applyNumberFormat="1" applyFont="1" applyFill="1" applyBorder="1" applyAlignment="1" applyProtection="1">
      <alignment horizontal="center" vertical="center"/>
      <protection hidden="1"/>
    </xf>
    <xf numFmtId="166" fontId="279" fillId="46" borderId="260" xfId="0" applyNumberFormat="1" applyFont="1" applyFill="1" applyBorder="1" applyAlignment="1" applyProtection="1">
      <alignment horizontal="center" vertical="center"/>
      <protection hidden="1"/>
    </xf>
    <xf numFmtId="0" fontId="279" fillId="0" borderId="180" xfId="0" applyFont="1" applyFill="1" applyBorder="1" applyAlignment="1" applyProtection="1">
      <alignment horizontal="left" vertical="center" wrapText="1"/>
      <protection hidden="1"/>
    </xf>
    <xf numFmtId="0" fontId="279" fillId="0" borderId="182" xfId="0" applyFont="1" applyFill="1" applyBorder="1" applyAlignment="1" applyProtection="1">
      <alignment horizontal="left" vertical="center" wrapText="1"/>
      <protection hidden="1"/>
    </xf>
    <xf numFmtId="0" fontId="285" fillId="0" borderId="366" xfId="0" applyFont="1" applyFill="1" applyBorder="1" applyAlignment="1" applyProtection="1">
      <alignment vertical="center"/>
      <protection hidden="1"/>
    </xf>
    <xf numFmtId="0" fontId="0" fillId="0" borderId="368" xfId="0" applyFill="1" applyBorder="1" applyAlignment="1" applyProtection="1">
      <alignment vertical="center"/>
      <protection hidden="1"/>
    </xf>
    <xf numFmtId="168" fontId="307" fillId="46" borderId="366" xfId="0" applyNumberFormat="1" applyFont="1" applyFill="1" applyBorder="1" applyAlignment="1" applyProtection="1">
      <alignment horizontal="center" vertical="center"/>
      <protection hidden="1"/>
    </xf>
    <xf numFmtId="168" fontId="307" fillId="46" borderId="368" xfId="0" applyNumberFormat="1" applyFont="1" applyFill="1" applyBorder="1" applyAlignment="1" applyProtection="1">
      <alignment horizontal="center" vertical="center"/>
      <protection hidden="1"/>
    </xf>
    <xf numFmtId="0" fontId="279" fillId="46" borderId="459" xfId="0" quotePrefix="1" applyFont="1" applyFill="1" applyBorder="1" applyAlignment="1" applyProtection="1">
      <alignment vertical="center"/>
      <protection hidden="1"/>
    </xf>
    <xf numFmtId="0" fontId="4" fillId="46" borderId="174" xfId="0" applyFont="1" applyFill="1" applyBorder="1" applyAlignment="1" applyProtection="1">
      <alignment vertical="center"/>
      <protection hidden="1"/>
    </xf>
    <xf numFmtId="0" fontId="459" fillId="71" borderId="250" xfId="0" applyFont="1" applyFill="1" applyBorder="1" applyAlignment="1" applyProtection="1">
      <alignment vertical="center"/>
      <protection hidden="1"/>
    </xf>
    <xf numFmtId="0" fontId="0" fillId="71" borderId="250" xfId="0" applyFill="1" applyBorder="1" applyAlignment="1"/>
    <xf numFmtId="0" fontId="0" fillId="71" borderId="368" xfId="0" applyFill="1" applyBorder="1" applyAlignment="1"/>
    <xf numFmtId="0" fontId="459" fillId="71" borderId="169" xfId="0" applyFont="1" applyFill="1" applyBorder="1" applyAlignment="1" applyProtection="1">
      <alignment horizontal="left" vertical="center"/>
      <protection hidden="1"/>
    </xf>
    <xf numFmtId="0" fontId="459" fillId="71" borderId="174" xfId="0" applyFont="1" applyFill="1" applyBorder="1" applyAlignment="1" applyProtection="1">
      <alignment horizontal="left" vertical="center"/>
      <protection hidden="1"/>
    </xf>
    <xf numFmtId="0" fontId="462" fillId="71" borderId="90" xfId="0" applyFont="1" applyFill="1" applyBorder="1" applyAlignment="1" applyProtection="1">
      <alignment vertical="center"/>
      <protection hidden="1"/>
    </xf>
    <xf numFmtId="0" fontId="0" fillId="0" borderId="90" xfId="0" applyBorder="1" applyAlignment="1"/>
    <xf numFmtId="0" fontId="0" fillId="0" borderId="399" xfId="0" applyBorder="1" applyAlignment="1"/>
    <xf numFmtId="0" fontId="455" fillId="84" borderId="136" xfId="0" applyFont="1" applyFill="1" applyBorder="1" applyAlignment="1" applyProtection="1">
      <alignment horizontal="center"/>
      <protection hidden="1"/>
    </xf>
    <xf numFmtId="0" fontId="455" fillId="84" borderId="137" xfId="0" applyFont="1" applyFill="1" applyBorder="1" applyAlignment="1" applyProtection="1">
      <alignment horizontal="center"/>
      <protection hidden="1"/>
    </xf>
    <xf numFmtId="0" fontId="455" fillId="84" borderId="135" xfId="0" applyFont="1" applyFill="1" applyBorder="1" applyAlignment="1" applyProtection="1">
      <alignment horizontal="center"/>
      <protection hidden="1"/>
    </xf>
    <xf numFmtId="0" fontId="459" fillId="53" borderId="258" xfId="0" applyFont="1" applyFill="1" applyBorder="1" applyAlignment="1" applyProtection="1">
      <alignment vertical="center"/>
      <protection hidden="1"/>
    </xf>
    <xf numFmtId="0" fontId="0" fillId="0" borderId="206" xfId="0" applyBorder="1" applyAlignment="1" applyProtection="1">
      <alignment vertical="center"/>
      <protection hidden="1"/>
    </xf>
    <xf numFmtId="9" fontId="203" fillId="0" borderId="0" xfId="0" applyNumberFormat="1" applyFont="1" applyFill="1" applyBorder="1" applyAlignment="1" applyProtection="1">
      <alignment horizontal="center" vertical="center"/>
      <protection hidden="1"/>
    </xf>
    <xf numFmtId="166" fontId="16" fillId="71" borderId="459" xfId="0" applyNumberFormat="1" applyFont="1" applyFill="1" applyBorder="1" applyAlignment="1" applyProtection="1">
      <alignment horizontal="right" vertical="center"/>
      <protection hidden="1"/>
    </xf>
    <xf numFmtId="166" fontId="16" fillId="71" borderId="174" xfId="0" applyNumberFormat="1" applyFont="1" applyFill="1" applyBorder="1" applyAlignment="1" applyProtection="1">
      <alignment horizontal="right" vertical="center"/>
      <protection hidden="1"/>
    </xf>
    <xf numFmtId="166" fontId="16" fillId="46" borderId="366" xfId="0" applyNumberFormat="1" applyFont="1" applyFill="1" applyBorder="1" applyAlignment="1" applyProtection="1">
      <alignment horizontal="right" vertical="center"/>
      <protection hidden="1"/>
    </xf>
    <xf numFmtId="166" fontId="16" fillId="46" borderId="368" xfId="0" applyNumberFormat="1" applyFont="1" applyFill="1" applyBorder="1" applyAlignment="1" applyProtection="1">
      <alignment horizontal="right" vertical="center"/>
      <protection hidden="1"/>
    </xf>
    <xf numFmtId="166" fontId="16" fillId="46" borderId="224" xfId="0" applyNumberFormat="1" applyFont="1" applyFill="1" applyBorder="1" applyAlignment="1" applyProtection="1">
      <alignment horizontal="right" vertical="center"/>
      <protection hidden="1"/>
    </xf>
    <xf numFmtId="166" fontId="16" fillId="46" borderId="293" xfId="0" applyNumberFormat="1" applyFont="1" applyFill="1" applyBorder="1" applyAlignment="1" applyProtection="1">
      <alignment horizontal="right" vertical="center"/>
      <protection hidden="1"/>
    </xf>
    <xf numFmtId="0" fontId="459" fillId="47" borderId="569" xfId="0" applyFont="1" applyFill="1" applyBorder="1" applyAlignment="1" applyProtection="1">
      <alignment horizontal="center" vertical="top" wrapText="1"/>
      <protection hidden="1"/>
    </xf>
    <xf numFmtId="0" fontId="459" fillId="47" borderId="187" xfId="0" applyFont="1" applyFill="1" applyBorder="1" applyAlignment="1" applyProtection="1">
      <alignment horizontal="center" vertical="top" wrapText="1"/>
      <protection hidden="1"/>
    </xf>
    <xf numFmtId="166" fontId="16" fillId="47" borderId="366" xfId="0" applyNumberFormat="1" applyFont="1" applyFill="1" applyBorder="1" applyAlignment="1" applyProtection="1">
      <alignment horizontal="right" vertical="center"/>
      <protection hidden="1"/>
    </xf>
    <xf numFmtId="166" fontId="16" fillId="47" borderId="368" xfId="0" applyNumberFormat="1" applyFont="1" applyFill="1" applyBorder="1" applyAlignment="1" applyProtection="1">
      <alignment horizontal="right" vertical="center"/>
      <protection hidden="1"/>
    </xf>
    <xf numFmtId="166" fontId="16" fillId="47" borderId="72" xfId="0" applyNumberFormat="1" applyFont="1" applyFill="1" applyBorder="1" applyAlignment="1" applyProtection="1">
      <alignment horizontal="right" vertical="center"/>
      <protection hidden="1"/>
    </xf>
    <xf numFmtId="166" fontId="16" fillId="47" borderId="323" xfId="0" applyNumberFormat="1" applyFont="1" applyFill="1" applyBorder="1" applyAlignment="1" applyProtection="1">
      <alignment horizontal="right" vertical="center"/>
      <protection hidden="1"/>
    </xf>
    <xf numFmtId="0" fontId="459" fillId="47" borderId="206" xfId="0" applyFont="1" applyFill="1" applyBorder="1" applyAlignment="1" applyProtection="1">
      <alignment vertical="center"/>
      <protection hidden="1"/>
    </xf>
    <xf numFmtId="0" fontId="0" fillId="0" borderId="206" xfId="0" applyBorder="1" applyAlignment="1"/>
    <xf numFmtId="0" fontId="0" fillId="0" borderId="260" xfId="0" applyBorder="1" applyAlignment="1"/>
    <xf numFmtId="0" fontId="292" fillId="47" borderId="366" xfId="0" applyFont="1" applyFill="1" applyBorder="1" applyAlignment="1" applyProtection="1">
      <alignment horizontal="center" vertical="center"/>
      <protection hidden="1"/>
    </xf>
    <xf numFmtId="0" fontId="292" fillId="47" borderId="250" xfId="0" applyFont="1" applyFill="1" applyBorder="1" applyAlignment="1" applyProtection="1">
      <alignment horizontal="center" vertical="center"/>
      <protection hidden="1"/>
    </xf>
    <xf numFmtId="0" fontId="292" fillId="47" borderId="368" xfId="0" applyFont="1" applyFill="1" applyBorder="1" applyAlignment="1" applyProtection="1">
      <alignment horizontal="center" vertical="center"/>
      <protection hidden="1"/>
    </xf>
    <xf numFmtId="0" fontId="459" fillId="47" borderId="250" xfId="0" applyFont="1" applyFill="1" applyBorder="1" applyAlignment="1" applyProtection="1">
      <alignment horizontal="left" vertical="center"/>
      <protection hidden="1"/>
    </xf>
    <xf numFmtId="0" fontId="0" fillId="0" borderId="368" xfId="0" applyBorder="1" applyAlignment="1">
      <alignment horizontal="right"/>
    </xf>
    <xf numFmtId="0" fontId="459" fillId="47" borderId="0" xfId="0" applyFont="1" applyFill="1" applyBorder="1" applyAlignment="1" applyProtection="1">
      <alignment horizontal="left" vertical="center" wrapText="1"/>
      <protection hidden="1"/>
    </xf>
    <xf numFmtId="0" fontId="459" fillId="47" borderId="293" xfId="0" applyFont="1" applyFill="1" applyBorder="1" applyAlignment="1" applyProtection="1">
      <alignment horizontal="left" vertical="center" wrapText="1"/>
      <protection hidden="1"/>
    </xf>
    <xf numFmtId="222" fontId="463" fillId="47" borderId="182" xfId="0" applyNumberFormat="1" applyFont="1" applyFill="1" applyBorder="1" applyAlignment="1" applyProtection="1">
      <alignment horizontal="center" vertical="center"/>
      <protection hidden="1"/>
    </xf>
    <xf numFmtId="222" fontId="463" fillId="47" borderId="183" xfId="0" applyNumberFormat="1" applyFont="1" applyFill="1" applyBorder="1" applyAlignment="1" applyProtection="1">
      <alignment horizontal="center" vertical="center"/>
      <protection hidden="1"/>
    </xf>
    <xf numFmtId="166" fontId="16" fillId="71" borderId="224" xfId="0" applyNumberFormat="1" applyFont="1" applyFill="1" applyBorder="1" applyAlignment="1" applyProtection="1">
      <alignment horizontal="right" vertical="center"/>
      <protection hidden="1"/>
    </xf>
    <xf numFmtId="166" fontId="16" fillId="71" borderId="293" xfId="0" applyNumberFormat="1" applyFont="1" applyFill="1" applyBorder="1" applyAlignment="1" applyProtection="1">
      <alignment horizontal="right" vertical="center"/>
      <protection hidden="1"/>
    </xf>
    <xf numFmtId="0" fontId="459" fillId="53" borderId="224" xfId="0" applyFont="1" applyFill="1" applyBorder="1" applyAlignment="1" applyProtection="1">
      <alignment vertical="center"/>
      <protection hidden="1"/>
    </xf>
    <xf numFmtId="0" fontId="370" fillId="0" borderId="0" xfId="0" applyFont="1" applyFill="1" applyBorder="1" applyAlignment="1" applyProtection="1">
      <alignment horizontal="left" vertical="center" wrapText="1"/>
      <protection hidden="1"/>
    </xf>
    <xf numFmtId="0" fontId="200" fillId="90" borderId="386" xfId="23" applyFont="1" applyFill="1" applyBorder="1" applyAlignment="1" applyProtection="1">
      <alignment horizontal="center" vertical="center"/>
      <protection hidden="1"/>
    </xf>
    <xf numFmtId="0" fontId="200" fillId="90" borderId="228" xfId="23" applyFont="1" applyFill="1" applyBorder="1" applyAlignment="1" applyProtection="1">
      <alignment horizontal="center" vertical="center"/>
      <protection hidden="1"/>
    </xf>
    <xf numFmtId="0" fontId="200" fillId="90" borderId="379" xfId="23" applyFont="1" applyFill="1" applyBorder="1" applyAlignment="1" applyProtection="1">
      <alignment horizontal="center" vertical="center"/>
      <protection hidden="1"/>
    </xf>
    <xf numFmtId="0" fontId="185" fillId="65" borderId="224" xfId="23" applyFont="1" applyFill="1" applyBorder="1" applyAlignment="1" applyProtection="1">
      <alignment horizontal="center" vertical="center" wrapText="1"/>
      <protection hidden="1"/>
    </xf>
    <xf numFmtId="0" fontId="185" fillId="65" borderId="307" xfId="23" applyFont="1" applyFill="1" applyBorder="1" applyAlignment="1" applyProtection="1">
      <alignment horizontal="center" vertical="center" wrapText="1"/>
      <protection hidden="1"/>
    </xf>
    <xf numFmtId="0" fontId="185" fillId="65" borderId="375" xfId="23" applyFont="1" applyFill="1" applyBorder="1" applyAlignment="1" applyProtection="1">
      <alignment horizontal="center" vertical="center" wrapText="1"/>
      <protection hidden="1"/>
    </xf>
    <xf numFmtId="0" fontId="185" fillId="65" borderId="376" xfId="23" applyFont="1" applyFill="1" applyBorder="1" applyAlignment="1" applyProtection="1">
      <alignment horizontal="center" vertical="center" wrapText="1"/>
      <protection hidden="1"/>
    </xf>
    <xf numFmtId="0" fontId="463" fillId="0" borderId="182" xfId="0" applyFont="1" applyFill="1" applyBorder="1" applyAlignment="1" applyProtection="1">
      <alignment horizontal="left" vertical="center" wrapText="1" indent="1"/>
      <protection hidden="1"/>
    </xf>
    <xf numFmtId="0" fontId="463" fillId="0" borderId="133" xfId="0" applyFont="1" applyFill="1" applyBorder="1" applyAlignment="1" applyProtection="1">
      <alignment horizontal="left" vertical="center" wrapText="1" indent="1"/>
      <protection hidden="1"/>
    </xf>
    <xf numFmtId="0" fontId="463" fillId="0" borderId="183" xfId="0" applyFont="1" applyFill="1" applyBorder="1" applyAlignment="1" applyProtection="1">
      <alignment horizontal="left" vertical="center" wrapText="1" indent="1"/>
      <protection hidden="1"/>
    </xf>
    <xf numFmtId="0" fontId="462" fillId="46" borderId="350" xfId="0" applyFont="1" applyFill="1" applyBorder="1" applyAlignment="1" applyProtection="1">
      <alignment vertical="center"/>
      <protection hidden="1"/>
    </xf>
    <xf numFmtId="0" fontId="0" fillId="0" borderId="350" xfId="0" applyBorder="1" applyAlignment="1">
      <alignment vertical="center"/>
    </xf>
    <xf numFmtId="0" fontId="0" fillId="0" borderId="370" xfId="0" applyBorder="1" applyAlignment="1">
      <alignment vertical="center"/>
    </xf>
    <xf numFmtId="0" fontId="0" fillId="71" borderId="90" xfId="0" applyFill="1" applyBorder="1" applyAlignment="1">
      <alignment vertical="center"/>
    </xf>
    <xf numFmtId="0" fontId="0" fillId="71" borderId="399" xfId="0" applyFill="1" applyBorder="1" applyAlignment="1">
      <alignment vertical="center"/>
    </xf>
    <xf numFmtId="0" fontId="459" fillId="71" borderId="569" xfId="0" applyFont="1" applyFill="1" applyBorder="1" applyAlignment="1" applyProtection="1">
      <alignment horizontal="center" vertical="top" wrapText="1"/>
      <protection hidden="1"/>
    </xf>
    <xf numFmtId="0" fontId="459" fillId="71" borderId="570" xfId="0" applyFont="1" applyFill="1" applyBorder="1" applyAlignment="1" applyProtection="1">
      <alignment horizontal="center" vertical="top" wrapText="1"/>
      <protection hidden="1"/>
    </xf>
    <xf numFmtId="0" fontId="190" fillId="84" borderId="136" xfId="0" applyFont="1" applyFill="1" applyBorder="1" applyAlignment="1" applyProtection="1">
      <alignment horizontal="center" vertical="center"/>
      <protection hidden="1"/>
    </xf>
    <xf numFmtId="0" fontId="190" fillId="84" borderId="137" xfId="0" applyFont="1" applyFill="1" applyBorder="1" applyAlignment="1" applyProtection="1">
      <alignment horizontal="center" vertical="center"/>
      <protection hidden="1"/>
    </xf>
    <xf numFmtId="0" fontId="190" fillId="84" borderId="135" xfId="0" applyFont="1" applyFill="1" applyBorder="1" applyAlignment="1" applyProtection="1">
      <alignment horizontal="center" vertical="center"/>
      <protection hidden="1"/>
    </xf>
    <xf numFmtId="0" fontId="459" fillId="46" borderId="569" xfId="0" applyFont="1" applyFill="1" applyBorder="1" applyAlignment="1" applyProtection="1">
      <alignment horizontal="center" vertical="top" wrapText="1"/>
      <protection hidden="1"/>
    </xf>
    <xf numFmtId="0" fontId="459" fillId="53" borderId="365" xfId="0" applyFont="1" applyFill="1" applyBorder="1" applyAlignment="1" applyProtection="1">
      <alignment vertical="center"/>
      <protection hidden="1"/>
    </xf>
    <xf numFmtId="0" fontId="0" fillId="0" borderId="146" xfId="0" applyBorder="1" applyAlignment="1" applyProtection="1">
      <alignment vertical="center"/>
      <protection hidden="1"/>
    </xf>
    <xf numFmtId="0" fontId="0" fillId="0" borderId="364" xfId="0" applyBorder="1" applyAlignment="1" applyProtection="1">
      <alignment vertical="center"/>
      <protection hidden="1"/>
    </xf>
    <xf numFmtId="220" fontId="463" fillId="46" borderId="354" xfId="0" applyNumberFormat="1" applyFont="1" applyFill="1" applyBorder="1" applyAlignment="1" applyProtection="1">
      <alignment horizontal="center" vertical="center"/>
      <protection hidden="1"/>
    </xf>
    <xf numFmtId="220" fontId="463" fillId="46" borderId="370" xfId="0" applyNumberFormat="1" applyFont="1" applyFill="1" applyBorder="1" applyAlignment="1" applyProtection="1">
      <alignment horizontal="center" vertical="center"/>
      <protection hidden="1"/>
    </xf>
    <xf numFmtId="221" fontId="463" fillId="71" borderId="185" xfId="0" applyNumberFormat="1" applyFont="1" applyFill="1" applyBorder="1" applyAlignment="1" applyProtection="1">
      <alignment horizontal="center" vertical="center"/>
      <protection hidden="1"/>
    </xf>
    <xf numFmtId="221" fontId="463" fillId="71" borderId="399" xfId="0" applyNumberFormat="1" applyFont="1" applyFill="1" applyBorder="1" applyAlignment="1" applyProtection="1">
      <alignment horizontal="center" vertical="center"/>
      <protection hidden="1"/>
    </xf>
    <xf numFmtId="0" fontId="190" fillId="89" borderId="246" xfId="0" applyFont="1" applyFill="1" applyBorder="1" applyAlignment="1" applyProtection="1">
      <alignment horizontal="center" vertical="center"/>
      <protection hidden="1"/>
    </xf>
    <xf numFmtId="0" fontId="190" fillId="89" borderId="135" xfId="0" applyFont="1" applyFill="1" applyBorder="1" applyAlignment="1" applyProtection="1">
      <alignment horizontal="center" vertical="center"/>
      <protection hidden="1"/>
    </xf>
    <xf numFmtId="0" fontId="185" fillId="84" borderId="383" xfId="0" applyFont="1" applyFill="1" applyBorder="1" applyAlignment="1" applyProtection="1">
      <alignment horizontal="center" vertical="center" wrapText="1"/>
      <protection hidden="1"/>
    </xf>
    <xf numFmtId="0" fontId="185" fillId="84" borderId="130" xfId="0" applyFont="1" applyFill="1" applyBorder="1" applyAlignment="1" applyProtection="1">
      <alignment horizontal="center" vertical="center" wrapText="1"/>
      <protection hidden="1"/>
    </xf>
    <xf numFmtId="9" fontId="185" fillId="59" borderId="356" xfId="19" applyNumberFormat="1" applyFont="1" applyFill="1" applyBorder="1" applyAlignment="1" applyProtection="1">
      <alignment horizontal="center" vertical="center"/>
      <protection hidden="1"/>
    </xf>
    <xf numFmtId="9" fontId="185" fillId="59" borderId="228" xfId="19" applyNumberFormat="1" applyFont="1" applyFill="1" applyBorder="1" applyAlignment="1" applyProtection="1">
      <alignment horizontal="center" vertical="center"/>
      <protection hidden="1"/>
    </xf>
    <xf numFmtId="0" fontId="459" fillId="53" borderId="167" xfId="0" applyFont="1" applyFill="1" applyBorder="1" applyAlignment="1" applyProtection="1">
      <alignment vertical="center"/>
      <protection hidden="1"/>
    </xf>
    <xf numFmtId="0" fontId="0" fillId="0" borderId="161" xfId="0" applyBorder="1" applyAlignment="1" applyProtection="1">
      <alignment vertical="center"/>
      <protection hidden="1"/>
    </xf>
    <xf numFmtId="0" fontId="459" fillId="53" borderId="316" xfId="0" applyFont="1" applyFill="1" applyBorder="1" applyAlignment="1" applyProtection="1">
      <alignment vertical="center"/>
      <protection hidden="1"/>
    </xf>
    <xf numFmtId="0" fontId="0" fillId="0" borderId="233" xfId="0" applyBorder="1" applyAlignment="1" applyProtection="1">
      <alignment vertical="center"/>
      <protection hidden="1"/>
    </xf>
    <xf numFmtId="0" fontId="0" fillId="0" borderId="256" xfId="0" applyBorder="1" applyAlignment="1" applyProtection="1">
      <alignment vertical="center"/>
      <protection hidden="1"/>
    </xf>
    <xf numFmtId="0" fontId="0" fillId="71" borderId="71" xfId="0" applyFill="1" applyBorder="1" applyAlignment="1" applyProtection="1">
      <protection hidden="1"/>
    </xf>
    <xf numFmtId="0" fontId="0" fillId="71" borderId="203" xfId="0" applyFill="1" applyBorder="1" applyAlignment="1" applyProtection="1">
      <protection hidden="1"/>
    </xf>
    <xf numFmtId="0" fontId="0" fillId="71" borderId="172" xfId="0" applyFill="1" applyBorder="1" applyAlignment="1" applyProtection="1">
      <protection hidden="1"/>
    </xf>
    <xf numFmtId="0" fontId="0" fillId="71" borderId="224" xfId="0" applyFill="1" applyBorder="1" applyAlignment="1" applyProtection="1">
      <protection hidden="1"/>
    </xf>
    <xf numFmtId="0" fontId="0" fillId="71" borderId="0" xfId="0" applyFill="1" applyBorder="1" applyAlignment="1" applyProtection="1">
      <protection hidden="1"/>
    </xf>
    <xf numFmtId="0" fontId="0" fillId="71" borderId="293" xfId="0" applyFill="1" applyBorder="1" applyAlignment="1" applyProtection="1">
      <protection hidden="1"/>
    </xf>
    <xf numFmtId="0" fontId="0" fillId="71" borderId="72" xfId="0" applyFill="1" applyBorder="1" applyAlignment="1" applyProtection="1">
      <protection hidden="1"/>
    </xf>
    <xf numFmtId="0" fontId="0" fillId="71" borderId="160" xfId="0" applyFill="1" applyBorder="1" applyAlignment="1" applyProtection="1">
      <protection hidden="1"/>
    </xf>
    <xf numFmtId="0" fontId="0" fillId="71" borderId="323" xfId="0" applyFill="1" applyBorder="1" applyAlignment="1" applyProtection="1">
      <protection hidden="1"/>
    </xf>
    <xf numFmtId="0" fontId="467" fillId="40" borderId="136" xfId="0" applyFont="1" applyFill="1" applyBorder="1" applyAlignment="1" applyProtection="1">
      <alignment horizontal="left" vertical="center" indent="1"/>
      <protection hidden="1"/>
    </xf>
    <xf numFmtId="0" fontId="467" fillId="40" borderId="135" xfId="0" applyFont="1" applyFill="1" applyBorder="1" applyAlignment="1" applyProtection="1">
      <alignment horizontal="left" vertical="center" indent="1"/>
      <protection hidden="1"/>
    </xf>
    <xf numFmtId="166" fontId="455" fillId="46" borderId="136" xfId="0" applyNumberFormat="1" applyFont="1" applyFill="1" applyBorder="1" applyAlignment="1" applyProtection="1">
      <alignment horizontal="right" vertical="center" indent="1"/>
      <protection hidden="1"/>
    </xf>
    <xf numFmtId="166" fontId="455" fillId="46" borderId="137" xfId="0" applyNumberFormat="1" applyFont="1" applyFill="1" applyBorder="1" applyAlignment="1" applyProtection="1">
      <alignment horizontal="right" vertical="center" indent="1"/>
      <protection hidden="1"/>
    </xf>
    <xf numFmtId="168" fontId="454" fillId="53" borderId="316" xfId="0" applyNumberFormat="1" applyFont="1" applyFill="1" applyBorder="1" applyAlignment="1" applyProtection="1">
      <alignment horizontal="left" vertical="center"/>
      <protection hidden="1"/>
    </xf>
    <xf numFmtId="0" fontId="0" fillId="0" borderId="233" xfId="0" applyBorder="1" applyAlignment="1">
      <alignment horizontal="left" vertical="center"/>
    </xf>
    <xf numFmtId="0" fontId="0" fillId="0" borderId="256" xfId="0" applyBorder="1" applyAlignment="1">
      <alignment horizontal="left" vertical="center"/>
    </xf>
    <xf numFmtId="168" fontId="454" fillId="0" borderId="316" xfId="0" applyNumberFormat="1" applyFont="1" applyFill="1" applyBorder="1" applyAlignment="1" applyProtection="1">
      <alignment horizontal="left" vertical="center"/>
      <protection hidden="1"/>
    </xf>
    <xf numFmtId="168" fontId="454" fillId="0" borderId="233" xfId="0" applyNumberFormat="1" applyFont="1" applyFill="1" applyBorder="1" applyAlignment="1" applyProtection="1">
      <alignment horizontal="left" vertical="center"/>
      <protection hidden="1"/>
    </xf>
    <xf numFmtId="0" fontId="0" fillId="0" borderId="256" xfId="0" applyFill="1" applyBorder="1" applyAlignment="1">
      <alignment horizontal="left" vertical="center"/>
    </xf>
    <xf numFmtId="0" fontId="462" fillId="47" borderId="133" xfId="0" applyFont="1" applyFill="1" applyBorder="1" applyAlignment="1" applyProtection="1">
      <alignment vertical="center"/>
      <protection hidden="1"/>
    </xf>
    <xf numFmtId="0" fontId="0" fillId="0" borderId="133" xfId="0" applyBorder="1" applyAlignment="1"/>
    <xf numFmtId="0" fontId="0" fillId="0" borderId="183" xfId="0" applyBorder="1" applyAlignment="1"/>
    <xf numFmtId="0" fontId="502" fillId="59" borderId="136" xfId="0" applyFont="1" applyFill="1" applyBorder="1" applyAlignment="1" applyProtection="1">
      <alignment horizontal="center" vertical="center"/>
      <protection hidden="1"/>
    </xf>
    <xf numFmtId="0" fontId="502" fillId="59" borderId="137" xfId="0" applyFont="1" applyFill="1" applyBorder="1" applyAlignment="1" applyProtection="1">
      <alignment horizontal="center" vertical="center"/>
      <protection hidden="1"/>
    </xf>
    <xf numFmtId="0" fontId="502" fillId="59" borderId="135" xfId="0" applyFont="1" applyFill="1" applyBorder="1" applyAlignment="1" applyProtection="1">
      <alignment horizontal="center" vertical="center"/>
      <protection hidden="1"/>
    </xf>
    <xf numFmtId="0" fontId="191" fillId="90" borderId="390" xfId="0" applyFont="1" applyFill="1" applyBorder="1" applyAlignment="1" applyProtection="1">
      <alignment horizontal="center"/>
      <protection hidden="1"/>
    </xf>
    <xf numFmtId="0" fontId="191" fillId="90" borderId="222" xfId="0" applyFont="1" applyFill="1" applyBorder="1" applyAlignment="1" applyProtection="1">
      <alignment horizontal="center"/>
      <protection hidden="1"/>
    </xf>
    <xf numFmtId="0" fontId="191" fillId="90" borderId="374" xfId="0" applyFont="1" applyFill="1" applyBorder="1" applyAlignment="1" applyProtection="1">
      <alignment horizontal="center" vertical="top"/>
      <protection hidden="1"/>
    </xf>
    <xf numFmtId="0" fontId="191" fillId="90" borderId="247" xfId="0" applyFont="1" applyFill="1" applyBorder="1" applyAlignment="1" applyProtection="1">
      <alignment horizontal="center" vertical="top"/>
      <protection hidden="1"/>
    </xf>
    <xf numFmtId="0" fontId="459" fillId="46" borderId="150" xfId="0" applyFont="1" applyFill="1" applyBorder="1" applyAlignment="1" applyProtection="1">
      <alignment vertical="center"/>
      <protection hidden="1"/>
    </xf>
    <xf numFmtId="0" fontId="0" fillId="0" borderId="150" xfId="0" applyBorder="1" applyAlignment="1"/>
    <xf numFmtId="0" fontId="0" fillId="0" borderId="181" xfId="0" applyBorder="1" applyAlignment="1"/>
    <xf numFmtId="0" fontId="459" fillId="46" borderId="146" xfId="0" applyFont="1" applyFill="1" applyBorder="1" applyAlignment="1" applyProtection="1">
      <alignment vertical="center"/>
      <protection hidden="1"/>
    </xf>
    <xf numFmtId="0" fontId="0" fillId="0" borderId="146" xfId="0" applyBorder="1" applyAlignment="1"/>
    <xf numFmtId="0" fontId="0" fillId="0" borderId="364" xfId="0" applyBorder="1" applyAlignment="1"/>
    <xf numFmtId="0" fontId="459" fillId="71" borderId="0" xfId="0" applyFont="1" applyFill="1" applyBorder="1" applyAlignment="1" applyProtection="1">
      <alignment vertical="center"/>
      <protection hidden="1"/>
    </xf>
    <xf numFmtId="0" fontId="0" fillId="0" borderId="293" xfId="0" applyBorder="1" applyAlignment="1"/>
    <xf numFmtId="0" fontId="459" fillId="71" borderId="169" xfId="0" applyFont="1" applyFill="1" applyBorder="1" applyAlignment="1" applyProtection="1">
      <alignment vertical="center"/>
      <protection hidden="1"/>
    </xf>
    <xf numFmtId="0" fontId="0" fillId="0" borderId="169" xfId="0" applyBorder="1" applyAlignment="1"/>
    <xf numFmtId="0" fontId="0" fillId="0" borderId="174" xfId="0" applyBorder="1" applyAlignment="1"/>
    <xf numFmtId="0" fontId="185" fillId="65" borderId="130" xfId="23" applyFont="1" applyFill="1" applyBorder="1" applyAlignment="1" applyProtection="1">
      <alignment horizontal="center" vertical="center"/>
      <protection hidden="1"/>
    </xf>
    <xf numFmtId="0" fontId="185" fillId="65" borderId="0" xfId="23" applyFont="1" applyFill="1" applyBorder="1" applyAlignment="1" applyProtection="1">
      <alignment horizontal="center" vertical="center"/>
      <protection hidden="1"/>
    </xf>
    <xf numFmtId="0" fontId="185" fillId="84" borderId="373" xfId="0" applyFont="1" applyFill="1" applyBorder="1" applyAlignment="1" applyProtection="1">
      <alignment horizontal="center" vertical="center" wrapText="1"/>
      <protection hidden="1"/>
    </xf>
    <xf numFmtId="0" fontId="185" fillId="84" borderId="372" xfId="0" applyFont="1" applyFill="1" applyBorder="1" applyAlignment="1" applyProtection="1">
      <alignment horizontal="center" vertical="center" wrapText="1"/>
      <protection hidden="1"/>
    </xf>
    <xf numFmtId="0" fontId="463" fillId="0" borderId="354" xfId="0" applyFont="1" applyFill="1" applyBorder="1" applyAlignment="1" applyProtection="1">
      <alignment horizontal="left" vertical="center" wrapText="1" indent="1"/>
      <protection hidden="1"/>
    </xf>
    <xf numFmtId="0" fontId="463" fillId="0" borderId="350" xfId="0" applyFont="1" applyFill="1" applyBorder="1" applyAlignment="1" applyProtection="1">
      <alignment horizontal="left" vertical="center" wrapText="1" indent="1"/>
      <protection hidden="1"/>
    </xf>
    <xf numFmtId="0" fontId="463" fillId="0" borderId="370" xfId="0" applyFont="1" applyFill="1" applyBorder="1" applyAlignment="1" applyProtection="1">
      <alignment horizontal="left" vertical="center" wrapText="1" indent="1"/>
      <protection hidden="1"/>
    </xf>
    <xf numFmtId="0" fontId="459" fillId="46" borderId="250" xfId="0" applyFont="1" applyFill="1" applyBorder="1" applyAlignment="1" applyProtection="1">
      <alignment vertical="center"/>
      <protection hidden="1"/>
    </xf>
    <xf numFmtId="0" fontId="0" fillId="0" borderId="250" xfId="0" applyBorder="1" applyAlignment="1"/>
    <xf numFmtId="0" fontId="0" fillId="0" borderId="368" xfId="0" applyBorder="1" applyAlignment="1"/>
    <xf numFmtId="0" fontId="459" fillId="46" borderId="146" xfId="0" applyFont="1" applyFill="1" applyBorder="1" applyAlignment="1" applyProtection="1">
      <alignment horizontal="left" vertical="center"/>
      <protection hidden="1"/>
    </xf>
    <xf numFmtId="0" fontId="459" fillId="46" borderId="364" xfId="0" applyFont="1" applyFill="1" applyBorder="1" applyAlignment="1" applyProtection="1">
      <alignment horizontal="left" vertical="center"/>
      <protection hidden="1"/>
    </xf>
    <xf numFmtId="0" fontId="463" fillId="0" borderId="185" xfId="0" applyFont="1" applyFill="1" applyBorder="1" applyAlignment="1" applyProtection="1">
      <alignment horizontal="left" vertical="center" wrapText="1" indent="1"/>
      <protection hidden="1"/>
    </xf>
    <xf numFmtId="0" fontId="463" fillId="0" borderId="90" xfId="0" applyFont="1" applyFill="1" applyBorder="1" applyAlignment="1" applyProtection="1">
      <alignment horizontal="left" vertical="center" wrapText="1" indent="1"/>
      <protection hidden="1"/>
    </xf>
    <xf numFmtId="0" fontId="463" fillId="0" borderId="399" xfId="0" applyFont="1" applyFill="1" applyBorder="1" applyAlignment="1" applyProtection="1">
      <alignment horizontal="left" vertical="center" wrapText="1" indent="1"/>
      <protection hidden="1"/>
    </xf>
    <xf numFmtId="0" fontId="190" fillId="84" borderId="217" xfId="0" applyFont="1" applyFill="1" applyBorder="1" applyAlignment="1" applyProtection="1">
      <alignment horizontal="center" vertical="center"/>
      <protection hidden="1"/>
    </xf>
    <xf numFmtId="0" fontId="20" fillId="65" borderId="172" xfId="0" applyFont="1" applyFill="1" applyBorder="1" applyAlignment="1" applyProtection="1">
      <alignment horizontal="center" vertical="center"/>
      <protection hidden="1"/>
    </xf>
    <xf numFmtId="0" fontId="20" fillId="65" borderId="323" xfId="0" applyFont="1" applyFill="1" applyBorder="1" applyAlignment="1" applyProtection="1">
      <alignment horizontal="center" vertical="center"/>
      <protection hidden="1"/>
    </xf>
    <xf numFmtId="0" fontId="441" fillId="46" borderId="238" xfId="0" applyFont="1" applyFill="1" applyBorder="1" applyAlignment="1" applyProtection="1">
      <alignment horizontal="right" vertical="center" indent="1"/>
      <protection hidden="1"/>
    </xf>
    <xf numFmtId="0" fontId="441" fillId="46" borderId="324" xfId="0" applyFont="1" applyFill="1" applyBorder="1" applyAlignment="1" applyProtection="1">
      <alignment horizontal="right" vertical="center" indent="1"/>
      <protection hidden="1"/>
    </xf>
    <xf numFmtId="0" fontId="184" fillId="36" borderId="271" xfId="0" applyFont="1" applyFill="1" applyBorder="1" applyAlignment="1" applyProtection="1">
      <alignment horizontal="center" vertical="center"/>
      <protection hidden="1"/>
    </xf>
    <xf numFmtId="0" fontId="184" fillId="36" borderId="267" xfId="0" applyFont="1" applyFill="1" applyBorder="1" applyAlignment="1" applyProtection="1">
      <alignment horizontal="center" vertical="center"/>
      <protection hidden="1"/>
    </xf>
    <xf numFmtId="0" fontId="0" fillId="0" borderId="272" xfId="0" applyBorder="1" applyAlignment="1">
      <alignment horizontal="right"/>
    </xf>
    <xf numFmtId="0" fontId="508" fillId="0" borderId="135" xfId="0" applyFont="1" applyBorder="1" applyAlignment="1" applyProtection="1">
      <alignment horizontal="right"/>
      <protection hidden="1"/>
    </xf>
    <xf numFmtId="0" fontId="279" fillId="0" borderId="167" xfId="0" applyFont="1" applyFill="1" applyBorder="1" applyAlignment="1" applyProtection="1">
      <alignment horizontal="left" vertical="center"/>
      <protection hidden="1"/>
    </xf>
    <xf numFmtId="0" fontId="0" fillId="0" borderId="161" xfId="0" applyBorder="1" applyAlignment="1" applyProtection="1">
      <alignment horizontal="right" vertical="center"/>
      <protection hidden="1"/>
    </xf>
    <xf numFmtId="0" fontId="20" fillId="84" borderId="71" xfId="0" applyFont="1" applyFill="1" applyBorder="1" applyAlignment="1" applyProtection="1">
      <alignment horizontal="left" vertical="center" wrapText="1" indent="1"/>
      <protection hidden="1"/>
    </xf>
    <xf numFmtId="0" fontId="4" fillId="84" borderId="265" xfId="0" applyFont="1" applyFill="1" applyBorder="1" applyAlignment="1" applyProtection="1">
      <alignment horizontal="left" vertical="center" wrapText="1" indent="1"/>
      <protection hidden="1"/>
    </xf>
    <xf numFmtId="0" fontId="20" fillId="84" borderId="72" xfId="0" applyFont="1" applyFill="1" applyBorder="1" applyAlignment="1" applyProtection="1">
      <alignment horizontal="left" vertical="center" wrapText="1" indent="1"/>
      <protection hidden="1"/>
    </xf>
    <xf numFmtId="0" fontId="4" fillId="84" borderId="493" xfId="0" applyFont="1" applyFill="1" applyBorder="1" applyAlignment="1" applyProtection="1">
      <alignment horizontal="left" vertical="center" wrapText="1" indent="1"/>
      <protection hidden="1"/>
    </xf>
    <xf numFmtId="0" fontId="292" fillId="0" borderId="167" xfId="0" applyFont="1" applyBorder="1" applyAlignment="1" applyProtection="1">
      <alignment horizontal="left" vertical="center" indent="1"/>
      <protection hidden="1"/>
    </xf>
    <xf numFmtId="180" fontId="226" fillId="46" borderId="326" xfId="0" applyNumberFormat="1" applyFont="1" applyFill="1" applyBorder="1" applyAlignment="1" applyProtection="1">
      <alignment horizontal="left" vertical="center" indent="1"/>
      <protection hidden="1"/>
    </xf>
    <xf numFmtId="0" fontId="149" fillId="0" borderId="328" xfId="0" applyFont="1" applyBorder="1" applyAlignment="1" applyProtection="1">
      <alignment horizontal="left" indent="1"/>
      <protection hidden="1"/>
    </xf>
    <xf numFmtId="0" fontId="149" fillId="0" borderId="327" xfId="0" applyFont="1" applyBorder="1" applyAlignment="1" applyProtection="1">
      <alignment horizontal="left" indent="1"/>
      <protection hidden="1"/>
    </xf>
    <xf numFmtId="0" fontId="226" fillId="0" borderId="325" xfId="0" applyFont="1" applyBorder="1" applyAlignment="1" applyProtection="1">
      <alignment horizontal="right" vertical="center" indent="1"/>
      <protection hidden="1"/>
    </xf>
    <xf numFmtId="0" fontId="226" fillId="0" borderId="0" xfId="0" applyFont="1" applyBorder="1" applyAlignment="1" applyProtection="1">
      <alignment horizontal="right" vertical="center" indent="1"/>
      <protection hidden="1"/>
    </xf>
    <xf numFmtId="0" fontId="226" fillId="0" borderId="329" xfId="0" applyFont="1" applyBorder="1" applyAlignment="1" applyProtection="1">
      <alignment horizontal="right" vertical="center" indent="1"/>
      <protection hidden="1"/>
    </xf>
    <xf numFmtId="3" fontId="426" fillId="0" borderId="325" xfId="0" applyNumberFormat="1" applyFont="1" applyFill="1" applyBorder="1" applyAlignment="1" applyProtection="1">
      <alignment horizontal="right" vertical="center" indent="1"/>
      <protection hidden="1"/>
    </xf>
    <xf numFmtId="0" fontId="149" fillId="0" borderId="0" xfId="0" applyFont="1" applyBorder="1" applyAlignment="1">
      <alignment horizontal="right" vertical="center" indent="1"/>
    </xf>
    <xf numFmtId="3" fontId="426" fillId="0" borderId="0" xfId="0" applyNumberFormat="1" applyFont="1" applyFill="1" applyBorder="1" applyAlignment="1" applyProtection="1">
      <alignment horizontal="right" vertical="center" indent="1"/>
      <protection hidden="1"/>
    </xf>
    <xf numFmtId="0" fontId="20" fillId="84" borderId="222" xfId="0" applyFont="1" applyFill="1" applyBorder="1" applyAlignment="1" applyProtection="1">
      <alignment horizontal="center" vertical="center" wrapText="1"/>
      <protection hidden="1"/>
    </xf>
    <xf numFmtId="0" fontId="20" fillId="84" borderId="247" xfId="0" applyFont="1" applyFill="1" applyBorder="1" applyAlignment="1" applyProtection="1">
      <alignment horizontal="center" vertical="center"/>
      <protection hidden="1"/>
    </xf>
    <xf numFmtId="0" fontId="20" fillId="43" borderId="376" xfId="0" applyFont="1" applyFill="1" applyBorder="1" applyAlignment="1" applyProtection="1">
      <alignment horizontal="center" vertical="center" wrapText="1"/>
      <protection hidden="1"/>
    </xf>
    <xf numFmtId="0" fontId="20" fillId="43" borderId="220" xfId="0" applyFont="1" applyFill="1" applyBorder="1" applyAlignment="1" applyProtection="1">
      <alignment horizontal="center" vertical="center" wrapText="1"/>
      <protection hidden="1"/>
    </xf>
    <xf numFmtId="0" fontId="20" fillId="43" borderId="358" xfId="0" applyFont="1" applyFill="1" applyBorder="1" applyAlignment="1" applyProtection="1">
      <alignment horizontal="center" vertical="center" wrapText="1"/>
      <protection hidden="1"/>
    </xf>
    <xf numFmtId="0" fontId="20" fillId="43" borderId="359" xfId="0" applyFont="1" applyFill="1" applyBorder="1" applyAlignment="1" applyProtection="1">
      <alignment horizontal="center" vertical="center" wrapText="1"/>
      <protection hidden="1"/>
    </xf>
    <xf numFmtId="0" fontId="20" fillId="84" borderId="490" xfId="0" applyFont="1" applyFill="1" applyBorder="1" applyAlignment="1" applyProtection="1">
      <alignment horizontal="center" vertical="center" wrapText="1"/>
      <protection hidden="1"/>
    </xf>
    <xf numFmtId="0" fontId="0" fillId="84" borderId="495" xfId="0" applyFill="1" applyBorder="1" applyAlignment="1" applyProtection="1">
      <alignment horizontal="center" vertical="center" wrapText="1"/>
      <protection hidden="1"/>
    </xf>
    <xf numFmtId="0" fontId="190" fillId="44" borderId="136" xfId="0" applyFont="1" applyFill="1" applyBorder="1" applyAlignment="1" applyProtection="1">
      <alignment vertical="center"/>
      <protection hidden="1"/>
    </xf>
    <xf numFmtId="0" fontId="0" fillId="0" borderId="137" xfId="0" applyBorder="1" applyAlignment="1" applyProtection="1">
      <alignment vertical="center"/>
      <protection hidden="1"/>
    </xf>
    <xf numFmtId="0" fontId="0" fillId="0" borderId="217" xfId="0" applyBorder="1" applyAlignment="1" applyProtection="1">
      <alignment horizontal="right"/>
      <protection hidden="1"/>
    </xf>
    <xf numFmtId="0" fontId="62" fillId="59" borderId="313" xfId="0" applyFont="1" applyFill="1" applyBorder="1" applyAlignment="1" applyProtection="1">
      <alignment horizontal="center" vertical="center"/>
      <protection hidden="1"/>
    </xf>
    <xf numFmtId="0" fontId="62" fillId="59" borderId="203" xfId="0" applyFont="1" applyFill="1" applyBorder="1" applyAlignment="1" applyProtection="1">
      <alignment horizontal="center" vertical="center"/>
      <protection hidden="1"/>
    </xf>
    <xf numFmtId="0" fontId="62" fillId="59" borderId="172" xfId="0" applyFont="1" applyFill="1" applyBorder="1" applyAlignment="1" applyProtection="1">
      <alignment horizontal="center" vertical="center"/>
      <protection hidden="1"/>
    </xf>
    <xf numFmtId="0" fontId="62" fillId="59" borderId="265" xfId="0" applyFont="1" applyFill="1" applyBorder="1" applyAlignment="1" applyProtection="1">
      <alignment horizontal="center" vertical="center"/>
      <protection hidden="1"/>
    </xf>
    <xf numFmtId="0" fontId="62" fillId="59" borderId="471" xfId="0" applyFont="1" applyFill="1" applyBorder="1" applyAlignment="1" applyProtection="1">
      <alignment horizontal="center" vertical="center"/>
      <protection hidden="1"/>
    </xf>
    <xf numFmtId="0" fontId="62" fillId="59" borderId="160" xfId="0" applyFont="1" applyFill="1" applyBorder="1" applyAlignment="1" applyProtection="1">
      <alignment horizontal="center" vertical="center"/>
      <protection hidden="1"/>
    </xf>
    <xf numFmtId="0" fontId="62" fillId="59" borderId="493" xfId="0" applyFont="1" applyFill="1" applyBorder="1" applyAlignment="1" applyProtection="1">
      <alignment horizontal="center" vertical="center"/>
      <protection hidden="1"/>
    </xf>
    <xf numFmtId="0" fontId="275" fillId="0" borderId="167" xfId="0" applyFont="1" applyFill="1" applyBorder="1" applyAlignment="1" applyProtection="1">
      <alignment vertical="center" wrapText="1"/>
      <protection hidden="1"/>
    </xf>
    <xf numFmtId="0" fontId="0" fillId="0" borderId="262" xfId="0" applyBorder="1" applyAlignment="1" applyProtection="1">
      <alignment vertical="center" wrapText="1"/>
      <protection hidden="1"/>
    </xf>
    <xf numFmtId="0" fontId="275" fillId="0" borderId="365" xfId="0" applyFont="1" applyFill="1" applyBorder="1" applyAlignment="1" applyProtection="1">
      <alignment vertical="center" wrapText="1"/>
      <protection hidden="1"/>
    </xf>
    <xf numFmtId="0" fontId="0" fillId="0" borderId="263" xfId="0" applyBorder="1" applyAlignment="1" applyProtection="1">
      <alignment vertical="center" wrapText="1"/>
      <protection hidden="1"/>
    </xf>
    <xf numFmtId="0" fontId="16" fillId="0" borderId="0" xfId="0"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160" xfId="0" applyBorder="1" applyAlignment="1" applyProtection="1">
      <alignment horizontal="left" vertical="center" wrapText="1" indent="1"/>
      <protection locked="0"/>
    </xf>
    <xf numFmtId="3" fontId="18" fillId="0" borderId="70" xfId="0" applyNumberFormat="1" applyFont="1" applyFill="1" applyBorder="1" applyAlignment="1" applyProtection="1">
      <alignment horizontal="right" vertical="center" indent="1"/>
      <protection hidden="1"/>
    </xf>
    <xf numFmtId="0" fontId="0" fillId="0" borderId="70" xfId="0" applyBorder="1" applyAlignment="1" applyProtection="1">
      <alignment horizontal="right" vertical="center" indent="1"/>
      <protection hidden="1"/>
    </xf>
    <xf numFmtId="0" fontId="352" fillId="29" borderId="193" xfId="0" applyFont="1" applyFill="1" applyBorder="1" applyAlignment="1" applyProtection="1">
      <alignment horizontal="center" vertical="center"/>
      <protection locked="0"/>
    </xf>
    <xf numFmtId="0" fontId="352" fillId="29" borderId="199" xfId="0" applyFont="1" applyFill="1" applyBorder="1" applyAlignment="1" applyProtection="1">
      <alignment horizontal="center" vertical="center"/>
      <protection locked="0"/>
    </xf>
    <xf numFmtId="0" fontId="292" fillId="0" borderId="298" xfId="0" applyFont="1" applyFill="1" applyBorder="1" applyAlignment="1" applyProtection="1">
      <alignment horizontal="left" vertical="center"/>
      <protection hidden="1"/>
    </xf>
    <xf numFmtId="0" fontId="292" fillId="0" borderId="204" xfId="0" applyFont="1" applyFill="1" applyBorder="1" applyAlignment="1" applyProtection="1">
      <alignment horizontal="left" vertical="center"/>
      <protection hidden="1"/>
    </xf>
    <xf numFmtId="0" fontId="353" fillId="0" borderId="204" xfId="0" applyFont="1" applyBorder="1" applyAlignment="1" applyProtection="1">
      <alignment horizontal="left" vertical="center"/>
      <protection hidden="1"/>
    </xf>
    <xf numFmtId="0" fontId="0" fillId="0" borderId="204" xfId="0" applyBorder="1" applyAlignment="1" applyProtection="1">
      <alignment horizontal="left" vertical="center"/>
      <protection hidden="1"/>
    </xf>
    <xf numFmtId="0" fontId="292" fillId="0" borderId="167" xfId="0" applyFont="1" applyFill="1" applyBorder="1" applyAlignment="1" applyProtection="1">
      <alignment horizontal="left" vertical="center"/>
      <protection hidden="1"/>
    </xf>
    <xf numFmtId="0" fontId="292" fillId="0" borderId="161" xfId="0" applyFont="1" applyFill="1" applyBorder="1" applyAlignment="1" applyProtection="1">
      <alignment horizontal="left" vertical="center"/>
      <protection hidden="1"/>
    </xf>
    <xf numFmtId="0" fontId="0" fillId="0" borderId="161" xfId="0" applyBorder="1" applyAlignment="1" applyProtection="1">
      <alignment horizontal="left" vertical="center"/>
      <protection hidden="1"/>
    </xf>
    <xf numFmtId="0" fontId="353" fillId="0" borderId="161" xfId="0" applyFont="1" applyBorder="1" applyAlignment="1" applyProtection="1">
      <alignment horizontal="left" vertical="center"/>
      <protection hidden="1"/>
    </xf>
    <xf numFmtId="0" fontId="352" fillId="29" borderId="85" xfId="0" applyFont="1" applyFill="1" applyBorder="1" applyAlignment="1" applyProtection="1">
      <alignment horizontal="center" vertical="center"/>
      <protection locked="0"/>
    </xf>
    <xf numFmtId="0" fontId="352" fillId="29" borderId="200" xfId="0" applyFont="1" applyFill="1" applyBorder="1" applyAlignment="1" applyProtection="1">
      <alignment horizontal="center" vertical="center"/>
      <protection locked="0"/>
    </xf>
    <xf numFmtId="0" fontId="174" fillId="0" borderId="0" xfId="0" applyFont="1" applyFill="1" applyBorder="1" applyAlignment="1" applyProtection="1">
      <alignment horizontal="right" vertical="center" indent="1"/>
      <protection hidden="1"/>
    </xf>
    <xf numFmtId="0" fontId="174" fillId="0" borderId="216" xfId="0" applyFont="1" applyFill="1" applyBorder="1" applyAlignment="1" applyProtection="1">
      <alignment horizontal="right" vertical="center" indent="1"/>
      <protection hidden="1"/>
    </xf>
    <xf numFmtId="0" fontId="182" fillId="0" borderId="160" xfId="0" applyFont="1" applyBorder="1" applyAlignment="1" applyProtection="1">
      <alignment horizontal="left"/>
      <protection hidden="1"/>
    </xf>
    <xf numFmtId="0" fontId="0" fillId="0" borderId="265" xfId="0" applyBorder="1" applyAlignment="1">
      <alignment horizontal="center" vertical="center"/>
    </xf>
    <xf numFmtId="0" fontId="0" fillId="59" borderId="224" xfId="0" applyFill="1" applyBorder="1" applyAlignment="1">
      <alignment horizontal="center" vertical="center"/>
    </xf>
    <xf numFmtId="0" fontId="0" fillId="0" borderId="307" xfId="0" applyBorder="1" applyAlignment="1">
      <alignment horizontal="center" vertical="center"/>
    </xf>
    <xf numFmtId="0" fontId="0" fillId="0" borderId="72" xfId="0" applyBorder="1" applyAlignment="1">
      <alignment horizontal="center" vertical="center"/>
    </xf>
    <xf numFmtId="0" fontId="0" fillId="0" borderId="493" xfId="0" applyBorder="1" applyAlignment="1">
      <alignment horizontal="center" vertical="center"/>
    </xf>
    <xf numFmtId="0" fontId="205" fillId="0" borderId="224" xfId="0" applyFont="1" applyBorder="1" applyAlignment="1" applyProtection="1">
      <alignment horizontal="left" vertical="center" indent="1"/>
      <protection hidden="1"/>
    </xf>
    <xf numFmtId="0" fontId="292" fillId="0" borderId="298" xfId="0" applyFont="1" applyBorder="1" applyAlignment="1" applyProtection="1">
      <alignment horizontal="left" vertical="center" indent="1"/>
      <protection hidden="1"/>
    </xf>
    <xf numFmtId="0" fontId="292" fillId="0" borderId="365" xfId="0" applyFont="1" applyBorder="1" applyAlignment="1" applyProtection="1">
      <alignment horizontal="left" vertical="center" indent="1"/>
      <protection hidden="1"/>
    </xf>
    <xf numFmtId="0" fontId="283" fillId="71" borderId="185" xfId="0" applyFont="1" applyFill="1" applyBorder="1" applyAlignment="1">
      <alignment horizontal="left" vertical="center" indent="1"/>
    </xf>
    <xf numFmtId="0" fontId="283" fillId="71" borderId="90" xfId="0" applyFont="1" applyFill="1" applyBorder="1" applyAlignment="1">
      <alignment horizontal="left" vertical="center" indent="1"/>
    </xf>
    <xf numFmtId="0" fontId="279" fillId="0" borderId="90" xfId="0" applyFont="1" applyBorder="1" applyAlignment="1">
      <alignment horizontal="left" vertical="center" indent="1"/>
    </xf>
    <xf numFmtId="0" fontId="228" fillId="59" borderId="71" xfId="23" applyFont="1" applyFill="1" applyBorder="1" applyAlignment="1" applyProtection="1">
      <alignment horizontal="left" vertical="center" wrapText="1" indent="1"/>
      <protection hidden="1"/>
    </xf>
    <xf numFmtId="0" fontId="0" fillId="0" borderId="265" xfId="0" applyBorder="1" applyAlignment="1" applyProtection="1">
      <alignment horizontal="left" vertical="center" wrapText="1" indent="1"/>
      <protection hidden="1"/>
    </xf>
    <xf numFmtId="0" fontId="149" fillId="59" borderId="224" xfId="0" applyFont="1" applyFill="1" applyBorder="1" applyAlignment="1" applyProtection="1">
      <alignment horizontal="left" vertical="center" wrapText="1" indent="1"/>
      <protection hidden="1"/>
    </xf>
    <xf numFmtId="0" fontId="0" fillId="0" borderId="307" xfId="0" applyBorder="1" applyAlignment="1" applyProtection="1">
      <alignment horizontal="left" vertical="center" wrapText="1" indent="1"/>
      <protection hidden="1"/>
    </xf>
    <xf numFmtId="0" fontId="275" fillId="0" borderId="298" xfId="0" applyFont="1" applyFill="1" applyBorder="1" applyAlignment="1" applyProtection="1">
      <alignment vertical="center" wrapText="1"/>
      <protection hidden="1"/>
    </xf>
    <xf numFmtId="0" fontId="0" fillId="0" borderId="308" xfId="0" applyBorder="1" applyAlignment="1" applyProtection="1">
      <alignment vertical="center" wrapText="1"/>
      <protection hidden="1"/>
    </xf>
    <xf numFmtId="0" fontId="436" fillId="0" borderId="0" xfId="0" applyFont="1" applyBorder="1" applyAlignment="1" applyProtection="1">
      <alignment horizontal="right" vertical="center" indent="1"/>
      <protection locked="0" hidden="1"/>
    </xf>
    <xf numFmtId="0" fontId="437" fillId="0" borderId="0" xfId="0" applyFont="1" applyBorder="1" applyAlignment="1" applyProtection="1">
      <alignment horizontal="right" vertical="center" indent="1"/>
      <protection hidden="1"/>
    </xf>
    <xf numFmtId="0" fontId="61" fillId="0" borderId="0" xfId="0" applyFont="1" applyBorder="1" applyAlignment="1" applyProtection="1">
      <alignment horizontal="right" vertical="center" indent="1"/>
      <protection locked="0"/>
    </xf>
    <xf numFmtId="0" fontId="0" fillId="0" borderId="0" xfId="0" applyBorder="1" applyAlignment="1">
      <alignment horizontal="right" vertical="center" indent="1"/>
    </xf>
    <xf numFmtId="0" fontId="16" fillId="0" borderId="137" xfId="0" applyFont="1" applyFill="1" applyBorder="1" applyAlignment="1" applyProtection="1">
      <alignment horizontal="left" vertical="center" indent="1"/>
      <protection locked="0"/>
    </xf>
    <xf numFmtId="0" fontId="0" fillId="84" borderId="494" xfId="0" applyFill="1" applyBorder="1" applyAlignment="1" applyProtection="1">
      <alignment horizontal="center" vertical="center" wrapText="1"/>
      <protection hidden="1"/>
    </xf>
    <xf numFmtId="0" fontId="20" fillId="65" borderId="489" xfId="23" applyFont="1" applyFill="1" applyBorder="1" applyAlignment="1" applyProtection="1">
      <alignment horizontal="center" vertical="center" wrapText="1"/>
      <protection hidden="1"/>
    </xf>
    <xf numFmtId="0" fontId="20" fillId="65" borderId="494" xfId="23" applyFont="1" applyFill="1" applyBorder="1" applyAlignment="1" applyProtection="1">
      <alignment horizontal="center" vertical="center" wrapText="1"/>
      <protection hidden="1"/>
    </xf>
    <xf numFmtId="0" fontId="20" fillId="84" borderId="425" xfId="0" applyFont="1" applyFill="1" applyBorder="1" applyAlignment="1" applyProtection="1">
      <alignment horizontal="center" vertical="center" wrapText="1"/>
      <protection hidden="1"/>
    </xf>
    <xf numFmtId="0" fontId="126" fillId="84" borderId="427" xfId="0" applyFont="1" applyFill="1" applyBorder="1" applyAlignment="1" applyProtection="1">
      <alignment horizontal="center" vertical="center" wrapText="1"/>
      <protection hidden="1"/>
    </xf>
    <xf numFmtId="0" fontId="16" fillId="0" borderId="160" xfId="0" applyFont="1" applyFill="1" applyBorder="1" applyAlignment="1" applyProtection="1">
      <alignment horizontal="left" vertical="center" indent="1"/>
      <protection locked="0"/>
    </xf>
    <xf numFmtId="0" fontId="0" fillId="0" borderId="323" xfId="0" applyBorder="1" applyAlignment="1">
      <alignment horizontal="left" vertical="center" indent="1"/>
    </xf>
    <xf numFmtId="0" fontId="56" fillId="84" borderId="313" xfId="0" applyFont="1" applyFill="1" applyBorder="1" applyAlignment="1" applyProtection="1">
      <alignment horizontal="center" vertical="center" wrapText="1"/>
      <protection hidden="1"/>
    </xf>
    <xf numFmtId="0" fontId="56" fillId="84" borderId="471" xfId="0" applyFont="1" applyFill="1" applyBorder="1" applyAlignment="1" applyProtection="1">
      <alignment horizontal="center" vertical="center" wrapText="1"/>
      <protection hidden="1"/>
    </xf>
    <xf numFmtId="0" fontId="118" fillId="59" borderId="474" xfId="0" applyFont="1" applyFill="1" applyBorder="1" applyAlignment="1" applyProtection="1">
      <alignment horizontal="center" vertical="center"/>
      <protection hidden="1"/>
    </xf>
    <xf numFmtId="0" fontId="118" fillId="59" borderId="594" xfId="0" applyFont="1" applyFill="1" applyBorder="1" applyAlignment="1" applyProtection="1">
      <alignment horizontal="center" vertical="center"/>
      <protection hidden="1"/>
    </xf>
    <xf numFmtId="0" fontId="274" fillId="71" borderId="185" xfId="0" applyFont="1" applyFill="1" applyBorder="1" applyAlignment="1">
      <alignment horizontal="left" vertical="center" indent="1"/>
    </xf>
    <xf numFmtId="0" fontId="274" fillId="71" borderId="90" xfId="0" applyFont="1" applyFill="1" applyBorder="1" applyAlignment="1">
      <alignment horizontal="left" vertical="center" indent="1"/>
    </xf>
    <xf numFmtId="0" fontId="292" fillId="0" borderId="90" xfId="0" applyFont="1" applyBorder="1" applyAlignment="1">
      <alignment horizontal="left" vertical="center" indent="1"/>
    </xf>
    <xf numFmtId="0" fontId="292" fillId="0" borderId="399" xfId="0" applyFont="1" applyBorder="1" applyAlignment="1">
      <alignment horizontal="left" vertical="center" indent="1"/>
    </xf>
    <xf numFmtId="0" fontId="62" fillId="59" borderId="222" xfId="0" applyFont="1" applyFill="1" applyBorder="1" applyAlignment="1" applyProtection="1">
      <alignment horizontal="center" vertical="center"/>
      <protection hidden="1"/>
    </xf>
    <xf numFmtId="0" fontId="104" fillId="65" borderId="203" xfId="0" applyFont="1" applyFill="1" applyBorder="1" applyAlignment="1" applyProtection="1">
      <alignment horizontal="center" vertical="center" wrapText="1"/>
      <protection hidden="1"/>
    </xf>
    <xf numFmtId="0" fontId="104" fillId="65" borderId="203" xfId="0" applyFont="1" applyFill="1" applyBorder="1" applyAlignment="1" applyProtection="1">
      <alignment horizontal="center" vertical="center"/>
      <protection hidden="1"/>
    </xf>
    <xf numFmtId="0" fontId="104" fillId="65" borderId="172" xfId="0" applyFont="1" applyFill="1" applyBorder="1" applyAlignment="1" applyProtection="1">
      <alignment horizontal="center" vertical="center"/>
      <protection hidden="1"/>
    </xf>
    <xf numFmtId="0" fontId="20" fillId="65" borderId="222" xfId="23" applyFont="1" applyFill="1" applyBorder="1" applyAlignment="1" applyProtection="1">
      <alignment horizontal="center" vertical="center"/>
      <protection hidden="1"/>
    </xf>
    <xf numFmtId="0" fontId="0" fillId="65" borderId="222" xfId="0" applyFill="1" applyBorder="1" applyAlignment="1" applyProtection="1">
      <alignment horizontal="center" vertical="center"/>
      <protection hidden="1"/>
    </xf>
    <xf numFmtId="0" fontId="20" fillId="65" borderId="647" xfId="23" applyFont="1" applyFill="1" applyBorder="1" applyAlignment="1" applyProtection="1">
      <alignment horizontal="center" vertical="center"/>
      <protection hidden="1"/>
    </xf>
    <xf numFmtId="0" fontId="20" fillId="65" borderId="421" xfId="23" applyFont="1" applyFill="1" applyBorder="1" applyAlignment="1" applyProtection="1">
      <alignment horizontal="center" vertical="center"/>
      <protection hidden="1"/>
    </xf>
    <xf numFmtId="0" fontId="0" fillId="65" borderId="421" xfId="0" applyFill="1" applyBorder="1" applyAlignment="1" applyProtection="1">
      <alignment horizontal="center" vertical="center"/>
      <protection hidden="1"/>
    </xf>
    <xf numFmtId="176" fontId="216" fillId="0" borderId="133" xfId="0" applyNumberFormat="1" applyFont="1" applyBorder="1" applyAlignment="1" applyProtection="1">
      <alignment horizontal="left" vertical="center"/>
      <protection locked="0"/>
    </xf>
    <xf numFmtId="0" fontId="0" fillId="0" borderId="133" xfId="0" applyBorder="1" applyAlignment="1" applyProtection="1">
      <alignment horizontal="left" vertical="center"/>
      <protection locked="0"/>
    </xf>
    <xf numFmtId="176" fontId="216" fillId="0" borderId="209" xfId="0" applyNumberFormat="1" applyFont="1" applyBorder="1" applyAlignment="1" applyProtection="1">
      <alignment horizontal="left" vertical="center"/>
      <protection locked="0"/>
    </xf>
    <xf numFmtId="0" fontId="0" fillId="0" borderId="209" xfId="0" applyBorder="1" applyAlignment="1" applyProtection="1">
      <alignment horizontal="left" vertical="center"/>
      <protection locked="0"/>
    </xf>
    <xf numFmtId="0" fontId="20" fillId="43" borderId="313" xfId="0" applyFont="1" applyFill="1" applyBorder="1" applyAlignment="1" applyProtection="1">
      <alignment horizontal="center" vertical="center" wrapText="1"/>
      <protection locked="0" hidden="1"/>
    </xf>
    <xf numFmtId="0" fontId="0" fillId="0" borderId="203" xfId="0" applyBorder="1" applyAlignment="1" applyProtection="1">
      <alignment horizontal="center" vertical="center" wrapText="1"/>
      <protection locked="0" hidden="1"/>
    </xf>
    <xf numFmtId="176" fontId="53" fillId="72" borderId="136" xfId="0" applyNumberFormat="1" applyFont="1" applyFill="1" applyBorder="1" applyAlignment="1" applyProtection="1">
      <alignment horizontal="center" vertical="center"/>
      <protection hidden="1"/>
    </xf>
    <xf numFmtId="0" fontId="154" fillId="72" borderId="136" xfId="0" applyFont="1" applyFill="1" applyBorder="1" applyAlignment="1" applyProtection="1">
      <alignment horizontal="center" vertical="center"/>
      <protection hidden="1"/>
    </xf>
    <xf numFmtId="0" fontId="346" fillId="0" borderId="0" xfId="0" applyFont="1" applyFill="1" applyBorder="1" applyAlignment="1" applyProtection="1">
      <alignment horizontal="center" vertical="center"/>
      <protection hidden="1"/>
    </xf>
    <xf numFmtId="0" fontId="53" fillId="0" borderId="136" xfId="0" applyFont="1" applyFill="1" applyBorder="1" applyAlignment="1" applyProtection="1">
      <alignment horizontal="center" vertical="center"/>
      <protection locked="0" hidden="1"/>
    </xf>
    <xf numFmtId="170" fontId="237" fillId="0" borderId="418" xfId="0" applyNumberFormat="1" applyFont="1" applyFill="1" applyBorder="1" applyAlignment="1" applyProtection="1">
      <alignment horizontal="center" vertical="center"/>
      <protection hidden="1"/>
    </xf>
    <xf numFmtId="0" fontId="204" fillId="0" borderId="418" xfId="0" applyFont="1" applyBorder="1" applyAlignment="1" applyProtection="1">
      <alignment horizontal="center" vertical="center"/>
      <protection hidden="1"/>
    </xf>
    <xf numFmtId="0" fontId="248" fillId="59" borderId="203" xfId="0" applyFont="1" applyFill="1" applyBorder="1" applyAlignment="1" applyProtection="1">
      <alignment horizontal="center" vertical="center"/>
      <protection hidden="1"/>
    </xf>
    <xf numFmtId="0" fontId="248" fillId="59" borderId="160" xfId="0" applyFont="1" applyFill="1" applyBorder="1" applyAlignment="1" applyProtection="1">
      <alignment horizontal="center" vertical="center"/>
      <protection hidden="1"/>
    </xf>
    <xf numFmtId="0" fontId="16" fillId="0" borderId="203" xfId="0" applyFont="1" applyFill="1" applyBorder="1" applyAlignment="1" applyProtection="1">
      <alignment horizontal="left" vertical="center" wrapText="1" indent="1"/>
      <protection locked="0"/>
    </xf>
    <xf numFmtId="0" fontId="16" fillId="0" borderId="203" xfId="0" applyFont="1" applyBorder="1" applyAlignment="1" applyProtection="1">
      <alignment horizontal="left" vertical="center" wrapText="1" indent="1"/>
      <protection locked="0"/>
    </xf>
    <xf numFmtId="0" fontId="0" fillId="0" borderId="160" xfId="0" applyBorder="1" applyAlignment="1">
      <alignment horizontal="left" vertical="center" wrapText="1" indent="1"/>
    </xf>
    <xf numFmtId="0" fontId="93" fillId="0" borderId="226" xfId="0" applyFont="1" applyFill="1" applyBorder="1" applyAlignment="1" applyProtection="1">
      <alignment horizontal="center" vertical="center"/>
      <protection locked="0" hidden="1"/>
    </xf>
    <xf numFmtId="0" fontId="0" fillId="0" borderId="226" xfId="0" applyBorder="1" applyAlignment="1">
      <alignment horizontal="center" vertical="center"/>
    </xf>
    <xf numFmtId="0" fontId="274" fillId="0" borderId="224" xfId="0" applyFont="1" applyFill="1" applyBorder="1" applyAlignment="1" applyProtection="1">
      <alignment horizontal="left" vertical="center" indent="1"/>
      <protection hidden="1"/>
    </xf>
    <xf numFmtId="0" fontId="292" fillId="0" borderId="72" xfId="0" applyFont="1" applyFill="1" applyBorder="1" applyAlignment="1" applyProtection="1">
      <alignment horizontal="left" vertical="center" indent="1"/>
      <protection hidden="1"/>
    </xf>
    <xf numFmtId="0" fontId="0" fillId="0" borderId="160" xfId="0" applyBorder="1" applyAlignment="1">
      <alignment horizontal="left" vertical="center" indent="1"/>
    </xf>
    <xf numFmtId="3" fontId="18" fillId="0" borderId="67" xfId="0" applyNumberFormat="1" applyFont="1" applyFill="1" applyBorder="1" applyAlignment="1" applyProtection="1">
      <alignment horizontal="right" vertical="center" indent="1"/>
      <protection hidden="1"/>
    </xf>
    <xf numFmtId="3" fontId="20" fillId="34" borderId="356" xfId="0" applyNumberFormat="1" applyFont="1" applyFill="1" applyBorder="1" applyAlignment="1" applyProtection="1">
      <alignment horizontal="center" vertical="center" wrapText="1"/>
      <protection hidden="1"/>
    </xf>
    <xf numFmtId="3" fontId="20" fillId="34" borderId="228" xfId="0" applyNumberFormat="1" applyFont="1" applyFill="1" applyBorder="1" applyAlignment="1" applyProtection="1">
      <alignment horizontal="center" vertical="center" wrapText="1"/>
      <protection hidden="1"/>
    </xf>
    <xf numFmtId="3" fontId="20" fillId="34" borderId="496" xfId="0" applyNumberFormat="1" applyFont="1" applyFill="1" applyBorder="1" applyAlignment="1" applyProtection="1">
      <alignment horizontal="center" vertical="center" wrapText="1"/>
      <protection hidden="1"/>
    </xf>
    <xf numFmtId="0" fontId="292" fillId="0" borderId="365" xfId="0" applyFont="1" applyFill="1" applyBorder="1" applyAlignment="1" applyProtection="1">
      <alignment horizontal="left" vertical="center"/>
      <protection hidden="1"/>
    </xf>
    <xf numFmtId="0" fontId="353" fillId="0" borderId="146" xfId="0" applyFont="1" applyBorder="1" applyAlignment="1" applyProtection="1">
      <alignment horizontal="left" vertical="center"/>
      <protection hidden="1"/>
    </xf>
    <xf numFmtId="0" fontId="0" fillId="0" borderId="146" xfId="0" applyBorder="1" applyAlignment="1" applyProtection="1">
      <alignment horizontal="right" vertical="center"/>
      <protection hidden="1"/>
    </xf>
    <xf numFmtId="0" fontId="274" fillId="46" borderId="238" xfId="0" applyFont="1" applyFill="1" applyBorder="1" applyAlignment="1" applyProtection="1">
      <alignment horizontal="left" vertical="center"/>
      <protection hidden="1"/>
    </xf>
    <xf numFmtId="0" fontId="353" fillId="46" borderId="209" xfId="0" applyFont="1" applyFill="1" applyBorder="1" applyAlignment="1" applyProtection="1">
      <alignment horizontal="left" vertical="center"/>
      <protection hidden="1"/>
    </xf>
    <xf numFmtId="0" fontId="0" fillId="0" borderId="209" xfId="0" applyBorder="1" applyAlignment="1" applyProtection="1">
      <alignment horizontal="right" vertical="center"/>
      <protection hidden="1"/>
    </xf>
    <xf numFmtId="0" fontId="292" fillId="0" borderId="258" xfId="0" applyFont="1" applyBorder="1" applyAlignment="1" applyProtection="1">
      <alignment horizontal="left" vertical="center" indent="1"/>
      <protection hidden="1"/>
    </xf>
    <xf numFmtId="0" fontId="0" fillId="0" borderId="206" xfId="0" applyBorder="1" applyAlignment="1">
      <alignment horizontal="left" vertical="center" indent="1"/>
    </xf>
    <xf numFmtId="0" fontId="56" fillId="84" borderId="222" xfId="0" applyFont="1" applyFill="1" applyBorder="1" applyAlignment="1" applyProtection="1">
      <alignment horizontal="center" vertical="center" wrapText="1"/>
      <protection hidden="1"/>
    </xf>
    <xf numFmtId="0" fontId="8" fillId="84" borderId="247" xfId="0" applyFont="1" applyFill="1" applyBorder="1" applyAlignment="1" applyProtection="1">
      <alignment horizontal="center" vertical="center" wrapText="1"/>
      <protection hidden="1"/>
    </xf>
    <xf numFmtId="0" fontId="20" fillId="84" borderId="313" xfId="0" applyFont="1" applyFill="1" applyBorder="1" applyAlignment="1" applyProtection="1">
      <alignment horizontal="center" vertical="center"/>
      <protection hidden="1"/>
    </xf>
    <xf numFmtId="0" fontId="20" fillId="84" borderId="265" xfId="0" applyFont="1" applyFill="1" applyBorder="1" applyAlignment="1" applyProtection="1">
      <alignment horizontal="center" vertical="center"/>
      <protection hidden="1"/>
    </xf>
    <xf numFmtId="0" fontId="20" fillId="84" borderId="489" xfId="0" applyFont="1" applyFill="1" applyBorder="1" applyAlignment="1" applyProtection="1">
      <alignment horizontal="center" vertical="center" wrapText="1"/>
      <protection hidden="1"/>
    </xf>
    <xf numFmtId="0" fontId="20" fillId="84" borderId="494" xfId="0" applyFont="1" applyFill="1" applyBorder="1" applyAlignment="1" applyProtection="1">
      <alignment horizontal="center" vertical="center" wrapText="1"/>
      <protection hidden="1"/>
    </xf>
    <xf numFmtId="0" fontId="353" fillId="0" borderId="161" xfId="0" applyFont="1" applyBorder="1" applyAlignment="1" applyProtection="1">
      <alignment horizontal="right" vertical="center"/>
      <protection hidden="1"/>
    </xf>
    <xf numFmtId="0" fontId="292" fillId="0" borderId="146" xfId="0" applyFont="1" applyFill="1" applyBorder="1" applyAlignment="1" applyProtection="1">
      <alignment horizontal="left" vertical="center"/>
      <protection hidden="1"/>
    </xf>
    <xf numFmtId="0" fontId="0" fillId="0" borderId="146" xfId="0" applyBorder="1" applyAlignment="1" applyProtection="1">
      <alignment horizontal="left" vertical="center"/>
      <protection hidden="1"/>
    </xf>
    <xf numFmtId="0" fontId="274" fillId="46" borderId="209" xfId="0" applyFont="1" applyFill="1" applyBorder="1" applyAlignment="1" applyProtection="1">
      <alignment horizontal="left" vertical="center"/>
      <protection hidden="1"/>
    </xf>
    <xf numFmtId="0" fontId="0" fillId="0" borderId="209" xfId="0" applyBorder="1" applyAlignment="1" applyProtection="1">
      <alignment horizontal="left" vertical="center"/>
      <protection hidden="1"/>
    </xf>
    <xf numFmtId="0" fontId="279" fillId="0" borderId="366" xfId="0" applyFont="1" applyFill="1" applyBorder="1" applyAlignment="1" applyProtection="1">
      <alignment horizontal="left" vertical="center"/>
      <protection hidden="1"/>
    </xf>
    <xf numFmtId="0" fontId="353" fillId="0" borderId="250" xfId="0" applyFont="1" applyBorder="1" applyAlignment="1" applyProtection="1">
      <alignment horizontal="right" vertical="center"/>
      <protection hidden="1"/>
    </xf>
    <xf numFmtId="0" fontId="0" fillId="0" borderId="250" xfId="0" applyBorder="1" applyAlignment="1" applyProtection="1">
      <alignment horizontal="right" vertical="center"/>
      <protection hidden="1"/>
    </xf>
    <xf numFmtId="0" fontId="274" fillId="0" borderId="71" xfId="0" applyFont="1" applyFill="1" applyBorder="1" applyAlignment="1" applyProtection="1">
      <alignment horizontal="left" vertical="center" indent="1"/>
      <protection locked="0" hidden="1"/>
    </xf>
    <xf numFmtId="0" fontId="0" fillId="0" borderId="203" xfId="0" applyBorder="1" applyAlignment="1">
      <alignment horizontal="left" vertical="center" indent="1"/>
    </xf>
    <xf numFmtId="0" fontId="4" fillId="0" borderId="72" xfId="0" applyFont="1" applyBorder="1" applyAlignment="1">
      <alignment horizontal="left" vertical="center" indent="1"/>
    </xf>
    <xf numFmtId="0" fontId="34" fillId="59" borderId="71" xfId="0" applyFont="1" applyFill="1" applyBorder="1" applyAlignment="1" applyProtection="1">
      <alignment horizontal="left" vertical="center" wrapText="1" indent="1"/>
      <protection hidden="1"/>
    </xf>
    <xf numFmtId="0" fontId="147" fillId="0" borderId="265" xfId="0" applyFont="1" applyBorder="1" applyAlignment="1">
      <alignment horizontal="left" vertical="center" wrapText="1" indent="1"/>
    </xf>
    <xf numFmtId="0" fontId="34" fillId="59" borderId="72" xfId="0" applyFont="1" applyFill="1" applyBorder="1" applyAlignment="1" applyProtection="1">
      <alignment horizontal="left" vertical="center" wrapText="1" indent="1"/>
      <protection hidden="1"/>
    </xf>
    <xf numFmtId="0" fontId="147" fillId="0" borderId="493" xfId="0" applyFont="1" applyBorder="1" applyAlignment="1">
      <alignment horizontal="left" vertical="center" wrapText="1" indent="1"/>
    </xf>
    <xf numFmtId="0" fontId="274" fillId="0" borderId="224" xfId="0" applyFont="1" applyFill="1" applyBorder="1" applyAlignment="1" applyProtection="1">
      <alignment horizontal="left" indent="1"/>
      <protection hidden="1"/>
    </xf>
    <xf numFmtId="0" fontId="292" fillId="0" borderId="72" xfId="0" applyFont="1" applyFill="1" applyBorder="1" applyAlignment="1" applyProtection="1">
      <alignment horizontal="left" vertical="top" indent="1"/>
      <protection hidden="1"/>
    </xf>
    <xf numFmtId="0" fontId="0" fillId="0" borderId="160" xfId="0" applyBorder="1" applyAlignment="1">
      <alignment horizontal="left" vertical="top" indent="1"/>
    </xf>
    <xf numFmtId="0" fontId="274" fillId="0" borderId="71" xfId="0" applyFont="1" applyFill="1" applyBorder="1" applyAlignment="1" applyProtection="1">
      <alignment horizontal="left" indent="1"/>
      <protection hidden="1"/>
    </xf>
    <xf numFmtId="0" fontId="56" fillId="59" borderId="222" xfId="0" applyFont="1" applyFill="1" applyBorder="1" applyAlignment="1" applyProtection="1">
      <alignment horizontal="center" vertical="center" wrapText="1"/>
      <protection hidden="1"/>
    </xf>
    <xf numFmtId="0" fontId="56" fillId="59" borderId="247" xfId="0" applyFont="1" applyFill="1" applyBorder="1" applyAlignment="1" applyProtection="1">
      <alignment horizontal="center" vertical="center" wrapText="1"/>
      <protection hidden="1"/>
    </xf>
    <xf numFmtId="0" fontId="20" fillId="65" borderId="222" xfId="0" applyFont="1" applyFill="1" applyBorder="1" applyAlignment="1" applyProtection="1">
      <alignment horizontal="center" vertical="center"/>
      <protection hidden="1"/>
    </xf>
    <xf numFmtId="0" fontId="20" fillId="65" borderId="247" xfId="0" applyFont="1" applyFill="1" applyBorder="1" applyAlignment="1" applyProtection="1">
      <alignment horizontal="center" vertical="center"/>
      <protection hidden="1"/>
    </xf>
    <xf numFmtId="0" fontId="20" fillId="43" borderId="396" xfId="0" applyFont="1" applyFill="1" applyBorder="1" applyAlignment="1" applyProtection="1">
      <alignment horizontal="center" vertical="center" wrapText="1"/>
      <protection locked="0" hidden="1"/>
    </xf>
    <xf numFmtId="0" fontId="0" fillId="0" borderId="227" xfId="0" applyBorder="1" applyAlignment="1" applyProtection="1">
      <alignment horizontal="center" vertical="center" wrapText="1"/>
      <protection locked="0" hidden="1"/>
    </xf>
    <xf numFmtId="0" fontId="185" fillId="59" borderId="217" xfId="0" applyFont="1" applyFill="1" applyBorder="1" applyAlignment="1" applyProtection="1">
      <alignment horizontal="center" vertical="center"/>
      <protection hidden="1"/>
    </xf>
    <xf numFmtId="0" fontId="352" fillId="29" borderId="198" xfId="0" applyFont="1" applyFill="1" applyBorder="1" applyAlignment="1" applyProtection="1">
      <alignment horizontal="center" vertical="center"/>
      <protection hidden="1"/>
    </xf>
    <xf numFmtId="0" fontId="352" fillId="29" borderId="201" xfId="0" applyFont="1" applyFill="1" applyBorder="1" applyAlignment="1" applyProtection="1">
      <alignment horizontal="center" vertical="center"/>
      <protection hidden="1"/>
    </xf>
    <xf numFmtId="0" fontId="30" fillId="29" borderId="85" xfId="0" applyFont="1" applyFill="1" applyBorder="1" applyAlignment="1" applyProtection="1">
      <alignment horizontal="center" vertical="center"/>
      <protection hidden="1"/>
    </xf>
    <xf numFmtId="0" fontId="30" fillId="29" borderId="86" xfId="0" applyFont="1" applyFill="1" applyBorder="1" applyAlignment="1" applyProtection="1">
      <alignment horizontal="center" vertical="center"/>
      <protection hidden="1"/>
    </xf>
    <xf numFmtId="0" fontId="128" fillId="29" borderId="213" xfId="0" applyFont="1" applyFill="1" applyBorder="1" applyAlignment="1" applyProtection="1">
      <alignment horizontal="center" vertical="center"/>
      <protection hidden="1"/>
    </xf>
    <xf numFmtId="0" fontId="128" fillId="29" borderId="212" xfId="0" applyFont="1" applyFill="1" applyBorder="1" applyAlignment="1" applyProtection="1">
      <alignment horizontal="center" vertical="center"/>
      <protection hidden="1"/>
    </xf>
    <xf numFmtId="0" fontId="128" fillId="29" borderId="215" xfId="0" applyFont="1" applyFill="1" applyBorder="1" applyAlignment="1" applyProtection="1">
      <alignment horizontal="center" vertical="center"/>
      <protection hidden="1"/>
    </xf>
    <xf numFmtId="0" fontId="128" fillId="29" borderId="214" xfId="0" applyFont="1" applyFill="1" applyBorder="1" applyAlignment="1" applyProtection="1">
      <alignment horizontal="center" vertical="center"/>
      <protection hidden="1"/>
    </xf>
    <xf numFmtId="0" fontId="128" fillId="29" borderId="0" xfId="0" applyFont="1" applyFill="1" applyBorder="1" applyAlignment="1" applyProtection="1">
      <alignment horizontal="center" vertical="center"/>
      <protection hidden="1"/>
    </xf>
    <xf numFmtId="0" fontId="128" fillId="29" borderId="216" xfId="0" applyFont="1" applyFill="1" applyBorder="1" applyAlignment="1" applyProtection="1">
      <alignment horizontal="center" vertical="center"/>
      <protection hidden="1"/>
    </xf>
    <xf numFmtId="0" fontId="20" fillId="29" borderId="85" xfId="0" applyFont="1" applyFill="1" applyBorder="1" applyAlignment="1" applyProtection="1">
      <alignment horizontal="center" vertical="center" wrapText="1"/>
      <protection hidden="1"/>
    </xf>
    <xf numFmtId="0" fontId="20" fillId="29" borderId="86" xfId="0" applyFont="1" applyFill="1" applyBorder="1" applyAlignment="1" applyProtection="1">
      <alignment horizontal="center" vertical="center" wrapText="1"/>
      <protection hidden="1"/>
    </xf>
    <xf numFmtId="0" fontId="30" fillId="29" borderId="193" xfId="0" applyFont="1" applyFill="1" applyBorder="1" applyAlignment="1" applyProtection="1">
      <alignment horizontal="center" vertical="center"/>
      <protection hidden="1"/>
    </xf>
    <xf numFmtId="0" fontId="30" fillId="29" borderId="195" xfId="0" applyFont="1" applyFill="1" applyBorder="1" applyAlignment="1" applyProtection="1">
      <alignment horizontal="center" vertical="center"/>
      <protection hidden="1"/>
    </xf>
    <xf numFmtId="0" fontId="20" fillId="29" borderId="194" xfId="0" applyFont="1" applyFill="1" applyBorder="1" applyAlignment="1" applyProtection="1">
      <alignment horizontal="center" vertical="center" wrapText="1"/>
      <protection hidden="1"/>
    </xf>
    <xf numFmtId="0" fontId="20" fillId="29" borderId="197" xfId="0" applyFont="1" applyFill="1" applyBorder="1" applyAlignment="1" applyProtection="1">
      <alignment horizontal="center" vertical="center" wrapText="1"/>
      <protection hidden="1"/>
    </xf>
    <xf numFmtId="0" fontId="20" fillId="29" borderId="193" xfId="0" applyFont="1" applyFill="1" applyBorder="1" applyAlignment="1" applyProtection="1">
      <alignment horizontal="center" vertical="center" wrapText="1"/>
      <protection hidden="1"/>
    </xf>
    <xf numFmtId="0" fontId="20" fillId="29" borderId="195" xfId="0" applyFont="1" applyFill="1" applyBorder="1" applyAlignment="1" applyProtection="1">
      <alignment horizontal="center" vertical="center" wrapText="1"/>
      <protection hidden="1"/>
    </xf>
    <xf numFmtId="0" fontId="62" fillId="29" borderId="191" xfId="0" applyFont="1" applyFill="1" applyBorder="1" applyAlignment="1" applyProtection="1">
      <alignment horizontal="center" vertical="center"/>
      <protection hidden="1"/>
    </xf>
    <xf numFmtId="0" fontId="62" fillId="29" borderId="86" xfId="0" applyFont="1" applyFill="1" applyBorder="1" applyAlignment="1" applyProtection="1">
      <alignment horizontal="center" vertical="center"/>
      <protection hidden="1"/>
    </xf>
    <xf numFmtId="0" fontId="62" fillId="29" borderId="194" xfId="0" applyFont="1" applyFill="1" applyBorder="1" applyAlignment="1" applyProtection="1">
      <alignment horizontal="center" vertical="center" wrapText="1"/>
      <protection hidden="1"/>
    </xf>
    <xf numFmtId="0" fontId="62" fillId="29" borderId="196" xfId="0" applyFont="1" applyFill="1" applyBorder="1" applyAlignment="1" applyProtection="1">
      <alignment horizontal="center" vertical="center" wrapText="1"/>
      <protection hidden="1"/>
    </xf>
    <xf numFmtId="170" fontId="53" fillId="0" borderId="321" xfId="0" applyNumberFormat="1" applyFont="1" applyFill="1" applyBorder="1" applyAlignment="1" applyProtection="1">
      <alignment horizontal="center" vertical="center"/>
      <protection locked="0"/>
    </xf>
    <xf numFmtId="170" fontId="53" fillId="0" borderId="226" xfId="0" applyNumberFormat="1" applyFont="1" applyFill="1" applyBorder="1" applyAlignment="1" applyProtection="1">
      <alignment horizontal="center" vertical="center"/>
      <protection locked="0"/>
    </xf>
    <xf numFmtId="9" fontId="97" fillId="0" borderId="226" xfId="0" applyNumberFormat="1" applyFont="1" applyFill="1" applyBorder="1" applyAlignment="1" applyProtection="1">
      <alignment horizontal="center" vertical="center"/>
      <protection locked="0"/>
    </xf>
    <xf numFmtId="9" fontId="53" fillId="0" borderId="321" xfId="0" applyNumberFormat="1" applyFont="1" applyFill="1" applyBorder="1" applyAlignment="1" applyProtection="1">
      <alignment horizontal="center" vertical="center"/>
      <protection locked="0"/>
    </xf>
    <xf numFmtId="9" fontId="53" fillId="0" borderId="226" xfId="0" applyNumberFormat="1" applyFont="1" applyFill="1" applyBorder="1" applyAlignment="1" applyProtection="1">
      <alignment horizontal="center" vertical="center"/>
      <protection locked="0"/>
    </xf>
    <xf numFmtId="0" fontId="53" fillId="0" borderId="72" xfId="0" applyFont="1" applyFill="1" applyBorder="1" applyAlignment="1" applyProtection="1">
      <alignment horizontal="center" vertical="center"/>
      <protection locked="0" hidden="1"/>
    </xf>
    <xf numFmtId="0" fontId="93" fillId="0" borderId="321" xfId="0" applyFont="1" applyFill="1" applyBorder="1" applyAlignment="1" applyProtection="1">
      <alignment horizontal="center" vertical="center"/>
      <protection locked="0" hidden="1"/>
    </xf>
    <xf numFmtId="0" fontId="185" fillId="65" borderId="222" xfId="0" applyFont="1" applyFill="1" applyBorder="1" applyAlignment="1" applyProtection="1">
      <alignment horizontal="center" vertical="center"/>
      <protection hidden="1"/>
    </xf>
    <xf numFmtId="0" fontId="185" fillId="65" borderId="247" xfId="0" applyFont="1" applyFill="1" applyBorder="1" applyAlignment="1" applyProtection="1">
      <alignment horizontal="center" vertical="center"/>
      <protection hidden="1"/>
    </xf>
    <xf numFmtId="0" fontId="292" fillId="0" borderId="71" xfId="0" applyFont="1" applyFill="1" applyBorder="1" applyAlignment="1" applyProtection="1">
      <alignment horizontal="left" vertical="center"/>
      <protection hidden="1"/>
    </xf>
    <xf numFmtId="0" fontId="353" fillId="0" borderId="203" xfId="0" applyFont="1" applyBorder="1" applyAlignment="1" applyProtection="1">
      <alignment horizontal="left" vertical="center"/>
      <protection hidden="1"/>
    </xf>
    <xf numFmtId="0" fontId="0" fillId="0" borderId="203" xfId="0" applyBorder="1" applyAlignment="1" applyProtection="1">
      <alignment horizontal="right" vertical="center"/>
      <protection hidden="1"/>
    </xf>
    <xf numFmtId="0" fontId="427" fillId="0" borderId="298" xfId="0" applyFont="1" applyBorder="1" applyAlignment="1" applyProtection="1">
      <alignment vertical="center" wrapText="1"/>
      <protection locked="0" hidden="1"/>
    </xf>
    <xf numFmtId="0" fontId="427" fillId="0" borderId="204" xfId="0" applyFont="1" applyBorder="1" applyAlignment="1" applyProtection="1">
      <alignment vertical="center" wrapText="1"/>
      <protection locked="0" hidden="1"/>
    </xf>
    <xf numFmtId="0" fontId="0" fillId="0" borderId="308" xfId="0" applyBorder="1" applyAlignment="1" applyProtection="1">
      <alignment vertical="center"/>
      <protection hidden="1"/>
    </xf>
    <xf numFmtId="165" fontId="426" fillId="46" borderId="298" xfId="0" applyNumberFormat="1" applyFont="1" applyFill="1" applyBorder="1" applyAlignment="1" applyProtection="1">
      <alignment horizontal="center" vertical="center"/>
      <protection hidden="1"/>
    </xf>
    <xf numFmtId="165" fontId="426" fillId="46" borderId="318" xfId="0" applyNumberFormat="1" applyFont="1" applyFill="1" applyBorder="1" applyAlignment="1" applyProtection="1">
      <alignment horizontal="center" vertical="center"/>
      <protection hidden="1"/>
    </xf>
    <xf numFmtId="0" fontId="279" fillId="0" borderId="224" xfId="0" applyFont="1" applyBorder="1" applyAlignment="1" applyProtection="1">
      <alignment horizontal="left" vertical="center" indent="1"/>
      <protection locked="0" hidden="1"/>
    </xf>
    <xf numFmtId="0" fontId="252" fillId="84" borderId="246" xfId="0" applyFont="1" applyFill="1" applyBorder="1" applyAlignment="1" applyProtection="1">
      <alignment horizontal="right" vertical="center" indent="1"/>
      <protection hidden="1"/>
    </xf>
    <xf numFmtId="0" fontId="252" fillId="84" borderId="137" xfId="0" applyFont="1" applyFill="1" applyBorder="1" applyAlignment="1" applyProtection="1">
      <alignment horizontal="right" vertical="center" indent="1"/>
      <protection hidden="1"/>
    </xf>
    <xf numFmtId="0" fontId="252" fillId="84" borderId="217" xfId="0" applyFont="1" applyFill="1" applyBorder="1" applyAlignment="1" applyProtection="1">
      <alignment horizontal="right" vertical="center" indent="1"/>
      <protection hidden="1"/>
    </xf>
    <xf numFmtId="0" fontId="448" fillId="0" borderId="0" xfId="0" applyFont="1" applyBorder="1" applyAlignment="1" applyProtection="1">
      <alignment horizontal="center" vertical="center"/>
      <protection hidden="1"/>
    </xf>
    <xf numFmtId="0" fontId="252" fillId="59" borderId="136" xfId="0" applyFont="1" applyFill="1" applyBorder="1" applyAlignment="1" applyProtection="1">
      <alignment horizontal="left" vertical="center" indent="1"/>
      <protection hidden="1"/>
    </xf>
    <xf numFmtId="0" fontId="0" fillId="0" borderId="137" xfId="0" applyBorder="1" applyAlignment="1" applyProtection="1">
      <alignment horizontal="left" vertical="center" indent="1"/>
      <protection hidden="1"/>
    </xf>
    <xf numFmtId="0" fontId="0" fillId="0" borderId="217" xfId="0" applyBorder="1" applyAlignment="1" applyProtection="1">
      <alignment horizontal="left" vertical="center" indent="1"/>
      <protection hidden="1"/>
    </xf>
    <xf numFmtId="2" fontId="20" fillId="59" borderId="315" xfId="0" applyNumberFormat="1" applyFont="1" applyFill="1" applyBorder="1" applyAlignment="1" applyProtection="1">
      <alignment horizontal="center" vertical="center" wrapText="1"/>
      <protection hidden="1"/>
    </xf>
    <xf numFmtId="2" fontId="20" fillId="59" borderId="217" xfId="0" applyNumberFormat="1" applyFont="1" applyFill="1" applyBorder="1" applyAlignment="1" applyProtection="1">
      <alignment horizontal="center" vertical="center" wrapText="1"/>
      <protection hidden="1"/>
    </xf>
    <xf numFmtId="0" fontId="427" fillId="0" borderId="167" xfId="0" applyFont="1" applyBorder="1" applyAlignment="1" applyProtection="1">
      <alignment vertical="center" wrapText="1"/>
      <protection hidden="1"/>
    </xf>
    <xf numFmtId="0" fontId="427" fillId="0" borderId="161" xfId="0" applyFont="1" applyBorder="1" applyAlignment="1" applyProtection="1">
      <alignment vertical="center" wrapText="1"/>
      <protection hidden="1"/>
    </xf>
    <xf numFmtId="0" fontId="0" fillId="0" borderId="262" xfId="0" applyBorder="1" applyAlignment="1" applyProtection="1">
      <alignment vertical="center"/>
      <protection hidden="1"/>
    </xf>
    <xf numFmtId="165" fontId="426" fillId="46" borderId="167" xfId="0" applyNumberFormat="1" applyFont="1" applyFill="1" applyBorder="1" applyAlignment="1" applyProtection="1">
      <alignment horizontal="center" vertical="center"/>
      <protection hidden="1"/>
    </xf>
    <xf numFmtId="165" fontId="426" fillId="46" borderId="245" xfId="0" applyNumberFormat="1" applyFont="1" applyFill="1" applyBorder="1" applyAlignment="1" applyProtection="1">
      <alignment horizontal="center" vertical="center"/>
      <protection hidden="1"/>
    </xf>
    <xf numFmtId="0" fontId="427" fillId="0" borderId="258" xfId="0" applyFont="1" applyFill="1" applyBorder="1" applyAlignment="1" applyProtection="1">
      <alignment vertical="center" wrapText="1"/>
      <protection locked="0"/>
    </xf>
    <xf numFmtId="0" fontId="427" fillId="0" borderId="206" xfId="0" applyFont="1" applyFill="1" applyBorder="1" applyAlignment="1" applyProtection="1">
      <alignment vertical="center" wrapText="1"/>
      <protection locked="0"/>
    </xf>
    <xf numFmtId="0" fontId="0" fillId="0" borderId="309" xfId="0" applyBorder="1" applyAlignment="1">
      <alignment vertical="center"/>
    </xf>
    <xf numFmtId="165" fontId="426" fillId="46" borderId="258" xfId="0" applyNumberFormat="1" applyFont="1" applyFill="1" applyBorder="1" applyAlignment="1" applyProtection="1">
      <alignment horizontal="center" vertical="center"/>
      <protection hidden="1"/>
    </xf>
    <xf numFmtId="165" fontId="426" fillId="46" borderId="260" xfId="0" applyNumberFormat="1" applyFont="1" applyFill="1" applyBorder="1" applyAlignment="1" applyProtection="1">
      <alignment horizontal="center" vertical="center"/>
      <protection hidden="1"/>
    </xf>
    <xf numFmtId="0" fontId="426" fillId="0" borderId="0" xfId="0" applyFont="1" applyFill="1" applyBorder="1" applyAlignment="1" applyProtection="1">
      <alignment horizontal="right" vertical="center" indent="2"/>
      <protection hidden="1"/>
    </xf>
    <xf numFmtId="0" fontId="426" fillId="0" borderId="293" xfId="0" applyFont="1" applyFill="1" applyBorder="1" applyAlignment="1" applyProtection="1">
      <alignment horizontal="right" vertical="center" indent="2"/>
      <protection hidden="1"/>
    </xf>
    <xf numFmtId="211" fontId="252" fillId="53" borderId="136" xfId="0" applyNumberFormat="1" applyFont="1" applyFill="1" applyBorder="1" applyAlignment="1" applyProtection="1">
      <alignment horizontal="center" vertical="center"/>
      <protection hidden="1"/>
    </xf>
    <xf numFmtId="211" fontId="252" fillId="53" borderId="217" xfId="0" applyNumberFormat="1" applyFont="1" applyFill="1" applyBorder="1" applyAlignment="1" applyProtection="1">
      <alignment horizontal="center" vertical="center"/>
      <protection hidden="1"/>
    </xf>
    <xf numFmtId="0" fontId="427" fillId="0" borderId="224" xfId="0" applyFont="1" applyBorder="1" applyAlignment="1" applyProtection="1">
      <alignment vertical="center" wrapText="1"/>
      <protection hidden="1"/>
    </xf>
    <xf numFmtId="0" fontId="427" fillId="0" borderId="0" xfId="0" applyFont="1" applyBorder="1" applyAlignment="1" applyProtection="1">
      <alignment vertical="center" wrapText="1"/>
      <protection hidden="1"/>
    </xf>
    <xf numFmtId="0" fontId="0" fillId="0" borderId="147" xfId="0" applyBorder="1" applyAlignment="1" applyProtection="1">
      <alignment vertical="center" wrapText="1"/>
      <protection hidden="1"/>
    </xf>
    <xf numFmtId="0" fontId="427" fillId="0" borderId="72" xfId="0" applyFont="1" applyFill="1" applyBorder="1" applyAlignment="1" applyProtection="1">
      <alignment vertical="center" wrapText="1"/>
      <protection hidden="1"/>
    </xf>
    <xf numFmtId="0" fontId="427" fillId="0" borderId="160" xfId="0" applyFont="1" applyFill="1" applyBorder="1" applyAlignment="1" applyProtection="1">
      <alignment vertical="center" wrapText="1"/>
      <protection hidden="1"/>
    </xf>
    <xf numFmtId="0" fontId="0" fillId="0" borderId="320" xfId="0" applyBorder="1" applyAlignment="1" applyProtection="1">
      <alignment vertical="center" wrapText="1"/>
      <protection hidden="1"/>
    </xf>
    <xf numFmtId="0" fontId="427" fillId="0" borderId="224" xfId="0" applyFont="1" applyBorder="1" applyAlignment="1" applyProtection="1">
      <alignment horizontal="left" vertical="center" wrapText="1"/>
      <protection hidden="1"/>
    </xf>
    <xf numFmtId="0" fontId="427" fillId="0" borderId="0" xfId="0" applyFont="1" applyBorder="1" applyAlignment="1" applyProtection="1">
      <alignment horizontal="left" vertical="center" wrapText="1"/>
      <protection hidden="1"/>
    </xf>
    <xf numFmtId="0" fontId="0" fillId="0" borderId="147" xfId="0" applyBorder="1" applyAlignment="1" applyProtection="1">
      <alignment horizontal="left" vertical="center" wrapText="1"/>
      <protection hidden="1"/>
    </xf>
    <xf numFmtId="0" fontId="427" fillId="0" borderId="167" xfId="0" applyFont="1" applyBorder="1" applyAlignment="1" applyProtection="1">
      <alignment horizontal="left" vertical="center" wrapText="1"/>
      <protection hidden="1"/>
    </xf>
    <xf numFmtId="0" fontId="427" fillId="0" borderId="161" xfId="0" applyFont="1" applyBorder="1" applyAlignment="1" applyProtection="1">
      <alignment horizontal="left" vertical="center" wrapText="1"/>
      <protection hidden="1"/>
    </xf>
    <xf numFmtId="0" fontId="0" fillId="0" borderId="262" xfId="0" applyBorder="1" applyAlignment="1" applyProtection="1">
      <alignment horizontal="left" vertical="center" wrapText="1"/>
      <protection hidden="1"/>
    </xf>
    <xf numFmtId="0" fontId="427" fillId="0" borderId="72" xfId="0" applyFont="1" applyBorder="1" applyAlignment="1" applyProtection="1">
      <alignment horizontal="left" vertical="center" wrapText="1"/>
      <protection hidden="1"/>
    </xf>
    <xf numFmtId="0" fontId="427" fillId="0" borderId="160" xfId="0" applyFont="1" applyBorder="1" applyAlignment="1" applyProtection="1">
      <alignment horizontal="left" vertical="center" wrapText="1"/>
      <protection hidden="1"/>
    </xf>
    <xf numFmtId="0" fontId="0" fillId="0" borderId="320" xfId="0" applyBorder="1" applyAlignment="1" applyProtection="1">
      <alignment horizontal="left" vertical="center" wrapText="1"/>
      <protection hidden="1"/>
    </xf>
    <xf numFmtId="2" fontId="185" fillId="59" borderId="246" xfId="0" applyNumberFormat="1" applyFont="1" applyFill="1" applyBorder="1" applyAlignment="1" applyProtection="1">
      <alignment horizontal="center" vertical="center" wrapText="1"/>
      <protection hidden="1"/>
    </xf>
    <xf numFmtId="2" fontId="185" fillId="59" borderId="217" xfId="0" applyNumberFormat="1" applyFont="1" applyFill="1" applyBorder="1" applyAlignment="1" applyProtection="1">
      <alignment horizontal="center" vertical="center" wrapText="1"/>
      <protection hidden="1"/>
    </xf>
    <xf numFmtId="0" fontId="427" fillId="0" borderId="147" xfId="0" applyFont="1" applyBorder="1" applyAlignment="1" applyProtection="1">
      <alignment horizontal="left" vertical="center" wrapText="1"/>
      <protection hidden="1"/>
    </xf>
    <xf numFmtId="165" fontId="426" fillId="46" borderId="224" xfId="0" applyNumberFormat="1" applyFont="1" applyFill="1" applyBorder="1" applyAlignment="1" applyProtection="1">
      <alignment horizontal="center" vertical="center"/>
      <protection hidden="1"/>
    </xf>
    <xf numFmtId="165" fontId="426" fillId="46" borderId="293" xfId="0" applyNumberFormat="1" applyFont="1" applyFill="1" applyBorder="1" applyAlignment="1" applyProtection="1">
      <alignment horizontal="center" vertical="center"/>
      <protection hidden="1"/>
    </xf>
    <xf numFmtId="0" fontId="361" fillId="0" borderId="167" xfId="0" applyFont="1" applyBorder="1" applyAlignment="1" applyProtection="1">
      <alignment vertical="center"/>
      <protection locked="0" hidden="1"/>
    </xf>
    <xf numFmtId="0" fontId="149" fillId="0" borderId="161" xfId="0" applyFont="1" applyBorder="1" applyAlignment="1" applyProtection="1">
      <alignment vertical="center"/>
      <protection hidden="1"/>
    </xf>
    <xf numFmtId="0" fontId="149" fillId="0" borderId="262" xfId="0" applyFont="1" applyBorder="1" applyAlignment="1" applyProtection="1">
      <alignment vertical="center"/>
      <protection hidden="1"/>
    </xf>
    <xf numFmtId="0" fontId="427" fillId="0" borderId="262" xfId="0" applyFont="1" applyBorder="1" applyAlignment="1" applyProtection="1">
      <alignment horizontal="left" vertical="center" wrapText="1"/>
      <protection hidden="1"/>
    </xf>
    <xf numFmtId="0" fontId="427" fillId="0" borderId="320" xfId="0" applyFont="1" applyBorder="1" applyAlignment="1" applyProtection="1">
      <alignment horizontal="left" vertical="center" wrapText="1"/>
      <protection hidden="1"/>
    </xf>
    <xf numFmtId="165" fontId="426" fillId="46" borderId="72" xfId="0" applyNumberFormat="1" applyFont="1" applyFill="1" applyBorder="1" applyAlignment="1" applyProtection="1">
      <alignment horizontal="center" vertical="center"/>
      <protection hidden="1"/>
    </xf>
    <xf numFmtId="165" fontId="426" fillId="46" borderId="323" xfId="0" applyNumberFormat="1" applyFont="1" applyFill="1" applyBorder="1" applyAlignment="1" applyProtection="1">
      <alignment horizontal="center" vertical="center"/>
      <protection hidden="1"/>
    </xf>
    <xf numFmtId="0" fontId="62" fillId="59" borderId="136" xfId="0" applyFont="1" applyFill="1" applyBorder="1" applyAlignment="1" applyProtection="1">
      <alignment horizontal="center" vertical="center" wrapText="1"/>
      <protection hidden="1"/>
    </xf>
    <xf numFmtId="0" fontId="62" fillId="59" borderId="137" xfId="0" applyFont="1" applyFill="1" applyBorder="1" applyAlignment="1" applyProtection="1">
      <alignment horizontal="center" vertical="center" wrapText="1"/>
      <protection hidden="1"/>
    </xf>
    <xf numFmtId="0" fontId="62" fillId="59" borderId="217" xfId="0" applyFont="1" applyFill="1" applyBorder="1" applyAlignment="1" applyProtection="1">
      <alignment horizontal="center" vertical="center" wrapText="1"/>
      <protection hidden="1"/>
    </xf>
    <xf numFmtId="0" fontId="248" fillId="59" borderId="246" xfId="0" applyFont="1" applyFill="1" applyBorder="1" applyAlignment="1" applyProtection="1">
      <alignment horizontal="center" vertical="center" wrapText="1"/>
      <protection hidden="1"/>
    </xf>
    <xf numFmtId="0" fontId="248" fillId="59" borderId="135" xfId="0" applyFont="1" applyFill="1" applyBorder="1" applyAlignment="1" applyProtection="1">
      <alignment horizontal="center" vertical="center" wrapText="1"/>
      <protection hidden="1"/>
    </xf>
    <xf numFmtId="0" fontId="361" fillId="0" borderId="316" xfId="0" applyFont="1" applyBorder="1" applyAlignment="1" applyProtection="1">
      <alignment vertical="center"/>
      <protection locked="0" hidden="1"/>
    </xf>
    <xf numFmtId="0" fontId="149" fillId="0" borderId="233" xfId="0" applyFont="1" applyBorder="1" applyAlignment="1" applyProtection="1">
      <alignment vertical="center"/>
      <protection hidden="1"/>
    </xf>
    <xf numFmtId="0" fontId="149" fillId="0" borderId="317" xfId="0" applyFont="1" applyBorder="1" applyAlignment="1" applyProtection="1">
      <alignment vertical="center"/>
      <protection hidden="1"/>
    </xf>
    <xf numFmtId="0" fontId="361" fillId="0" borderId="258" xfId="0" applyFont="1" applyBorder="1" applyAlignment="1" applyProtection="1">
      <alignment vertical="center"/>
      <protection locked="0" hidden="1"/>
    </xf>
    <xf numFmtId="0" fontId="149" fillId="0" borderId="206" xfId="0" applyFont="1" applyBorder="1" applyAlignment="1" applyProtection="1">
      <alignment vertical="center"/>
      <protection hidden="1"/>
    </xf>
    <xf numFmtId="0" fontId="149" fillId="0" borderId="309" xfId="0" applyFont="1" applyBorder="1" applyAlignment="1" applyProtection="1">
      <alignment vertical="center"/>
      <protection hidden="1"/>
    </xf>
    <xf numFmtId="0" fontId="226" fillId="46" borderId="137" xfId="0" applyFont="1" applyFill="1" applyBorder="1" applyAlignment="1" applyProtection="1">
      <alignment horizontal="right" vertical="center"/>
      <protection hidden="1"/>
    </xf>
    <xf numFmtId="0" fontId="34" fillId="42" borderId="556" xfId="0" applyFont="1" applyFill="1" applyBorder="1" applyAlignment="1" applyProtection="1">
      <alignment horizontal="center" vertical="center" wrapText="1"/>
      <protection hidden="1"/>
    </xf>
    <xf numFmtId="0" fontId="34" fillId="42" borderId="350" xfId="0" applyFont="1" applyFill="1" applyBorder="1" applyAlignment="1" applyProtection="1">
      <alignment horizontal="center" vertical="center" wrapText="1"/>
      <protection hidden="1"/>
    </xf>
    <xf numFmtId="0" fontId="34" fillId="42" borderId="557" xfId="0" applyFont="1" applyFill="1" applyBorder="1" applyAlignment="1" applyProtection="1">
      <alignment horizontal="center" vertical="center" wrapText="1"/>
      <protection hidden="1"/>
    </xf>
    <xf numFmtId="0" fontId="278" fillId="46" borderId="350" xfId="0" applyFont="1" applyFill="1" applyBorder="1" applyAlignment="1" applyProtection="1">
      <alignment horizontal="center" vertical="center"/>
      <protection hidden="1"/>
    </xf>
    <xf numFmtId="0" fontId="0" fillId="0" borderId="370" xfId="0" applyBorder="1" applyAlignment="1" applyProtection="1">
      <alignment horizontal="right"/>
      <protection hidden="1"/>
    </xf>
    <xf numFmtId="0" fontId="16" fillId="0" borderId="219" xfId="0" applyFont="1" applyBorder="1" applyAlignment="1" applyProtection="1">
      <alignment horizontal="left" vertical="center" indent="1"/>
      <protection locked="0"/>
    </xf>
    <xf numFmtId="0" fontId="0" fillId="0" borderId="150" xfId="0" applyBorder="1" applyAlignment="1" applyProtection="1">
      <alignment horizontal="left" vertical="center" indent="1"/>
      <protection locked="0"/>
    </xf>
    <xf numFmtId="0" fontId="0" fillId="0" borderId="491" xfId="0" applyBorder="1" applyAlignment="1" applyProtection="1">
      <alignment horizontal="left" vertical="center" indent="1"/>
      <protection locked="0"/>
    </xf>
    <xf numFmtId="0" fontId="16" fillId="0" borderId="204" xfId="0" applyFont="1" applyBorder="1" applyAlignment="1" applyProtection="1">
      <alignment horizontal="left" vertical="center"/>
      <protection locked="0"/>
    </xf>
    <xf numFmtId="0" fontId="0" fillId="0" borderId="318" xfId="0" applyBorder="1" applyAlignment="1">
      <alignment horizontal="right" vertical="center"/>
    </xf>
    <xf numFmtId="0" fontId="16" fillId="0" borderId="221" xfId="0" applyFont="1" applyBorder="1" applyAlignment="1" applyProtection="1">
      <alignment horizontal="left" vertical="center" indent="1"/>
      <protection locked="0"/>
    </xf>
    <xf numFmtId="0" fontId="0" fillId="0" borderId="161" xfId="0" applyBorder="1" applyAlignment="1" applyProtection="1">
      <alignment horizontal="left" vertical="center" indent="1"/>
      <protection locked="0"/>
    </xf>
    <xf numFmtId="0" fontId="0" fillId="0" borderId="262" xfId="0" applyBorder="1" applyAlignment="1" applyProtection="1">
      <alignment horizontal="left" vertical="center" indent="1"/>
      <protection locked="0"/>
    </xf>
    <xf numFmtId="0" fontId="16" fillId="0" borderId="161" xfId="0" applyFont="1" applyBorder="1" applyAlignment="1" applyProtection="1">
      <alignment horizontal="left" vertical="center"/>
      <protection locked="0"/>
    </xf>
    <xf numFmtId="0" fontId="0" fillId="0" borderId="245" xfId="0" applyBorder="1" applyAlignment="1">
      <alignment horizontal="right"/>
    </xf>
    <xf numFmtId="0" fontId="16" fillId="0" borderId="322" xfId="0" applyFont="1" applyBorder="1" applyAlignment="1" applyProtection="1">
      <alignment horizontal="left" vertical="center" indent="1"/>
      <protection locked="0"/>
    </xf>
    <xf numFmtId="0" fontId="0" fillId="0" borderId="160" xfId="0" applyBorder="1" applyAlignment="1" applyProtection="1">
      <alignment horizontal="left" vertical="center" indent="1"/>
      <protection locked="0"/>
    </xf>
    <xf numFmtId="0" fontId="0" fillId="0" borderId="320" xfId="0" applyBorder="1" applyAlignment="1" applyProtection="1">
      <alignment horizontal="left" vertical="center" indent="1"/>
      <protection locked="0"/>
    </xf>
    <xf numFmtId="0" fontId="16" fillId="0" borderId="206" xfId="0" applyFont="1" applyBorder="1" applyAlignment="1" applyProtection="1">
      <alignment horizontal="left" vertical="center"/>
      <protection locked="0"/>
    </xf>
    <xf numFmtId="0" fontId="0" fillId="0" borderId="260" xfId="0" applyBorder="1" applyAlignment="1">
      <alignment horizontal="right"/>
    </xf>
    <xf numFmtId="0" fontId="283" fillId="0" borderId="0" xfId="0" applyFont="1" applyBorder="1" applyAlignment="1" applyProtection="1">
      <alignment vertical="center"/>
      <protection hidden="1"/>
    </xf>
    <xf numFmtId="0" fontId="253" fillId="59" borderId="375" xfId="0" applyFont="1" applyFill="1" applyBorder="1" applyAlignment="1" applyProtection="1">
      <alignment horizontal="center" vertical="center"/>
      <protection hidden="1"/>
    </xf>
    <xf numFmtId="0" fontId="253" fillId="59" borderId="228" xfId="0" applyFont="1" applyFill="1" applyBorder="1" applyAlignment="1" applyProtection="1">
      <alignment horizontal="center" vertical="center"/>
      <protection hidden="1"/>
    </xf>
    <xf numFmtId="0" fontId="253" fillId="59" borderId="379" xfId="0" applyFont="1" applyFill="1" applyBorder="1" applyAlignment="1" applyProtection="1">
      <alignment horizontal="center" vertical="center"/>
      <protection hidden="1"/>
    </xf>
    <xf numFmtId="0" fontId="408" fillId="0" borderId="264" xfId="32" applyFont="1" applyBorder="1" applyAlignment="1" applyProtection="1">
      <alignment horizontal="left" vertical="center"/>
    </xf>
    <xf numFmtId="0" fontId="198" fillId="0" borderId="264" xfId="32" applyFont="1" applyBorder="1" applyAlignment="1" applyProtection="1">
      <alignment vertical="center"/>
      <protection locked="0"/>
    </xf>
    <xf numFmtId="0" fontId="253" fillId="43" borderId="375" xfId="0" applyFont="1" applyFill="1" applyBorder="1" applyAlignment="1" applyProtection="1">
      <alignment horizontal="center" vertical="center"/>
      <protection hidden="1"/>
    </xf>
    <xf numFmtId="0" fontId="409" fillId="0" borderId="228" xfId="0" applyFont="1" applyBorder="1" applyAlignment="1" applyProtection="1">
      <alignment horizontal="center" vertical="center"/>
      <protection hidden="1"/>
    </xf>
    <xf numFmtId="0" fontId="409" fillId="0" borderId="379" xfId="0" applyFont="1" applyBorder="1" applyAlignment="1" applyProtection="1">
      <alignment horizontal="center" vertical="center"/>
      <protection hidden="1"/>
    </xf>
    <xf numFmtId="0" fontId="191" fillId="59" borderId="414" xfId="0" applyFont="1" applyFill="1" applyBorder="1" applyAlignment="1" applyProtection="1">
      <alignment horizontal="left" vertical="center" indent="1"/>
      <protection hidden="1"/>
    </xf>
    <xf numFmtId="0" fontId="0" fillId="0" borderId="230" xfId="0" applyBorder="1" applyAlignment="1" applyProtection="1">
      <alignment horizontal="left" vertical="center" indent="1"/>
      <protection hidden="1"/>
    </xf>
    <xf numFmtId="0" fontId="252" fillId="59" borderId="377" xfId="0" applyFont="1" applyFill="1" applyBorder="1" applyAlignment="1" applyProtection="1">
      <alignment horizontal="center" vertical="center"/>
      <protection hidden="1"/>
    </xf>
    <xf numFmtId="0" fontId="410" fillId="59" borderId="261" xfId="0" applyFont="1" applyFill="1" applyBorder="1" applyAlignment="1" applyProtection="1">
      <alignment horizontal="center" vertical="center"/>
      <protection hidden="1"/>
    </xf>
    <xf numFmtId="0" fontId="410" fillId="59" borderId="584" xfId="0" applyFont="1" applyFill="1" applyBorder="1" applyAlignment="1" applyProtection="1">
      <alignment horizontal="center" vertical="center"/>
      <protection hidden="1"/>
    </xf>
    <xf numFmtId="166" fontId="191" fillId="59" borderId="261" xfId="0" applyNumberFormat="1" applyFont="1" applyFill="1" applyBorder="1" applyAlignment="1" applyProtection="1">
      <alignment horizontal="left" vertical="center" wrapText="1"/>
      <protection hidden="1"/>
    </xf>
    <xf numFmtId="0" fontId="411" fillId="59" borderId="261" xfId="0" applyFont="1" applyFill="1" applyBorder="1" applyAlignment="1" applyProtection="1">
      <alignment horizontal="left" vertical="center"/>
      <protection hidden="1"/>
    </xf>
    <xf numFmtId="0" fontId="191" fillId="59" borderId="310" xfId="0" quotePrefix="1" applyFont="1" applyFill="1" applyBorder="1" applyAlignment="1" applyProtection="1">
      <alignment horizontal="left" vertical="center"/>
      <protection hidden="1"/>
    </xf>
    <xf numFmtId="0" fontId="0" fillId="0" borderId="261" xfId="0" applyBorder="1" applyAlignment="1">
      <alignment horizontal="left" vertical="center"/>
    </xf>
    <xf numFmtId="4" fontId="188" fillId="67" borderId="137" xfId="0" applyNumberFormat="1" applyFont="1" applyFill="1" applyBorder="1" applyAlignment="1" applyProtection="1">
      <alignment horizontal="center" vertical="center"/>
      <protection locked="0"/>
    </xf>
    <xf numFmtId="4" fontId="188" fillId="67" borderId="135" xfId="0" applyNumberFormat="1" applyFont="1" applyFill="1" applyBorder="1" applyAlignment="1" applyProtection="1">
      <alignment horizontal="center" vertical="center"/>
      <protection locked="0"/>
    </xf>
    <xf numFmtId="2" fontId="274" fillId="46" borderId="136" xfId="0" applyNumberFormat="1" applyFont="1" applyFill="1" applyBorder="1" applyAlignment="1" applyProtection="1">
      <alignment horizontal="center" vertical="center" wrapText="1"/>
      <protection hidden="1"/>
    </xf>
    <xf numFmtId="2" fontId="274" fillId="46" borderId="137" xfId="0" applyNumberFormat="1" applyFont="1" applyFill="1" applyBorder="1" applyAlignment="1" applyProtection="1">
      <alignment horizontal="center" vertical="center" wrapText="1"/>
      <protection hidden="1"/>
    </xf>
    <xf numFmtId="0" fontId="283" fillId="46" borderId="568" xfId="0" applyFont="1" applyFill="1" applyBorder="1" applyAlignment="1" applyProtection="1">
      <alignment horizontal="left" vertical="center" wrapText="1" indent="1"/>
      <protection hidden="1"/>
    </xf>
    <xf numFmtId="0" fontId="279" fillId="46" borderId="226" xfId="0" applyFont="1" applyFill="1" applyBorder="1" applyAlignment="1" applyProtection="1">
      <alignment horizontal="left" vertical="center" wrapText="1" indent="1"/>
      <protection hidden="1"/>
    </xf>
    <xf numFmtId="1" fontId="104" fillId="27" borderId="71" xfId="0" applyNumberFormat="1" applyFont="1" applyFill="1" applyBorder="1" applyAlignment="1" applyProtection="1">
      <alignment horizontal="center"/>
      <protection hidden="1"/>
    </xf>
    <xf numFmtId="1" fontId="104" fillId="27" borderId="203" xfId="0" applyNumberFormat="1" applyFont="1" applyFill="1" applyBorder="1" applyAlignment="1" applyProtection="1">
      <alignment horizontal="center"/>
      <protection hidden="1"/>
    </xf>
    <xf numFmtId="1" fontId="104" fillId="27" borderId="172" xfId="0" applyNumberFormat="1" applyFont="1" applyFill="1" applyBorder="1" applyAlignment="1" applyProtection="1">
      <alignment horizontal="center"/>
      <protection hidden="1"/>
    </xf>
    <xf numFmtId="174" fontId="104" fillId="27" borderId="574" xfId="0" applyNumberFormat="1" applyFont="1" applyFill="1" applyBorder="1" applyAlignment="1" applyProtection="1">
      <alignment horizontal="center" vertical="top"/>
      <protection hidden="1"/>
    </xf>
    <xf numFmtId="174" fontId="104" fillId="27" borderId="575" xfId="0" applyNumberFormat="1" applyFont="1" applyFill="1" applyBorder="1" applyAlignment="1" applyProtection="1">
      <alignment horizontal="center" vertical="top"/>
      <protection hidden="1"/>
    </xf>
    <xf numFmtId="174" fontId="104" fillId="27" borderId="576" xfId="0" applyNumberFormat="1" applyFont="1" applyFill="1" applyBorder="1" applyAlignment="1" applyProtection="1">
      <alignment horizontal="center" vertical="top"/>
      <protection hidden="1"/>
    </xf>
    <xf numFmtId="0" fontId="20" fillId="59" borderId="577" xfId="0" applyFont="1" applyFill="1" applyBorder="1" applyAlignment="1">
      <alignment horizontal="center" vertical="center"/>
    </xf>
    <xf numFmtId="0" fontId="20" fillId="59" borderId="580" xfId="0" applyFont="1" applyFill="1" applyBorder="1" applyAlignment="1">
      <alignment horizontal="center" vertical="center"/>
    </xf>
    <xf numFmtId="0" fontId="20" fillId="59" borderId="578" xfId="0" applyFont="1" applyFill="1" applyBorder="1" applyAlignment="1">
      <alignment horizontal="center" vertical="center" wrapText="1"/>
    </xf>
    <xf numFmtId="0" fontId="20" fillId="59" borderId="494" xfId="0" applyFont="1" applyFill="1" applyBorder="1" applyAlignment="1">
      <alignment horizontal="center" vertical="center" wrapText="1"/>
    </xf>
    <xf numFmtId="0" fontId="20" fillId="59" borderId="579" xfId="0" applyFont="1" applyFill="1" applyBorder="1" applyAlignment="1">
      <alignment horizontal="center" vertical="center"/>
    </xf>
    <xf numFmtId="0" fontId="20" fillId="59" borderId="495" xfId="0" applyFont="1" applyFill="1" applyBorder="1" applyAlignment="1">
      <alignment horizontal="center" vertical="center"/>
    </xf>
    <xf numFmtId="0" fontId="248" fillId="55" borderId="13" xfId="0" applyFont="1" applyFill="1" applyBorder="1" applyAlignment="1" applyProtection="1">
      <alignment horizontal="left" vertical="center" indent="1"/>
      <protection hidden="1"/>
    </xf>
    <xf numFmtId="0" fontId="0" fillId="55" borderId="19" xfId="0" applyFill="1" applyBorder="1" applyAlignment="1" applyProtection="1">
      <alignment horizontal="left" vertical="center" indent="1"/>
      <protection hidden="1"/>
    </xf>
    <xf numFmtId="0" fontId="30" fillId="59" borderId="66" xfId="0" applyFont="1" applyFill="1" applyBorder="1" applyAlignment="1" applyProtection="1">
      <alignment horizontal="left" vertical="center" indent="1"/>
      <protection hidden="1"/>
    </xf>
    <xf numFmtId="0" fontId="30" fillId="59" borderId="67" xfId="0" applyFont="1" applyFill="1" applyBorder="1" applyAlignment="1" applyProtection="1">
      <alignment horizontal="left" vertical="center" indent="1"/>
      <protection hidden="1"/>
    </xf>
    <xf numFmtId="0" fontId="20" fillId="59" borderId="72" xfId="0" applyFont="1" applyFill="1" applyBorder="1" applyAlignment="1" applyProtection="1">
      <alignment horizontal="center" vertical="center"/>
      <protection hidden="1"/>
    </xf>
    <xf numFmtId="0" fontId="20" fillId="59" borderId="488" xfId="0" applyFont="1" applyFill="1" applyBorder="1" applyAlignment="1" applyProtection="1">
      <alignment horizontal="center" vertical="center"/>
      <protection hidden="1"/>
    </xf>
    <xf numFmtId="0" fontId="20" fillId="59" borderId="571" xfId="0" applyFont="1" applyFill="1" applyBorder="1" applyAlignment="1" applyProtection="1">
      <alignment horizontal="center" vertical="center"/>
      <protection hidden="1"/>
    </xf>
  </cellXfs>
  <cellStyles count="68">
    <cellStyle name="20 % - Accent1" xfId="1" builtinId="30" customBuiltin="1"/>
    <cellStyle name="20 % - Accent1 2" xfId="59" xr:uid="{00000000-0005-0000-0000-000001000000}"/>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1 2" xfId="60" xr:uid="{00000000-0005-0000-0000-000008000000}"/>
    <cellStyle name="40 % - Accent2" xfId="8" builtinId="35" customBuiltin="1"/>
    <cellStyle name="40 % - Accent2 2" xfId="67" xr:uid="{00000000-0005-0000-0000-00000A000000}"/>
    <cellStyle name="40 % - Accent2 3" xfId="58" xr:uid="{00000000-0005-0000-0000-00000B000000}"/>
    <cellStyle name="40 % - Accent3" xfId="9" builtinId="39" customBuiltin="1"/>
    <cellStyle name="40 % - Accent4" xfId="10" builtinId="43" customBuiltin="1"/>
    <cellStyle name="40 % - Accent5" xfId="11" builtinId="47" customBuiltin="1"/>
    <cellStyle name="40 % - Accent5 2" xfId="66" xr:uid="{00000000-0005-0000-0000-00000F000000}"/>
    <cellStyle name="40 % - Accent5 3" xfId="56" xr:uid="{00000000-0005-0000-0000-000010000000}"/>
    <cellStyle name="40 % - Accent6" xfId="12" builtinId="51" customBuiltin="1"/>
    <cellStyle name="60 % - Accent1" xfId="13" builtinId="32" customBuiltin="1"/>
    <cellStyle name="60 % - Accent1 2" xfId="63" xr:uid="{00000000-0005-0000-0000-000013000000}"/>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1 2" xfId="61" xr:uid="{00000000-0005-0000-0000-00001A000000}"/>
    <cellStyle name="Accent2" xfId="20" builtinId="33" customBuiltin="1"/>
    <cellStyle name="Accent2 2" xfId="57" xr:uid="{00000000-0005-0000-0000-00001C000000}"/>
    <cellStyle name="Accent3" xfId="21" builtinId="37" customBuiltin="1"/>
    <cellStyle name="Accent4" xfId="22" builtinId="41" customBuiltin="1"/>
    <cellStyle name="Accent4 2" xfId="62" xr:uid="{00000000-0005-0000-0000-00001F000000}"/>
    <cellStyle name="Accent5" xfId="23" builtinId="45" customBuiltin="1"/>
    <cellStyle name="Accent5 2" xfId="64" xr:uid="{00000000-0005-0000-0000-000021000000}"/>
    <cellStyle name="Accent6" xfId="24" builtinId="49" customBuiltin="1"/>
    <cellStyle name="Avertissement" xfId="25" builtinId="11" customBuiltin="1"/>
    <cellStyle name="Calcul" xfId="26" builtinId="22" customBuiltin="1"/>
    <cellStyle name="Calcul 2" xfId="48" xr:uid="{00000000-0005-0000-0000-000025000000}"/>
    <cellStyle name="Cellule liée" xfId="27" builtinId="24" customBuiltin="1"/>
    <cellStyle name="Commentaire 2" xfId="29" xr:uid="{00000000-0005-0000-0000-000027000000}"/>
    <cellStyle name="Commentaire 2 2" xfId="50" xr:uid="{00000000-0005-0000-0000-000028000000}"/>
    <cellStyle name="Commentaire 3" xfId="49" xr:uid="{00000000-0005-0000-0000-000029000000}"/>
    <cellStyle name="Entrée" xfId="30" builtinId="20" customBuiltin="1"/>
    <cellStyle name="Entrée 2" xfId="51" xr:uid="{00000000-0005-0000-0000-00002B000000}"/>
    <cellStyle name="Insatisfaisant" xfId="31" builtinId="27" customBuiltin="1"/>
    <cellStyle name="Lien hypertexte" xfId="32" builtinId="8"/>
    <cellStyle name="Monétaire" xfId="33" builtinId="4"/>
    <cellStyle name="Neutre" xfId="34" builtinId="28" customBuiltin="1"/>
    <cellStyle name="Normal" xfId="0" builtinId="0"/>
    <cellStyle name="Normal 2" xfId="47" xr:uid="{00000000-0005-0000-0000-000031000000}"/>
    <cellStyle name="Normal 2 2" xfId="65" xr:uid="{00000000-0005-0000-0000-000032000000}"/>
    <cellStyle name="Normal 3" xfId="55" xr:uid="{00000000-0005-0000-0000-000033000000}"/>
    <cellStyle name="Normal_Projet (2)" xfId="35" xr:uid="{00000000-0005-0000-0000-000034000000}"/>
    <cellStyle name="Note" xfId="28" builtinId="10" customBuiltin="1"/>
    <cellStyle name="Pourcentage" xfId="36" builtinId="5"/>
    <cellStyle name="Satisfaisant" xfId="37" builtinId="26" customBuiltin="1"/>
    <cellStyle name="Sortie" xfId="38" builtinId="21" customBuiltin="1"/>
    <cellStyle name="Sortie 2" xfId="52" xr:uid="{00000000-0005-0000-0000-000039000000}"/>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Total 2" xfId="53" xr:uid="{00000000-0005-0000-0000-000041000000}"/>
    <cellStyle name="Vérification" xfId="46" builtinId="23" customBuiltin="1"/>
    <cellStyle name="Vérification 2" xfId="54" xr:uid="{00000000-0005-0000-0000-000043000000}"/>
  </cellStyles>
  <dxfs count="1306">
    <dxf>
      <font>
        <color theme="5" tint="-0.24994659260841701"/>
      </font>
    </dxf>
    <dxf>
      <font>
        <color theme="0" tint="-0.499984740745262"/>
      </font>
    </dxf>
    <dxf>
      <font>
        <color theme="0" tint="-0.499984740745262"/>
      </font>
    </dxf>
    <dxf>
      <font>
        <color theme="0" tint="-0.499984740745262"/>
      </font>
    </dxf>
    <dxf>
      <font>
        <color theme="0" tint="-0.499984740745262"/>
      </font>
    </dxf>
    <dxf>
      <font>
        <color theme="5"/>
      </font>
    </dxf>
    <dxf>
      <font>
        <color theme="0"/>
      </font>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ont>
        <color rgb="FFC00000"/>
      </font>
    </dxf>
    <dxf>
      <font>
        <color rgb="FFC00000"/>
      </font>
    </dxf>
    <dxf>
      <font>
        <color theme="0" tint="-4.9989318521683403E-2"/>
      </font>
    </dxf>
    <dxf>
      <font>
        <color theme="0"/>
      </font>
    </dxf>
    <dxf>
      <font>
        <color theme="0"/>
      </font>
    </dxf>
    <dxf>
      <font>
        <color theme="0" tint="-4.9989318521683403E-2"/>
      </font>
    </dxf>
    <dxf>
      <font>
        <color rgb="FFC0C0C0"/>
      </font>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theme="0" tint="-4.9989318521683403E-2"/>
      </font>
    </dxf>
    <dxf>
      <font>
        <color rgb="FFC0C0C0"/>
      </font>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ont>
        <color rgb="FFC0C0C0"/>
      </font>
      <fill>
        <patternFill>
          <bgColor rgb="FFC0C0C0"/>
        </patternFill>
      </fill>
    </dxf>
    <dxf>
      <font>
        <color theme="0" tint="-4.9989318521683403E-2"/>
      </font>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b/>
        <i val="0"/>
      </font>
    </dxf>
    <dxf>
      <font>
        <b/>
        <i val="0"/>
      </font>
    </dxf>
    <dxf>
      <font>
        <b/>
        <i val="0"/>
      </font>
    </dxf>
    <dxf>
      <font>
        <b/>
        <i val="0"/>
      </font>
    </dxf>
    <dxf>
      <font>
        <b/>
        <i val="0"/>
      </font>
    </dxf>
    <dxf>
      <font>
        <b/>
        <i val="0"/>
      </font>
    </dxf>
    <dxf>
      <font>
        <b/>
        <i val="0"/>
      </font>
    </dxf>
    <dxf>
      <font>
        <b/>
        <i val="0"/>
      </font>
    </dxf>
    <dxf>
      <font>
        <color theme="0"/>
      </font>
    </dxf>
    <dxf>
      <fill>
        <patternFill>
          <bgColor rgb="FF993366"/>
        </patternFill>
      </fill>
    </dxf>
    <dxf>
      <fill>
        <patternFill>
          <bgColor rgb="FFDA9694"/>
        </patternFill>
      </fill>
    </dxf>
    <dxf>
      <fill>
        <patternFill patternType="solid">
          <bgColor rgb="FF00B05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ont>
        <color rgb="FFC0C0C0"/>
      </font>
      <fill>
        <patternFill>
          <bgColor rgb="FFC0C0C0"/>
        </patternFill>
      </fill>
    </dxf>
    <dxf>
      <font>
        <color theme="0" tint="-4.9989318521683403E-2"/>
      </font>
    </dxf>
    <dxf>
      <fill>
        <patternFill>
          <bgColor rgb="FFC0C0C0"/>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bgColor rgb="FFC0C0C0"/>
        </patternFill>
      </fill>
    </dxf>
    <dxf>
      <font>
        <color theme="0"/>
      </font>
    </dxf>
    <dxf>
      <font>
        <color rgb="FFC00000"/>
      </font>
      <fill>
        <patternFill>
          <bgColor theme="9" tint="0.79998168889431442"/>
        </patternFill>
      </fill>
    </dxf>
    <dxf>
      <font>
        <color rgb="FFFF9900"/>
      </font>
      <fill>
        <patternFill>
          <bgColor theme="0" tint="-4.9989318521683403E-2"/>
        </patternFill>
      </fill>
    </dxf>
    <dxf>
      <font>
        <color rgb="FF339966"/>
      </font>
      <fill>
        <patternFill patternType="solid">
          <bgColor theme="0" tint="-4.9989318521683403E-2"/>
        </patternFill>
      </fill>
    </dxf>
    <dxf>
      <font>
        <color rgb="FFC0C0C0"/>
      </font>
      <fill>
        <patternFill>
          <bgColor rgb="FFC0C0C0"/>
        </patternFill>
      </fill>
    </dxf>
    <dxf>
      <font>
        <b/>
        <i val="0"/>
      </font>
    </dxf>
    <dxf>
      <font>
        <b/>
        <i val="0"/>
      </font>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color theme="0"/>
      </font>
    </dxf>
    <dxf>
      <fill>
        <patternFill>
          <bgColor rgb="FF993366"/>
        </patternFill>
      </fill>
    </dxf>
    <dxf>
      <fill>
        <patternFill>
          <bgColor rgb="FFDA9694"/>
        </patternFill>
      </fill>
    </dxf>
    <dxf>
      <fill>
        <patternFill patternType="solid">
          <bgColor rgb="FF00B050"/>
        </patternFill>
      </fill>
    </dxf>
    <dxf>
      <font>
        <color rgb="FFC0C0C0"/>
      </font>
      <fill>
        <patternFill>
          <bgColor rgb="FFC0C0C0"/>
        </patternFill>
      </fill>
    </dxf>
    <dxf>
      <font>
        <b/>
        <i val="0"/>
        <color rgb="FFFF0000"/>
      </font>
      <fill>
        <patternFill patternType="none">
          <bgColor indexed="65"/>
        </patternFill>
      </fill>
    </dxf>
    <dxf>
      <font>
        <b/>
        <i val="0"/>
      </font>
    </dxf>
    <dxf>
      <font>
        <b/>
        <i val="0"/>
        <color rgb="FFFF0000"/>
      </font>
    </dxf>
    <dxf>
      <font>
        <b/>
        <i val="0"/>
        <color rgb="FFFF0000"/>
      </font>
      <fill>
        <patternFill patternType="none">
          <bgColor indexed="65"/>
        </patternFill>
      </fill>
    </dxf>
    <dxf>
      <font>
        <b/>
        <i val="0"/>
      </font>
    </dxf>
    <dxf>
      <font>
        <b/>
        <i val="0"/>
        <color rgb="FFFF0000"/>
      </font>
    </dxf>
    <dxf>
      <fill>
        <patternFill patternType="none">
          <bgColor auto="1"/>
        </patternFill>
      </fill>
    </dxf>
    <dxf>
      <fill>
        <patternFill>
          <bgColor rgb="FFC0C0C0"/>
        </patternFill>
      </fill>
    </dxf>
    <dxf>
      <fill>
        <patternFill patternType="none">
          <bgColor auto="1"/>
        </patternFill>
      </fill>
    </dxf>
    <dxf>
      <fill>
        <patternFill>
          <bgColor rgb="FFC0C0C0"/>
        </patternFill>
      </fill>
    </dxf>
    <dxf>
      <fill>
        <patternFill>
          <bgColor rgb="FFC0C0C0"/>
        </patternFill>
      </fill>
    </dxf>
    <dxf>
      <fill>
        <patternFill patternType="none">
          <bgColor auto="1"/>
        </patternFill>
      </fill>
    </dxf>
    <dxf>
      <fill>
        <patternFill>
          <bgColor rgb="FFC0C0C0"/>
        </patternFill>
      </fill>
    </dxf>
    <dxf>
      <fill>
        <patternFill patternType="none">
          <bgColor auto="1"/>
        </patternFill>
      </fill>
    </dxf>
    <dxf>
      <font>
        <color theme="0"/>
      </font>
    </dxf>
    <dxf>
      <fill>
        <patternFill>
          <bgColor rgb="FF993366"/>
        </patternFill>
      </fill>
    </dxf>
    <dxf>
      <fill>
        <patternFill>
          <bgColor rgb="FFDA9694"/>
        </patternFill>
      </fill>
    </dxf>
    <dxf>
      <fill>
        <patternFill patternType="solid">
          <bgColor rgb="FF00B050"/>
        </patternFill>
      </fill>
    </dxf>
    <dxf>
      <font>
        <color theme="0"/>
      </font>
    </dxf>
    <dxf>
      <fill>
        <patternFill>
          <bgColor rgb="FF993366"/>
        </patternFill>
      </fill>
    </dxf>
    <dxf>
      <fill>
        <patternFill>
          <bgColor rgb="FFDA9694"/>
        </patternFill>
      </fill>
    </dxf>
    <dxf>
      <fill>
        <patternFill patternType="solid">
          <bgColor rgb="FF00B050"/>
        </patternFill>
      </fill>
    </dxf>
    <dxf>
      <font>
        <b/>
        <i val="0"/>
        <color rgb="FFFF0000"/>
      </font>
      <fill>
        <patternFill patternType="none">
          <bgColor indexed="65"/>
        </patternFill>
      </fill>
    </dxf>
    <dxf>
      <font>
        <b/>
        <i val="0"/>
      </font>
    </dxf>
    <dxf>
      <font>
        <b/>
        <i val="0"/>
        <color rgb="FFFF0000"/>
      </font>
    </dxf>
    <dxf>
      <font>
        <color theme="0" tint="-4.9989318521683403E-2"/>
        <name val="Cambria"/>
        <scheme val="none"/>
      </font>
    </dxf>
    <dxf>
      <font>
        <b/>
        <i val="0"/>
      </font>
    </dxf>
    <dxf>
      <font>
        <b/>
        <i val="0"/>
      </font>
    </dxf>
    <dxf>
      <font>
        <b/>
        <i val="0"/>
      </font>
    </dxf>
    <dxf>
      <font>
        <b/>
        <i val="0"/>
      </font>
    </dxf>
    <dxf>
      <font>
        <b/>
        <i val="0"/>
      </font>
    </dxf>
    <dxf>
      <font>
        <b/>
        <i val="0"/>
      </font>
    </dxf>
    <dxf>
      <font>
        <b/>
        <i val="0"/>
      </font>
    </dxf>
    <dxf>
      <fill>
        <patternFill>
          <bgColor rgb="FF00CC99"/>
        </patternFill>
      </fill>
    </dxf>
    <dxf>
      <fill>
        <patternFill>
          <bgColor rgb="FFC00000"/>
        </patternFill>
      </fill>
    </dxf>
    <dxf>
      <fill>
        <patternFill>
          <bgColor theme="0" tint="-4.9989318521683403E-2"/>
        </patternFill>
      </fill>
    </dxf>
    <dxf>
      <fill>
        <patternFill>
          <bgColor theme="0" tint="-4.9989318521683403E-2"/>
        </patternFill>
      </fill>
      <border>
        <left style="thin">
          <color rgb="FF000080"/>
        </left>
        <right style="thin">
          <color rgb="FF000080"/>
        </right>
        <top style="thin">
          <color rgb="FF000080"/>
        </top>
        <bottom style="thin">
          <color rgb="FF000080"/>
        </bottom>
        <vertical/>
        <horizontal/>
      </border>
    </dxf>
    <dxf>
      <fill>
        <patternFill>
          <bgColor theme="0" tint="-4.9989318521683403E-2"/>
        </patternFill>
      </fill>
      <border>
        <left style="thin">
          <color rgb="FF000080"/>
        </left>
        <right style="thin">
          <color rgb="FF000080"/>
        </right>
        <top style="thin">
          <color rgb="FF000080"/>
        </top>
        <bottom style="thin">
          <color rgb="FF000080"/>
        </bottom>
        <vertical/>
        <horizontal/>
      </border>
    </dxf>
    <dxf>
      <fill>
        <patternFill>
          <bgColor rgb="FF00B050"/>
        </patternFill>
      </fill>
    </dxf>
    <dxf>
      <font>
        <color theme="0"/>
      </font>
    </dxf>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ont>
        <color theme="0"/>
      </font>
      <fill>
        <patternFill>
          <bgColor rgb="FFFFFFCC"/>
        </patternFill>
      </fill>
    </dxf>
    <dxf>
      <font>
        <color rgb="FFFF0000"/>
      </font>
    </dxf>
    <dxf>
      <font>
        <color rgb="FFFF0000"/>
      </font>
    </dxf>
    <dxf>
      <font>
        <color rgb="FFFF0000"/>
      </font>
    </dxf>
    <dxf>
      <font>
        <color theme="0"/>
      </font>
    </dxf>
    <dxf>
      <font>
        <b/>
        <i val="0"/>
        <condense val="0"/>
        <extend val="0"/>
        <color indexed="53"/>
      </font>
    </dxf>
    <dxf>
      <font>
        <b/>
        <i val="0"/>
        <condense val="0"/>
        <extend val="0"/>
        <color indexed="53"/>
      </font>
    </dxf>
    <dxf>
      <font>
        <color theme="0" tint="-4.9989318521683403E-2"/>
      </font>
    </dxf>
    <dxf>
      <font>
        <color theme="0" tint="-4.9989318521683403E-2"/>
      </font>
    </dxf>
    <dxf>
      <fill>
        <patternFill>
          <bgColor rgb="FFFFFFCC"/>
        </patternFill>
      </fill>
    </dxf>
    <dxf>
      <font>
        <color rgb="FF002060"/>
      </font>
      <fill>
        <patternFill>
          <bgColor theme="6" tint="0.39994506668294322"/>
        </patternFill>
      </fill>
    </dxf>
    <dxf>
      <font>
        <color theme="0" tint="-4.9989318521683403E-2"/>
      </font>
    </dxf>
    <dxf>
      <font>
        <color theme="0" tint="-0.14996795556505021"/>
      </font>
    </dxf>
    <dxf>
      <font>
        <color rgb="FFEAEAEA"/>
      </font>
    </dxf>
    <dxf>
      <font>
        <color theme="0" tint="-4.9989318521683403E-2"/>
      </font>
    </dxf>
    <dxf>
      <font>
        <color theme="0" tint="-0.14996795556505021"/>
      </font>
    </dxf>
    <dxf>
      <font>
        <color rgb="FFEAEAEA"/>
      </font>
    </dxf>
    <dxf>
      <font>
        <color theme="0" tint="-4.9989318521683403E-2"/>
      </font>
    </dxf>
    <dxf>
      <font>
        <color auto="1"/>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39994506668294322"/>
        </patternFill>
      </fill>
      <border>
        <left style="thin">
          <color theme="0" tint="-0.34998626667073579"/>
        </left>
      </border>
    </dxf>
    <dxf>
      <fill>
        <patternFill>
          <bgColor rgb="FFFFFFCC"/>
        </patternFill>
      </fill>
    </dxf>
    <dxf>
      <font>
        <color rgb="FFDAEEF3"/>
      </font>
    </dxf>
    <dxf>
      <font>
        <color rgb="FFDAEEF3"/>
      </font>
    </dxf>
    <dxf>
      <font>
        <color rgb="FFDAEEF3"/>
      </font>
    </dxf>
    <dxf>
      <font>
        <color rgb="FFDAEEF3"/>
      </font>
    </dxf>
    <dxf>
      <font>
        <color theme="4" tint="-0.24994659260841701"/>
      </font>
    </dxf>
    <dxf>
      <font>
        <color rgb="FFFFFFCC"/>
      </font>
    </dxf>
    <dxf>
      <font>
        <color theme="9" tint="0.79998168889431442"/>
      </font>
    </dxf>
    <dxf>
      <font>
        <color theme="0"/>
      </font>
      <fill>
        <patternFill patternType="none">
          <bgColor auto="1"/>
        </patternFill>
      </fill>
      <border>
        <left/>
        <right/>
        <top/>
        <bottom/>
        <vertical/>
        <horizontal/>
      </border>
    </dxf>
    <dxf>
      <font>
        <color rgb="FFDAEEF3"/>
      </font>
    </dxf>
    <dxf>
      <font>
        <color theme="9"/>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9999FF"/>
        </patternFill>
      </fill>
    </dxf>
    <dxf>
      <fill>
        <patternFill patternType="none">
          <bgColor auto="1"/>
        </patternFill>
      </fill>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ill>
        <patternFill>
          <bgColor theme="0" tint="-4.9989318521683403E-2"/>
        </patternFill>
      </fill>
    </dxf>
    <dxf>
      <font>
        <color rgb="FF0066CC"/>
      </font>
      <border>
        <left style="thin">
          <color theme="0" tint="-0.499984740745262"/>
        </left>
        <right style="thin">
          <color theme="0" tint="-0.24994659260841701"/>
        </right>
        <top style="thin">
          <color theme="0" tint="-0.499984740745262"/>
        </top>
        <bottom style="thin">
          <color theme="0" tint="-0.499984740745262"/>
        </bottom>
        <vertical/>
        <horizontal/>
      </border>
    </dxf>
    <dxf>
      <font>
        <color rgb="FF0066CC"/>
      </font>
      <border>
        <left style="thin">
          <color theme="0" tint="-0.34998626667073579"/>
        </left>
        <right style="thin">
          <color theme="0" tint="-0.34998626667073579"/>
        </right>
        <top style="thin">
          <color theme="0" tint="-0.499984740745262"/>
        </top>
        <bottom style="thin">
          <color theme="0" tint="-0.499984740745262"/>
        </bottom>
        <vertical/>
        <horizontal/>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ill>
        <patternFill>
          <bgColor theme="0" tint="-4.9989318521683403E-2"/>
        </patternFill>
      </fill>
    </dxf>
    <dxf>
      <font>
        <color rgb="FF0066CC"/>
      </font>
      <border>
        <left style="thin">
          <color theme="0" tint="-0.499984740745262"/>
        </left>
        <right style="thin">
          <color theme="0" tint="-0.24994659260841701"/>
        </right>
        <top style="thin">
          <color theme="0" tint="-0.499984740745262"/>
        </top>
        <bottom style="thin">
          <color theme="0" tint="-0.499984740745262"/>
        </bottom>
        <vertical/>
        <horizontal/>
      </border>
    </dxf>
    <dxf>
      <font>
        <color rgb="FF0066CC"/>
      </font>
      <border>
        <left style="thin">
          <color theme="0" tint="-0.34998626667073579"/>
        </left>
        <right style="thin">
          <color theme="0" tint="-0.34998626667073579"/>
        </right>
        <top style="thin">
          <color theme="0" tint="-0.499984740745262"/>
        </top>
        <bottom style="thin">
          <color theme="0" tint="-0.499984740745262"/>
        </bottom>
        <vertical/>
        <horizontal/>
      </border>
    </dxf>
    <dxf>
      <fill>
        <patternFill>
          <bgColor theme="0" tint="-4.9989318521683403E-2"/>
        </patternFill>
      </fill>
    </dxf>
    <dxf>
      <font>
        <color rgb="FF0066CC"/>
      </font>
      <border>
        <left style="thin">
          <color theme="0" tint="-0.499984740745262"/>
        </left>
        <right style="thin">
          <color theme="0" tint="-0.24994659260841701"/>
        </right>
        <top style="thin">
          <color theme="0" tint="-0.499984740745262"/>
        </top>
        <bottom style="thin">
          <color theme="0" tint="-0.499984740745262"/>
        </bottom>
        <vertical/>
        <horizontal/>
      </border>
    </dxf>
    <dxf>
      <font>
        <color rgb="FF0066CC"/>
      </font>
      <border>
        <left style="thin">
          <color theme="0" tint="-0.34998626667073579"/>
        </left>
        <right style="thin">
          <color theme="0" tint="-0.34998626667073579"/>
        </right>
        <top style="thin">
          <color theme="0" tint="-0.499984740745262"/>
        </top>
        <bottom style="thin">
          <color theme="0" tint="-0.499984740745262"/>
        </bottom>
        <vertical/>
        <horizontal/>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ill>
        <patternFill>
          <bgColor theme="5"/>
        </patternFill>
      </fill>
    </dxf>
    <dxf>
      <fill>
        <patternFill>
          <bgColor theme="5"/>
        </patternFill>
      </fill>
    </dxf>
    <dxf>
      <font>
        <color theme="0"/>
      </font>
    </dxf>
    <dxf>
      <font>
        <color rgb="FFDAEEF3"/>
      </font>
    </dxf>
    <dxf>
      <font>
        <color theme="0"/>
      </font>
    </dxf>
    <dxf>
      <font>
        <color rgb="FFC00000"/>
      </font>
      <fill>
        <patternFill>
          <bgColor theme="9" tint="0.7999816888943144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6" tint="0.59996337778862885"/>
      </font>
    </dxf>
    <dxf>
      <fill>
        <patternFill>
          <bgColor theme="0" tint="-4.9989318521683403E-2"/>
        </patternFill>
      </fill>
    </dxf>
    <dxf>
      <font>
        <color theme="0"/>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ill>
        <patternFill>
          <bgColor rgb="FFFF0000"/>
        </patternFill>
      </fill>
      <border>
        <left/>
        <right/>
        <top/>
        <bottom/>
      </border>
    </dxf>
    <dxf>
      <fill>
        <patternFill>
          <bgColor rgb="FFFF0000"/>
        </patternFill>
      </fill>
      <border>
        <left/>
        <right/>
        <top/>
        <bottom/>
        <vertical/>
        <horizontal/>
      </border>
    </dxf>
    <dxf>
      <fill>
        <patternFill>
          <bgColor rgb="FFFF0000"/>
        </patternFill>
      </fill>
      <border>
        <left/>
        <right/>
        <top/>
        <bottom/>
      </border>
    </dxf>
    <dxf>
      <fill>
        <patternFill>
          <bgColor rgb="FFFF0000"/>
        </patternFill>
      </fill>
      <border>
        <left/>
        <right/>
        <top/>
        <bottom/>
      </border>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C00000"/>
      </font>
      <fill>
        <patternFill>
          <bgColor theme="9" tint="0.79998168889431442"/>
        </patternFill>
      </fill>
    </dxf>
    <dxf>
      <font>
        <color theme="0" tint="-0.499984740745262"/>
      </font>
    </dxf>
    <dxf>
      <font>
        <color theme="4"/>
      </font>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999FF"/>
      </font>
    </dxf>
    <dxf>
      <font>
        <color rgb="FF666699"/>
      </font>
    </dxf>
    <dxf>
      <font>
        <color theme="0" tint="-0.499984740745262"/>
      </font>
    </dxf>
    <dxf>
      <font>
        <color rgb="FFEAEAEA"/>
      </font>
      <fill>
        <patternFill>
          <bgColor rgb="FFEAEAEA"/>
        </patternFill>
      </fill>
    </dxf>
    <dxf>
      <font>
        <color theme="0"/>
      </font>
    </dxf>
    <dxf>
      <fill>
        <patternFill>
          <bgColor theme="0" tint="-4.9989318521683403E-2"/>
        </patternFill>
      </fill>
    </dxf>
    <dxf>
      <font>
        <color theme="0" tint="-0.499984740745262"/>
      </font>
    </dxf>
    <dxf>
      <font>
        <color theme="4"/>
      </font>
    </dxf>
    <dxf>
      <font>
        <color rgb="FF9999FF"/>
      </font>
    </dxf>
    <dxf>
      <font>
        <color rgb="FF666699"/>
      </font>
    </dxf>
    <dxf>
      <font>
        <color theme="0" tint="-0.499984740745262"/>
      </font>
    </dxf>
    <dxf>
      <font>
        <color theme="0" tint="-4.9989318521683403E-2"/>
      </font>
    </dxf>
    <dxf>
      <font>
        <color theme="0" tint="-4.9989318521683403E-2"/>
      </font>
    </dxf>
    <dxf>
      <font>
        <color rgb="FFFFFFCC"/>
      </font>
    </dxf>
    <dxf>
      <font>
        <color theme="0" tint="-4.9989318521683403E-2"/>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bgColor theme="0" tint="-4.9989318521683403E-2"/>
        </patternFill>
      </fill>
      <border>
        <right/>
      </border>
    </dxf>
    <dxf>
      <font>
        <color rgb="FF0000CC"/>
      </font>
      <fill>
        <patternFill>
          <bgColor rgb="FFFFFFCC"/>
        </patternFill>
      </fill>
      <border>
        <right/>
      </border>
    </dxf>
    <dxf>
      <fill>
        <patternFill>
          <bgColor theme="5"/>
        </patternFill>
      </fill>
    </dxf>
    <dxf>
      <fill>
        <patternFill>
          <bgColor rgb="FFFFFFCC"/>
        </patternFill>
      </fill>
    </dxf>
    <dxf>
      <fill>
        <patternFill>
          <bgColor rgb="FFFFFFCC"/>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lor theme="0"/>
      </font>
      <fill>
        <patternFill>
          <bgColor rgb="FF993366"/>
        </patternFill>
      </fill>
    </dxf>
    <dxf>
      <font>
        <color theme="0"/>
      </font>
      <fill>
        <patternFill>
          <bgColor rgb="FF993366"/>
        </patternFill>
      </fill>
    </dxf>
    <dxf>
      <font>
        <color theme="0"/>
      </font>
      <fill>
        <patternFill>
          <bgColor rgb="FF993366"/>
        </patternFill>
      </fill>
    </dxf>
    <dxf>
      <font>
        <color theme="0"/>
      </font>
      <fill>
        <patternFill>
          <bgColor rgb="FF993366"/>
        </patternFill>
      </fill>
    </dxf>
    <dxf>
      <font>
        <color rgb="FFFFFFCC"/>
      </font>
    </dxf>
    <dxf>
      <font>
        <b/>
        <i val="0"/>
        <condense val="0"/>
        <extend val="0"/>
        <color indexed="9"/>
      </font>
      <fill>
        <patternFill>
          <bgColor indexed="10"/>
        </patternFill>
      </fill>
    </dxf>
    <dxf>
      <font>
        <color theme="0"/>
      </font>
    </dxf>
    <dxf>
      <font>
        <color theme="0"/>
      </font>
    </dxf>
    <dxf>
      <font>
        <color theme="0" tint="-4.9989318521683403E-2"/>
      </font>
    </dxf>
    <dxf>
      <fill>
        <patternFill>
          <bgColor rgb="FF993366"/>
        </patternFill>
      </fill>
    </dxf>
    <dxf>
      <font>
        <color theme="0" tint="-4.9989318521683403E-2"/>
      </font>
    </dxf>
    <dxf>
      <fill>
        <patternFill>
          <bgColor rgb="FF993366"/>
        </patternFill>
      </fill>
    </dxf>
    <dxf>
      <font>
        <color theme="0" tint="-4.9989318521683403E-2"/>
      </font>
    </dxf>
    <dxf>
      <fill>
        <patternFill>
          <bgColor rgb="FF993366"/>
        </patternFill>
      </fill>
    </dxf>
    <dxf>
      <font>
        <condense val="0"/>
        <extend val="0"/>
        <color indexed="9"/>
      </font>
    </dxf>
    <dxf>
      <font>
        <condense val="0"/>
        <extend val="0"/>
        <color indexed="9"/>
      </font>
    </dxf>
    <dxf>
      <font>
        <condense val="0"/>
        <extend val="0"/>
        <color indexed="9"/>
      </font>
    </dxf>
    <dxf>
      <font>
        <color theme="0" tint="-4.9989318521683403E-2"/>
      </font>
    </dxf>
    <dxf>
      <fill>
        <patternFill>
          <bgColor rgb="FF993366"/>
        </patternFill>
      </fill>
    </dxf>
    <dxf>
      <fill>
        <patternFill>
          <bgColor theme="5"/>
        </patternFill>
      </fill>
      <border>
        <top style="thin">
          <color theme="0"/>
        </top>
        <vertical/>
        <horizontal/>
      </border>
    </dxf>
    <dxf>
      <fill>
        <patternFill>
          <bgColor theme="5"/>
        </patternFill>
      </fill>
      <border>
        <bottom style="thin">
          <color theme="0"/>
        </bottom>
        <vertical/>
        <horizontal/>
      </border>
    </dxf>
    <dxf>
      <font>
        <color theme="0"/>
      </font>
    </dxf>
    <dxf>
      <fill>
        <patternFill>
          <bgColor theme="4" tint="-0.24994659260841701"/>
        </patternFill>
      </fill>
      <border>
        <top style="thin">
          <color theme="0" tint="-0.34998626667073579"/>
        </top>
      </border>
    </dxf>
    <dxf>
      <font>
        <condense val="0"/>
        <extend val="0"/>
        <color indexed="24"/>
      </font>
    </dxf>
    <dxf>
      <font>
        <condense val="0"/>
        <extend val="0"/>
        <color indexed="24"/>
      </font>
    </dxf>
    <dxf>
      <font>
        <condense val="0"/>
        <extend val="0"/>
        <color indexed="24"/>
      </font>
    </dxf>
    <dxf>
      <font>
        <condense val="0"/>
        <extend val="0"/>
        <color indexed="24"/>
      </font>
    </dxf>
    <dxf>
      <font>
        <condense val="0"/>
        <extend val="0"/>
        <color indexed="24"/>
      </font>
    </dxf>
    <dxf>
      <font>
        <condense val="0"/>
        <extend val="0"/>
        <color indexed="24"/>
      </font>
    </dxf>
    <dxf>
      <font>
        <condense val="0"/>
        <extend val="0"/>
        <color indexed="24"/>
      </font>
    </dxf>
    <dxf>
      <font>
        <condense val="0"/>
        <extend val="0"/>
        <color indexed="24"/>
      </font>
    </dxf>
    <dxf>
      <font>
        <b/>
        <i val="0"/>
        <condense val="0"/>
        <extend val="0"/>
        <color indexed="10"/>
      </font>
      <fill>
        <patternFill patternType="solid">
          <bgColor indexed="42"/>
        </patternFill>
      </fill>
    </dxf>
    <dxf>
      <font>
        <color theme="0"/>
      </font>
      <fill>
        <patternFill>
          <bgColor rgb="FFFF0000"/>
        </patternFill>
      </fill>
    </dxf>
    <dxf>
      <font>
        <color theme="0"/>
      </font>
    </dxf>
    <dxf>
      <font>
        <color theme="0" tint="-4.9989318521683403E-2"/>
      </font>
    </dxf>
    <dxf>
      <font>
        <condense val="0"/>
        <extend val="0"/>
        <color indexed="9"/>
      </font>
      <fill>
        <patternFill>
          <bgColor indexed="16"/>
        </patternFill>
      </fill>
      <border>
        <right style="thin">
          <color indexed="64"/>
        </right>
      </border>
    </dxf>
    <dxf>
      <font>
        <condense val="0"/>
        <extend val="0"/>
        <color indexed="9"/>
      </font>
      <fill>
        <patternFill>
          <bgColor theme="5"/>
        </patternFill>
      </fill>
      <border>
        <left style="thin">
          <color indexed="64"/>
        </left>
        <right style="thin">
          <color indexed="64"/>
        </right>
        <top style="thin">
          <color indexed="64"/>
        </top>
        <bottom style="thin">
          <color indexed="64"/>
        </bottom>
      </border>
    </dxf>
    <dxf>
      <font>
        <b val="0"/>
        <i val="0"/>
        <condense val="0"/>
        <extend val="0"/>
        <color indexed="10"/>
      </font>
      <fill>
        <patternFill>
          <bgColor indexed="42"/>
        </patternFill>
      </fill>
      <border>
        <left style="thin">
          <color indexed="10"/>
        </left>
        <right style="thin">
          <color indexed="10"/>
        </right>
        <top style="thin">
          <color indexed="10"/>
        </top>
        <bottom style="thin">
          <color indexed="10"/>
        </bottom>
      </border>
    </dxf>
    <dxf>
      <font>
        <condense val="0"/>
        <extend val="0"/>
        <color indexed="26"/>
      </font>
    </dxf>
    <dxf>
      <font>
        <condense val="0"/>
        <extend val="0"/>
        <color indexed="9"/>
      </font>
    </dxf>
    <dxf>
      <font>
        <b/>
        <i val="0"/>
        <condense val="0"/>
        <extend val="0"/>
        <color indexed="10"/>
      </font>
      <fill>
        <patternFill patternType="solid">
          <bgColor indexed="42"/>
        </patternFill>
      </fill>
    </dxf>
    <dxf>
      <font>
        <color theme="0"/>
      </font>
      <fill>
        <patternFill>
          <bgColor rgb="FFFF0000"/>
        </patternFill>
      </fill>
    </dxf>
    <dxf>
      <font>
        <b/>
        <i val="0"/>
        <condense val="0"/>
        <extend val="0"/>
        <color indexed="10"/>
      </font>
      <fill>
        <patternFill patternType="solid">
          <bgColor indexed="42"/>
        </patternFill>
      </fill>
    </dxf>
    <dxf>
      <font>
        <color theme="0"/>
      </font>
      <fill>
        <patternFill>
          <bgColor rgb="FFFF0000"/>
        </patternFill>
      </fill>
    </dxf>
    <dxf>
      <font>
        <b/>
        <i val="0"/>
        <condense val="0"/>
        <extend val="0"/>
        <color indexed="10"/>
      </font>
      <fill>
        <patternFill patternType="solid">
          <bgColor indexed="42"/>
        </patternFill>
      </fill>
    </dxf>
    <dxf>
      <font>
        <color theme="0"/>
      </font>
      <fill>
        <patternFill>
          <bgColor rgb="FFFF0000"/>
        </patternFill>
      </fill>
    </dxf>
    <dxf>
      <font>
        <b/>
        <i val="0"/>
        <condense val="0"/>
        <extend val="0"/>
        <color indexed="10"/>
      </font>
      <fill>
        <patternFill>
          <bgColor indexed="42"/>
        </patternFill>
      </fill>
      <border>
        <left style="thin">
          <color indexed="10"/>
        </left>
        <right style="thin">
          <color indexed="10"/>
        </right>
        <top style="thin">
          <color indexed="10"/>
        </top>
        <bottom style="thin">
          <color indexed="10"/>
        </bottom>
      </border>
    </dxf>
    <dxf>
      <font>
        <color theme="0" tint="-0.499984740745262"/>
      </font>
      <fill>
        <patternFill>
          <bgColor theme="0" tint="-0.499984740745262"/>
        </patternFill>
      </fill>
    </dxf>
    <dxf>
      <font>
        <color rgb="FF002060"/>
      </font>
      <fill>
        <patternFill>
          <bgColor theme="6" tint="0.59996337778862885"/>
        </patternFill>
      </fill>
    </dxf>
    <dxf>
      <font>
        <color theme="0" tint="-0.499984740745262"/>
      </font>
      <fill>
        <patternFill>
          <bgColor theme="0" tint="-0.499984740745262"/>
        </patternFill>
      </fill>
    </dxf>
    <dxf>
      <font>
        <color rgb="FF002060"/>
      </font>
      <fill>
        <patternFill>
          <bgColor theme="6" tint="0.59996337778862885"/>
        </patternFill>
      </fill>
    </dxf>
    <dxf>
      <font>
        <color theme="0" tint="-0.499984740745262"/>
      </font>
      <fill>
        <patternFill>
          <bgColor theme="0" tint="-0.499984740745262"/>
        </patternFill>
      </fill>
    </dxf>
    <dxf>
      <font>
        <color rgb="FF002060"/>
      </font>
      <fill>
        <patternFill>
          <bgColor theme="6" tint="0.59996337778862885"/>
        </patternFill>
      </fill>
    </dxf>
    <dxf>
      <font>
        <color theme="0" tint="-0.499984740745262"/>
      </font>
      <fill>
        <patternFill>
          <bgColor theme="0" tint="-0.499984740745262"/>
        </patternFill>
      </fill>
    </dxf>
    <dxf>
      <font>
        <color rgb="FF002060"/>
      </font>
      <fill>
        <patternFill>
          <bgColor theme="6" tint="0.59996337778862885"/>
        </patternFill>
      </fill>
    </dxf>
    <dxf>
      <font>
        <condense val="0"/>
        <extend val="0"/>
        <color indexed="26"/>
      </font>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color indexed="9"/>
      </font>
      <fill>
        <patternFill>
          <bgColor theme="5"/>
        </patternFill>
      </fill>
    </dxf>
    <dxf>
      <font>
        <color rgb="FFFF0000"/>
      </font>
    </dxf>
    <dxf>
      <font>
        <condense val="0"/>
        <extend val="0"/>
        <color indexed="32"/>
      </font>
      <fill>
        <patternFill>
          <bgColor theme="6" tint="0.59996337778862885"/>
        </patternFill>
      </fill>
    </dxf>
    <dxf>
      <font>
        <color theme="0"/>
      </font>
      <fill>
        <patternFill>
          <bgColor theme="5"/>
        </patternFill>
      </fill>
    </dxf>
    <dxf>
      <font>
        <condense val="0"/>
        <extend val="0"/>
        <color indexed="9"/>
      </font>
    </dxf>
    <dxf>
      <font>
        <condense val="0"/>
        <extend val="0"/>
        <color indexed="12"/>
      </font>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993366"/>
        </patternFill>
      </fill>
    </dxf>
    <dxf>
      <font>
        <color theme="0"/>
      </font>
      <fill>
        <patternFill>
          <bgColor rgb="FFFF0000"/>
        </patternFill>
      </fill>
    </dxf>
    <dxf>
      <font>
        <color theme="8"/>
      </font>
    </dxf>
    <dxf>
      <fill>
        <patternFill>
          <bgColor theme="8"/>
        </patternFill>
      </fill>
    </dxf>
    <dxf>
      <fill>
        <patternFill>
          <bgColor rgb="FF993366"/>
        </patternFill>
      </fill>
    </dxf>
    <dxf>
      <fill>
        <patternFill>
          <bgColor rgb="FFFF0000"/>
        </patternFill>
      </fill>
    </dxf>
    <dxf>
      <font>
        <b/>
        <i val="0"/>
        <color theme="0"/>
      </font>
      <fill>
        <patternFill>
          <bgColor rgb="FF993366"/>
        </patternFill>
      </fill>
    </dxf>
    <dxf>
      <font>
        <b/>
        <i val="0"/>
        <color theme="0"/>
      </font>
      <fill>
        <patternFill>
          <bgColor rgb="FFFF0000"/>
        </patternFill>
      </fill>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ont>
        <b/>
        <i val="0"/>
        <color theme="0"/>
      </font>
      <fill>
        <patternFill>
          <bgColor rgb="FF993366"/>
        </patternFill>
      </fill>
    </dxf>
    <dxf>
      <fill>
        <patternFill>
          <bgColor rgb="FF993366"/>
        </patternFill>
      </fill>
    </dxf>
    <dxf>
      <fill>
        <patternFill>
          <bgColor rgb="FF993366"/>
        </patternFill>
      </fill>
    </dxf>
    <dxf>
      <font>
        <b/>
        <i val="0"/>
        <color rgb="FFFF0000"/>
      </font>
      <fill>
        <patternFill>
          <bgColor theme="9" tint="0.79998168889431442"/>
        </patternFill>
      </fill>
    </dxf>
    <dxf>
      <font>
        <color theme="8"/>
      </font>
    </dxf>
    <dxf>
      <fill>
        <patternFill>
          <bgColor rgb="FF993366"/>
        </patternFill>
      </fill>
    </dxf>
    <dxf>
      <fill>
        <patternFill>
          <bgColor rgb="FFFF0000"/>
        </patternFill>
      </fill>
    </dxf>
    <dxf>
      <font>
        <color theme="8"/>
      </font>
    </dxf>
    <dxf>
      <fill>
        <patternFill>
          <bgColor rgb="FF993366"/>
        </patternFill>
      </fill>
    </dxf>
    <dxf>
      <font>
        <b/>
        <i val="0"/>
        <color theme="0"/>
      </font>
      <fill>
        <patternFill>
          <bgColor rgb="FF993366"/>
        </patternFill>
      </fill>
    </dxf>
    <dxf>
      <font>
        <color rgb="FFFF0000"/>
      </font>
      <fill>
        <patternFill>
          <bgColor rgb="FF66FFFF"/>
        </patternFill>
      </fill>
    </dxf>
    <dxf>
      <font>
        <color rgb="FFFF0000"/>
      </font>
      <fill>
        <patternFill>
          <bgColor rgb="FF66FFFF"/>
        </patternFill>
      </fill>
    </dxf>
    <dxf>
      <font>
        <color rgb="FFFF0000"/>
      </font>
      <fill>
        <patternFill>
          <bgColor rgb="FF66FFFF"/>
        </patternFill>
      </fill>
    </dxf>
    <dxf>
      <font>
        <color rgb="FFFF0000"/>
      </font>
      <fill>
        <patternFill>
          <bgColor rgb="FF66FFFF"/>
        </patternFill>
      </fill>
    </dxf>
    <dxf>
      <font>
        <b val="0"/>
        <i val="0"/>
        <color rgb="FF0000CC"/>
      </font>
      <fill>
        <patternFill patternType="none">
          <bgColor auto="1"/>
        </patternFill>
      </fill>
    </dxf>
    <dxf>
      <font>
        <b val="0"/>
        <i val="0"/>
        <color rgb="FF0000CC"/>
      </font>
      <fill>
        <patternFill patternType="none">
          <bgColor auto="1"/>
        </patternFill>
      </fill>
    </dxf>
    <dxf>
      <font>
        <b val="0"/>
        <i val="0"/>
        <color rgb="FF0000CC"/>
      </font>
      <fill>
        <patternFill patternType="none">
          <bgColor auto="1"/>
        </patternFill>
      </fill>
    </dxf>
    <dxf>
      <font>
        <b val="0"/>
        <i val="0"/>
        <color rgb="FF0000CC"/>
      </font>
      <fill>
        <patternFill patternType="none">
          <bgColor auto="1"/>
        </patternFill>
      </fill>
    </dxf>
    <dxf>
      <font>
        <b/>
        <i val="0"/>
      </font>
      <fill>
        <patternFill>
          <bgColor rgb="FF0070C0"/>
        </patternFill>
      </fill>
    </dxf>
    <dxf>
      <font>
        <color theme="5" tint="0.39994506668294322"/>
      </font>
    </dxf>
    <dxf>
      <font>
        <b/>
        <i val="0"/>
      </font>
      <fill>
        <patternFill>
          <bgColor rgb="FF0070C0"/>
        </patternFill>
      </fill>
    </dxf>
    <dxf>
      <font>
        <color theme="5" tint="0.39994506668294322"/>
      </font>
    </dxf>
    <dxf>
      <font>
        <b/>
        <i val="0"/>
      </font>
      <fill>
        <patternFill>
          <bgColor rgb="FF0070C0"/>
        </patternFill>
      </fill>
    </dxf>
    <dxf>
      <font>
        <color theme="5" tint="0.39994506668294322"/>
      </font>
    </dxf>
    <dxf>
      <font>
        <b/>
        <i val="0"/>
      </font>
      <fill>
        <patternFill>
          <bgColor rgb="FF0070C0"/>
        </patternFill>
      </fill>
    </dxf>
    <dxf>
      <font>
        <color theme="5" tint="0.39994506668294322"/>
      </font>
    </dxf>
    <dxf>
      <font>
        <b/>
        <i val="0"/>
      </font>
      <fill>
        <patternFill>
          <bgColor rgb="FF0070C0"/>
        </patternFill>
      </fill>
    </dxf>
    <dxf>
      <font>
        <color theme="5" tint="0.39994506668294322"/>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color rgb="FF0000CC"/>
      </font>
      <fill>
        <patternFill patternType="none">
          <bgColor auto="1"/>
        </patternFill>
      </fill>
    </dxf>
    <dxf>
      <font>
        <b val="0"/>
        <i val="0"/>
        <color rgb="FF0000CC"/>
      </font>
      <fill>
        <patternFill patternType="none">
          <bgColor auto="1"/>
        </patternFill>
      </fill>
    </dxf>
    <dxf>
      <font>
        <b/>
        <i val="0"/>
      </font>
      <fill>
        <patternFill>
          <bgColor rgb="FF0070C0"/>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theme="5" tint="0.39994506668294322"/>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ill>
        <patternFill>
          <bgColor rgb="FF993366"/>
        </patternFill>
      </fill>
    </dxf>
    <dxf>
      <font>
        <b/>
        <i val="0"/>
        <color theme="0"/>
      </font>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FF0000"/>
      </font>
    </dxf>
    <dxf>
      <font>
        <color rgb="FFFF0000"/>
      </font>
    </dxf>
    <dxf>
      <fill>
        <patternFill>
          <bgColor rgb="FF993366"/>
        </patternFill>
      </fill>
    </dxf>
    <dxf>
      <fill>
        <patternFill>
          <bgColor rgb="FFDA9694"/>
        </patternFill>
      </fill>
    </dxf>
    <dxf>
      <fill>
        <patternFill>
          <bgColor rgb="FFFF0000"/>
        </patternFill>
      </fill>
    </dxf>
    <dxf>
      <fill>
        <patternFill>
          <bgColor rgb="FF00B050"/>
        </patternFill>
      </fill>
    </dxf>
    <dxf>
      <fill>
        <patternFill>
          <bgColor theme="4"/>
        </patternFill>
      </fill>
    </dxf>
    <dxf>
      <font>
        <b/>
        <i val="0"/>
        <color theme="0"/>
      </font>
      <fill>
        <patternFill>
          <bgColor rgb="FFFF0000"/>
        </patternFill>
      </fill>
    </dxf>
    <dxf>
      <font>
        <b/>
        <i val="0"/>
        <color theme="9" tint="-0.24994659260841701"/>
      </font>
      <fill>
        <patternFill>
          <bgColor theme="9" tint="0.79998168889431442"/>
        </patternFill>
      </fill>
    </dxf>
    <dxf>
      <font>
        <b/>
        <i val="0"/>
        <color theme="0"/>
      </font>
      <fill>
        <patternFill>
          <bgColor rgb="FFFF0000"/>
        </patternFill>
      </fill>
    </dxf>
    <dxf>
      <font>
        <b/>
        <i val="0"/>
        <color theme="9" tint="-0.24994659260841701"/>
      </font>
      <fill>
        <patternFill>
          <bgColor theme="9" tint="0.79998168889431442"/>
        </patternFill>
      </fill>
    </dxf>
    <dxf>
      <font>
        <b/>
        <i val="0"/>
        <color theme="0"/>
      </font>
      <fill>
        <patternFill>
          <bgColor rgb="FFFF0000"/>
        </patternFill>
      </fill>
    </dxf>
    <dxf>
      <font>
        <b/>
        <i val="0"/>
        <color theme="9" tint="-0.24994659260841701"/>
      </font>
      <fill>
        <patternFill>
          <bgColor theme="9" tint="0.79998168889431442"/>
        </patternFill>
      </fill>
    </dxf>
    <dxf>
      <font>
        <b/>
        <i val="0"/>
        <color theme="0"/>
      </font>
      <fill>
        <patternFill>
          <bgColor rgb="FFFF0000"/>
        </patternFill>
      </fill>
    </dxf>
    <dxf>
      <font>
        <b/>
        <i val="0"/>
        <color theme="9" tint="-0.24994659260841701"/>
      </font>
      <fill>
        <patternFill>
          <bgColor theme="9" tint="0.79998168889431442"/>
        </patternFill>
      </fill>
    </dxf>
    <dxf>
      <font>
        <b/>
        <i val="0"/>
        <color theme="0"/>
      </font>
      <fill>
        <patternFill>
          <bgColor rgb="FFFF0000"/>
        </patternFill>
      </fill>
    </dxf>
    <dxf>
      <font>
        <b/>
        <i val="0"/>
        <color theme="9" tint="-0.24994659260841701"/>
      </font>
      <fill>
        <patternFill>
          <bgColor theme="9" tint="0.79998168889431442"/>
        </patternFill>
      </fill>
    </dxf>
    <dxf>
      <font>
        <color theme="0"/>
      </font>
    </dxf>
    <dxf>
      <font>
        <b/>
        <i val="0"/>
        <color theme="0"/>
      </font>
      <fill>
        <patternFill>
          <bgColor rgb="FFFF0000"/>
        </patternFill>
      </fill>
    </dxf>
    <dxf>
      <font>
        <b/>
        <i val="0"/>
        <color theme="9" tint="-0.24994659260841701"/>
      </font>
      <fill>
        <patternFill>
          <bgColor theme="9" tint="0.79998168889431442"/>
        </patternFill>
      </fill>
    </dxf>
    <dxf>
      <font>
        <color theme="0" tint="-4.9989318521683403E-2"/>
      </font>
    </dxf>
    <dxf>
      <font>
        <color theme="0"/>
      </font>
    </dxf>
    <dxf>
      <border>
        <left style="thin">
          <color rgb="FF0000FF"/>
        </left>
        <right style="thin">
          <color rgb="FF0000FF"/>
        </right>
        <top style="thin">
          <color rgb="FF0000FF"/>
        </top>
        <bottom style="thin">
          <color rgb="FF0000FF"/>
        </bottom>
        <vertical/>
        <horizontal/>
      </border>
    </dxf>
    <dxf>
      <font>
        <b/>
        <i val="0"/>
        <condense val="0"/>
        <extend val="0"/>
        <color indexed="9"/>
      </font>
      <fill>
        <patternFill>
          <bgColor rgb="FF993366"/>
        </patternFill>
      </fill>
      <border>
        <left style="thin">
          <color indexed="10"/>
        </left>
        <right style="thin">
          <color indexed="10"/>
        </right>
        <top style="thin">
          <color indexed="10"/>
        </top>
        <bottom style="thin">
          <color indexed="10"/>
        </bottom>
      </border>
    </dxf>
    <dxf>
      <font>
        <color theme="0"/>
      </font>
      <fill>
        <patternFill patternType="none">
          <bgColor auto="1"/>
        </patternFill>
      </fill>
      <border>
        <left/>
        <right/>
        <top/>
        <bottom/>
        <vertical/>
        <horizontal/>
      </border>
    </dxf>
    <dxf>
      <font>
        <color theme="0"/>
      </font>
    </dxf>
    <dxf>
      <font>
        <color rgb="FFFF0000"/>
      </font>
      <fill>
        <patternFill>
          <bgColor theme="9" tint="0.79998168889431442"/>
        </patternFill>
      </fill>
    </dxf>
    <dxf>
      <font>
        <color theme="0"/>
      </font>
      <fill>
        <patternFill>
          <bgColor rgb="FFFF0000"/>
        </patternFill>
      </fill>
    </dxf>
    <dxf>
      <font>
        <color theme="0"/>
      </font>
    </dxf>
    <dxf>
      <font>
        <color rgb="FFFF0000"/>
      </font>
      <fill>
        <patternFill>
          <bgColor theme="9" tint="0.79998168889431442"/>
        </patternFill>
      </fill>
    </dxf>
    <dxf>
      <font>
        <color theme="0"/>
      </font>
      <fill>
        <patternFill>
          <bgColor rgb="FFFF0000"/>
        </patternFill>
      </fill>
    </dxf>
    <dxf>
      <font>
        <color theme="0"/>
      </font>
    </dxf>
    <dxf>
      <font>
        <color rgb="FFFF0000"/>
      </font>
      <fill>
        <patternFill>
          <bgColor theme="9" tint="0.79998168889431442"/>
        </patternFill>
      </fill>
    </dxf>
    <dxf>
      <font>
        <color theme="0"/>
      </font>
      <fill>
        <patternFill>
          <bgColor rgb="FFFF0000"/>
        </patternFill>
      </fill>
    </dxf>
    <dxf>
      <font>
        <color theme="0"/>
      </font>
    </dxf>
    <dxf>
      <font>
        <color rgb="FFFF0000"/>
      </font>
      <fill>
        <patternFill>
          <bgColor theme="9" tint="0.79998168889431442"/>
        </patternFill>
      </fill>
    </dxf>
    <dxf>
      <font>
        <color theme="0"/>
      </font>
      <fill>
        <patternFill>
          <bgColor rgb="FFFF0000"/>
        </patternFill>
      </fill>
    </dxf>
    <dxf>
      <font>
        <color theme="0"/>
      </font>
      <fill>
        <patternFill>
          <bgColor rgb="FF993366"/>
        </patternFill>
      </fill>
    </dxf>
    <dxf>
      <font>
        <color theme="0"/>
      </font>
    </dxf>
    <dxf>
      <font>
        <color rgb="FFFF0000"/>
      </font>
      <fill>
        <patternFill>
          <bgColor theme="9" tint="0.79998168889431442"/>
        </patternFill>
      </fill>
    </dxf>
    <dxf>
      <font>
        <color theme="0"/>
      </font>
      <fill>
        <patternFill>
          <bgColor rgb="FFFF0000"/>
        </patternFill>
      </fill>
    </dxf>
    <dxf>
      <font>
        <color theme="0"/>
      </font>
    </dxf>
    <dxf>
      <font>
        <color rgb="FFFF0000"/>
      </font>
      <fill>
        <patternFill>
          <bgColor theme="9" tint="0.79998168889431442"/>
        </patternFill>
      </fill>
    </dxf>
    <dxf>
      <font>
        <color theme="0"/>
      </font>
      <fill>
        <patternFill>
          <bgColor rgb="FFFF0000"/>
        </patternFill>
      </fill>
    </dxf>
    <dxf>
      <font>
        <b/>
        <i val="0"/>
        <color rgb="FFFF0000"/>
      </font>
      <fill>
        <patternFill>
          <bgColor theme="9" tint="0.79998168889431442"/>
        </patternFill>
      </fill>
    </dxf>
    <dxf>
      <font>
        <color rgb="FFFF0000"/>
      </font>
      <fill>
        <patternFill>
          <bgColor theme="9" tint="0.79998168889431442"/>
        </patternFill>
      </fill>
    </dxf>
    <dxf>
      <font>
        <color rgb="FFFF0000"/>
      </font>
      <fill>
        <patternFill>
          <bgColor rgb="FF66FFFF"/>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rgb="FFFF0000"/>
      </font>
      <fill>
        <patternFill>
          <bgColor theme="9" tint="0.79998168889431442"/>
        </patternFill>
      </fill>
    </dxf>
    <dxf>
      <font>
        <color theme="0"/>
      </font>
    </dxf>
    <dxf>
      <font>
        <color theme="0"/>
      </font>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6"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6"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dxf>
    <dxf>
      <font>
        <color rgb="FFFF0000"/>
      </font>
      <fill>
        <patternFill patternType="solid">
          <bgColor theme="9"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6"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CC"/>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fill>
        <patternFill>
          <bgColor theme="9" tint="0.79998168889431442"/>
        </patternFill>
      </fill>
    </dxf>
    <dxf>
      <font>
        <color theme="0"/>
      </font>
      <fill>
        <patternFill>
          <bgColor rgb="FFFF0000"/>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i/>
        <condense val="0"/>
        <extend val="0"/>
        <color indexed="9"/>
      </font>
      <fill>
        <patternFill>
          <bgColor indexed="10"/>
        </patternFill>
      </fill>
    </dxf>
    <dxf>
      <font>
        <b/>
        <i/>
        <condense val="0"/>
        <extend val="0"/>
        <color indexed="9"/>
      </font>
      <fill>
        <patternFill patternType="none">
          <bgColor indexed="65"/>
        </patternFill>
      </fill>
    </dxf>
    <dxf>
      <font>
        <color rgb="FFFF0000"/>
      </font>
      <fill>
        <patternFill>
          <bgColor theme="9" tint="0.79998168889431442"/>
        </patternFill>
      </fill>
    </dxf>
    <dxf>
      <font>
        <b/>
        <i/>
        <color theme="0"/>
      </font>
      <fill>
        <patternFill>
          <bgColor rgb="FFA50021"/>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border>
        <left/>
        <right/>
        <top/>
        <bottom/>
        <vertical/>
        <horizontal/>
      </border>
    </dxf>
    <dxf>
      <font>
        <color theme="0"/>
      </font>
    </dxf>
    <dxf>
      <font>
        <color theme="0"/>
      </font>
    </dxf>
    <dxf>
      <font>
        <color theme="0"/>
      </font>
    </dxf>
    <dxf>
      <font>
        <color rgb="FFFF0000"/>
      </font>
      <border>
        <left style="thin">
          <color rgb="FFFF0000"/>
        </left>
        <right style="thin">
          <color rgb="FFFF0000"/>
        </right>
        <top style="thin">
          <color rgb="FFFF0000"/>
        </top>
        <bottom style="thin">
          <color rgb="FFFF0000"/>
        </bottom>
      </border>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color rgb="FFEBF9FF"/>
      </font>
    </dxf>
    <dxf>
      <font>
        <color rgb="FFFF0000"/>
      </font>
      <fill>
        <patternFill>
          <bgColor theme="9" tint="0.79998168889431442"/>
        </patternFill>
      </fill>
    </dxf>
    <dxf>
      <font>
        <color theme="0"/>
      </font>
      <fill>
        <patternFill>
          <bgColor rgb="FFFF0000"/>
        </patternFill>
      </fill>
    </dxf>
    <dxf>
      <font>
        <color rgb="FFEBF9FF"/>
      </font>
    </dxf>
    <dxf>
      <font>
        <color rgb="FFFF0000"/>
      </font>
      <fill>
        <patternFill>
          <bgColor theme="9" tint="0.79998168889431442"/>
        </patternFill>
      </fill>
    </dxf>
    <dxf>
      <font>
        <color theme="0"/>
      </font>
      <fill>
        <patternFill>
          <bgColor rgb="FFFF0000"/>
        </patternFill>
      </fill>
    </dxf>
    <dxf>
      <font>
        <color rgb="FFEBF9FF"/>
      </font>
    </dxf>
    <dxf>
      <font>
        <color rgb="FFFF0000"/>
      </font>
      <fill>
        <patternFill>
          <bgColor theme="9" tint="0.79998168889431442"/>
        </patternFill>
      </fill>
    </dxf>
    <dxf>
      <font>
        <color theme="0"/>
      </font>
      <fill>
        <patternFill>
          <bgColor rgb="FFFF0000"/>
        </patternFill>
      </fill>
    </dxf>
    <dxf>
      <font>
        <color rgb="FFEBF9FF"/>
      </font>
    </dxf>
    <dxf>
      <font>
        <color rgb="FFFF0000"/>
      </font>
      <fill>
        <patternFill>
          <bgColor theme="9" tint="0.79998168889431442"/>
        </patternFill>
      </fill>
    </dxf>
    <dxf>
      <font>
        <color theme="0"/>
      </font>
      <fill>
        <patternFill>
          <bgColor rgb="FFFF0000"/>
        </patternFill>
      </fill>
    </dxf>
    <dxf>
      <font>
        <color rgb="FFEBF9FF"/>
      </font>
    </dxf>
    <dxf>
      <font>
        <color rgb="FFFF0000"/>
      </font>
      <fill>
        <patternFill>
          <bgColor theme="9" tint="0.79998168889431442"/>
        </patternFill>
      </fill>
    </dxf>
    <dxf>
      <font>
        <color theme="0"/>
      </font>
      <fill>
        <patternFill>
          <bgColor rgb="FFFF0000"/>
        </patternFill>
      </fill>
    </dxf>
    <dxf>
      <font>
        <color rgb="FFEBF9FF"/>
      </font>
    </dxf>
    <dxf>
      <font>
        <color rgb="FFFF0000"/>
      </font>
      <fill>
        <patternFill>
          <bgColor theme="9" tint="0.79998168889431442"/>
        </patternFill>
      </fill>
    </dxf>
    <dxf>
      <font>
        <color theme="0"/>
      </font>
      <fill>
        <patternFill>
          <bgColor rgb="FFFF0000"/>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ill>
        <patternFill>
          <bgColor rgb="FF993366"/>
        </patternFill>
      </fill>
    </dxf>
    <dxf>
      <fill>
        <patternFill>
          <bgColor rgb="FFFF0000"/>
        </patternFill>
      </fill>
    </dxf>
    <dxf>
      <fill>
        <patternFill>
          <bgColor rgb="FF993366"/>
        </patternFill>
      </fill>
    </dxf>
    <dxf>
      <font>
        <color theme="8"/>
      </font>
      <fill>
        <patternFill>
          <bgColor theme="8"/>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color rgb="FFFF0000"/>
      </font>
      <fill>
        <patternFill>
          <bgColor theme="9" tint="0.79998168889431442"/>
        </patternFill>
      </fill>
    </dxf>
    <dxf>
      <font>
        <color rgb="FFFF0000"/>
      </font>
      <fill>
        <patternFill>
          <bgColor theme="9" tint="0.79998168889431442"/>
        </patternFill>
      </fill>
    </dxf>
    <dxf>
      <font>
        <color theme="0"/>
      </font>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rgb="FFFF0000"/>
        </patternFill>
      </fill>
    </dxf>
    <dxf>
      <font>
        <color rgb="FFFF0000"/>
      </font>
      <fill>
        <patternFill>
          <bgColor theme="9" tint="0.79998168889431442"/>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i/>
        <condense val="0"/>
        <extend val="0"/>
        <color indexed="9"/>
      </font>
      <fill>
        <patternFill>
          <bgColor indexed="10"/>
        </patternFill>
      </fill>
    </dxf>
    <dxf>
      <font>
        <b/>
        <i/>
        <condense val="0"/>
        <extend val="0"/>
        <color indexed="9"/>
      </font>
      <fill>
        <patternFill>
          <bgColor rgb="FF993366"/>
        </patternFill>
      </fill>
    </dxf>
    <dxf>
      <font>
        <b/>
        <i/>
        <condense val="0"/>
        <extend val="0"/>
        <color indexed="9"/>
      </font>
      <fill>
        <patternFill>
          <bgColor indexed="10"/>
        </patternFill>
      </fill>
    </dxf>
    <dxf>
      <font>
        <b/>
        <i/>
        <condense val="0"/>
        <extend val="0"/>
        <color indexed="9"/>
      </font>
      <fill>
        <patternFill>
          <bgColor rgb="FF993366"/>
        </patternFill>
      </fill>
    </dxf>
    <dxf>
      <font>
        <b/>
        <i/>
        <condense val="0"/>
        <extend val="0"/>
        <color indexed="9"/>
      </font>
      <fill>
        <patternFill>
          <bgColor indexed="10"/>
        </patternFill>
      </fill>
    </dxf>
    <dxf>
      <font>
        <b/>
        <i/>
        <condense val="0"/>
        <extend val="0"/>
        <color indexed="9"/>
      </font>
      <fill>
        <patternFill>
          <bgColor rgb="FF993366"/>
        </patternFill>
      </fill>
    </dxf>
    <dxf>
      <font>
        <b/>
        <i/>
        <condense val="0"/>
        <extend val="0"/>
        <color indexed="9"/>
      </font>
      <fill>
        <patternFill>
          <bgColor indexed="10"/>
        </patternFill>
      </fill>
    </dxf>
    <dxf>
      <font>
        <b/>
        <i/>
        <condense val="0"/>
        <extend val="0"/>
        <color indexed="9"/>
      </font>
      <fill>
        <patternFill>
          <bgColor rgb="FF993366"/>
        </patternFill>
      </fill>
    </dxf>
    <dxf>
      <font>
        <b/>
        <i/>
        <condense val="0"/>
        <extend val="0"/>
        <color indexed="9"/>
      </font>
      <fill>
        <patternFill>
          <bgColor indexed="10"/>
        </patternFill>
      </fill>
    </dxf>
    <dxf>
      <font>
        <b/>
        <i/>
        <condense val="0"/>
        <extend val="0"/>
        <color indexed="9"/>
      </font>
      <fill>
        <patternFill>
          <bgColor rgb="FF993366"/>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rgb="FFFF0000"/>
      </font>
      <border>
        <left style="thin">
          <color rgb="FFFF0000"/>
        </left>
        <right style="thin">
          <color rgb="FFFF0000"/>
        </right>
        <top style="thin">
          <color rgb="FFFF0000"/>
        </top>
        <bottom style="thin">
          <color rgb="FFFF0000"/>
        </bottom>
      </border>
    </dxf>
    <dxf>
      <border>
        <left/>
        <right/>
        <top/>
        <bottom/>
        <vertical/>
        <horizontal/>
      </border>
    </dxf>
    <dxf>
      <fill>
        <patternFill>
          <bgColor rgb="FF009999"/>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8" tint="-0.24994659260841701"/>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FF0000"/>
        </patternFill>
      </fill>
    </dxf>
    <dxf>
      <font>
        <b/>
        <i/>
        <condense val="0"/>
        <extend val="0"/>
        <color indexed="9"/>
      </font>
      <fill>
        <patternFill>
          <bgColor indexed="10"/>
        </patternFill>
      </fill>
    </dxf>
    <dxf>
      <font>
        <b/>
        <i/>
        <condense val="0"/>
        <extend val="0"/>
        <color indexed="9"/>
      </font>
      <fill>
        <patternFill>
          <bgColor indexed="10"/>
        </patternFill>
      </fill>
    </dxf>
    <dxf>
      <font>
        <b/>
        <i/>
        <condense val="0"/>
        <extend val="0"/>
        <color indexed="9"/>
      </font>
      <fill>
        <patternFill>
          <bgColor indexed="10"/>
        </patternFill>
      </fill>
    </dxf>
    <dxf>
      <font>
        <b/>
        <i/>
        <condense val="0"/>
        <extend val="0"/>
        <color indexed="9"/>
      </font>
      <fill>
        <patternFill>
          <bgColor rgb="FF993366"/>
        </patternFill>
      </fill>
    </dxf>
    <dxf>
      <font>
        <color theme="0"/>
      </font>
    </dxf>
    <dxf>
      <font>
        <condense val="0"/>
        <extend val="0"/>
        <color indexed="32"/>
      </font>
      <fill>
        <patternFill>
          <bgColor theme="6" tint="0.79998168889431442"/>
        </patternFill>
      </fill>
    </dxf>
    <dxf>
      <font>
        <b val="0"/>
        <i val="0"/>
        <color indexed="32"/>
      </font>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b val="0"/>
        <i val="0"/>
        <color indexed="32"/>
      </font>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b val="0"/>
        <i val="0"/>
        <color indexed="32"/>
      </font>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border>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b val="0"/>
        <i/>
        <color indexed="17"/>
      </font>
      <border>
        <left style="thin">
          <color theme="0" tint="-0.499984740745262"/>
        </left>
        <right style="thin">
          <color theme="0" tint="-0.499984740745262"/>
        </right>
        <top style="thin">
          <color theme="0" tint="-0.24994659260841701"/>
        </top>
        <bottom style="thin">
          <color theme="0" tint="-0.34998626667073579"/>
        </bottom>
      </border>
    </dxf>
    <dxf>
      <font>
        <color theme="0"/>
        <name val="Cambria"/>
        <scheme val="none"/>
      </font>
      <border>
        <left/>
        <right/>
        <top/>
        <bottom/>
      </border>
    </dxf>
    <dxf>
      <font>
        <b/>
        <i/>
        <color theme="0"/>
      </font>
      <fill>
        <patternFill patternType="none">
          <bgColor auto="1"/>
        </patternFill>
      </fill>
    </dxf>
    <dxf>
      <font>
        <b/>
        <i/>
        <condense val="0"/>
        <extend val="0"/>
        <color indexed="9"/>
      </font>
      <fill>
        <patternFill>
          <bgColor indexed="25"/>
        </patternFill>
      </fill>
    </dxf>
    <dxf>
      <font>
        <b/>
        <i/>
        <condense val="0"/>
        <extend val="0"/>
        <color indexed="9"/>
      </font>
      <fill>
        <patternFill>
          <bgColor indexed="10"/>
        </patternFill>
      </fill>
    </dxf>
    <dxf>
      <font>
        <b/>
        <i val="0"/>
        <condense val="0"/>
        <extend val="0"/>
        <color indexed="10"/>
      </font>
      <fill>
        <patternFill>
          <bgColor indexed="43"/>
        </patternFill>
      </fill>
    </dxf>
    <dxf>
      <font>
        <condense val="0"/>
        <extend val="0"/>
        <color indexed="10"/>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12"/>
      </font>
      <border>
        <left style="thin">
          <color theme="0" tint="-0.499984740745262"/>
        </left>
        <right style="thin">
          <color theme="0" tint="-0.499984740745262"/>
        </right>
        <top style="thin">
          <color theme="0" tint="-0.34998626667073579"/>
        </top>
        <bottom style="thin">
          <color theme="0" tint="-0.499984740745262"/>
        </bottom>
      </border>
    </dxf>
    <dxf>
      <font>
        <condense val="0"/>
        <extend val="0"/>
        <color indexed="9"/>
      </font>
      <border>
        <left/>
        <right/>
        <top/>
        <bottom/>
      </border>
    </dxf>
    <dxf>
      <font>
        <b/>
        <i/>
        <condense val="0"/>
        <extend val="0"/>
        <color indexed="9"/>
      </font>
      <fill>
        <patternFill>
          <bgColor indexed="10"/>
        </patternFill>
      </fill>
    </dxf>
    <dxf>
      <font>
        <b/>
        <i/>
        <condense val="0"/>
        <extend val="0"/>
        <color indexed="9"/>
      </font>
      <fill>
        <patternFill>
          <bgColor indexed="10"/>
        </patternFill>
      </fill>
    </dxf>
    <dxf>
      <fill>
        <patternFill>
          <bgColor rgb="FFFF0000"/>
        </patternFill>
      </fill>
    </dxf>
    <dxf>
      <font>
        <color theme="0" tint="-4.9989318521683403E-2"/>
      </font>
    </dxf>
    <dxf>
      <fill>
        <patternFill>
          <bgColor theme="5"/>
        </patternFill>
      </fill>
    </dxf>
    <dxf>
      <fill>
        <patternFill>
          <bgColor theme="5"/>
        </patternFill>
      </fill>
    </dxf>
    <dxf>
      <fill>
        <patternFill>
          <bgColor theme="5"/>
        </patternFill>
      </fill>
    </dxf>
    <dxf>
      <font>
        <color rgb="FF666699"/>
      </font>
    </dxf>
    <dxf>
      <font>
        <color theme="0"/>
      </font>
      <fill>
        <patternFill>
          <bgColor theme="5"/>
        </patternFill>
      </fill>
      <border>
        <left style="thin">
          <color theme="0"/>
        </left>
        <right style="thin">
          <color auto="1"/>
        </right>
        <top style="thin">
          <color theme="0"/>
        </top>
        <bottom style="thin">
          <color auto="1"/>
        </bottom>
      </border>
    </dxf>
    <dxf>
      <fill>
        <patternFill>
          <bgColor rgb="FFFF0000"/>
        </patternFill>
      </fill>
    </dxf>
    <dxf>
      <fill>
        <patternFill patternType="none">
          <bgColor auto="1"/>
        </patternFill>
      </fill>
    </dxf>
    <dxf>
      <fill>
        <patternFill patternType="none">
          <bgColor auto="1"/>
        </patternFill>
      </fill>
    </dxf>
    <dxf>
      <fill>
        <patternFill>
          <bgColor theme="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666699"/>
      </font>
    </dxf>
    <dxf>
      <font>
        <color theme="0"/>
      </font>
      <fill>
        <patternFill>
          <bgColor theme="5"/>
        </patternFill>
      </fill>
      <border>
        <left style="thin">
          <color theme="0"/>
        </left>
        <right style="thin">
          <color auto="1"/>
        </right>
        <top style="thin">
          <color theme="0"/>
        </top>
        <bottom style="thin">
          <color auto="1"/>
        </bottom>
      </border>
    </dxf>
    <dxf>
      <font>
        <b/>
        <i val="0"/>
        <condense val="0"/>
        <extend val="0"/>
        <color indexed="9"/>
      </font>
      <fill>
        <patternFill>
          <bgColor theme="5"/>
        </patternFill>
      </fill>
      <border>
        <left style="thin">
          <color indexed="64"/>
        </left>
        <right style="thin">
          <color theme="0"/>
        </right>
        <top style="thin">
          <color theme="0"/>
        </top>
        <bottom style="thin">
          <color indexed="64"/>
        </bottom>
      </border>
    </dxf>
    <dxf>
      <font>
        <color rgb="FFFFCC00"/>
        <name val="Cambria"/>
        <scheme val="none"/>
      </font>
    </dxf>
    <dxf>
      <font>
        <color rgb="FFFFCC00"/>
        <name val="Cambria"/>
        <scheme val="none"/>
      </font>
    </dxf>
    <dxf>
      <font>
        <color rgb="FFFFCC00"/>
        <name val="Cambria"/>
        <scheme val="none"/>
      </font>
    </dxf>
    <dxf>
      <font>
        <color rgb="FFFFCC00"/>
        <name val="Cambria"/>
        <scheme val="none"/>
      </font>
    </dxf>
    <dxf>
      <font>
        <color rgb="FFFFCC00"/>
        <name val="Cambria"/>
        <scheme val="none"/>
      </font>
    </dxf>
    <dxf>
      <fill>
        <patternFill patternType="none">
          <bgColor auto="1"/>
        </patternFill>
      </fill>
    </dxf>
    <dxf>
      <fill>
        <patternFill>
          <bgColor rgb="FF993366"/>
        </patternFill>
      </fill>
    </dxf>
    <dxf>
      <fill>
        <patternFill>
          <bgColor rgb="FF993366"/>
        </patternFill>
      </fill>
    </dxf>
    <dxf>
      <fill>
        <patternFill patternType="none">
          <bgColor auto="1"/>
        </patternFill>
      </fill>
    </dxf>
    <dxf>
      <fill>
        <patternFill patternType="none">
          <bgColor auto="1"/>
        </patternFill>
      </fill>
    </dxf>
    <dxf>
      <font>
        <color rgb="FFFF0000"/>
      </font>
      <fill>
        <patternFill>
          <bgColor theme="9" tint="0.79998168889431442"/>
        </patternFill>
      </fill>
    </dxf>
    <dxf>
      <font>
        <color rgb="FFFF0000"/>
      </font>
      <fill>
        <patternFill>
          <bgColor theme="9" tint="0.79998168889431442"/>
        </patternFill>
      </fill>
    </dxf>
    <dxf>
      <fill>
        <patternFill patternType="none">
          <bgColor auto="1"/>
        </patternFill>
      </fill>
    </dxf>
    <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4" tint="-0.24994659260841701"/>
      </font>
    </dxf>
    <dxf>
      <font>
        <color theme="9" tint="0.79998168889431442"/>
      </font>
    </dxf>
    <dxf>
      <font>
        <color rgb="FFFFFFCC"/>
      </font>
    </dxf>
    <dxf>
      <font>
        <color theme="0"/>
      </font>
      <fill>
        <patternFill>
          <bgColor rgb="FFFF0000"/>
        </patternFill>
      </fill>
    </dxf>
    <dxf>
      <font>
        <color rgb="FF0066CC"/>
      </font>
      <border>
        <left style="thin">
          <color theme="0" tint="-0.499984740745262"/>
        </left>
        <top style="thin">
          <color theme="0" tint="-0.499984740745262"/>
        </top>
        <bottom style="thin">
          <color theme="0" tint="-0.499984740745262"/>
        </bottom>
      </border>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ont>
        <color rgb="FF0066CC"/>
      </font>
      <border>
        <left style="thin">
          <color theme="0" tint="-0.499984740745262"/>
        </left>
        <top style="thin">
          <color theme="0" tint="-0.499984740745262"/>
        </top>
        <bottom style="thin">
          <color theme="0" tint="-0.499984740745262"/>
        </bottom>
      </border>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ont>
        <color rgb="FF0066CC"/>
      </font>
    </dxf>
    <dxf>
      <fill>
        <patternFill>
          <bgColor rgb="FFFF0000"/>
        </patternFill>
      </fill>
    </dxf>
    <dxf>
      <fill>
        <patternFill>
          <bgColor rgb="FF9999FF"/>
        </patternFill>
      </fill>
    </dxf>
    <dxf>
      <fill>
        <patternFill patternType="none">
          <bgColor auto="1"/>
        </patternFill>
      </fill>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ont>
        <b/>
        <i/>
        <condense val="0"/>
        <extend val="0"/>
        <color indexed="9"/>
      </font>
      <fill>
        <patternFill>
          <bgColor indexed="16"/>
        </patternFill>
      </fill>
      <border>
        <left style="thin">
          <color theme="0"/>
        </left>
        <right style="thin">
          <color theme="0"/>
        </right>
      </border>
    </dxf>
    <dxf>
      <font>
        <b/>
        <i/>
        <condense val="0"/>
        <extend val="0"/>
        <color indexed="9"/>
      </font>
      <fill>
        <patternFill patternType="solid">
          <bgColor indexed="24"/>
        </patternFill>
      </fill>
      <border>
        <left style="thin">
          <color theme="0"/>
        </left>
        <right style="thin">
          <color theme="0"/>
        </right>
        <top/>
        <bottom/>
      </border>
    </dxf>
    <dxf>
      <font>
        <b/>
        <i val="0"/>
        <condense val="0"/>
        <extend val="0"/>
        <color indexed="9"/>
      </font>
      <fill>
        <patternFill>
          <bgColor indexed="10"/>
        </patternFill>
      </fill>
      <border>
        <left/>
        <right/>
        <top/>
        <bottom/>
      </border>
    </dxf>
    <dxf>
      <font>
        <b/>
        <i val="0"/>
        <condense val="0"/>
        <extend val="0"/>
        <color indexed="9"/>
      </font>
      <fill>
        <patternFill>
          <bgColor indexed="10"/>
        </patternFill>
      </fill>
      <border>
        <left/>
        <right/>
        <top/>
        <bottom/>
      </border>
    </dxf>
    <dxf>
      <font>
        <b/>
        <i val="0"/>
        <condense val="0"/>
        <extend val="0"/>
        <color indexed="9"/>
      </font>
      <fill>
        <patternFill>
          <bgColor indexed="10"/>
        </patternFill>
      </fill>
      <border>
        <left/>
        <right style="thin">
          <color theme="0"/>
        </right>
        <top/>
        <bottom/>
      </border>
    </dxf>
    <dxf>
      <font>
        <b/>
        <i val="0"/>
        <condense val="0"/>
        <extend val="0"/>
        <color indexed="9"/>
      </font>
      <fill>
        <patternFill>
          <bgColor indexed="10"/>
        </patternFill>
      </fill>
      <border>
        <left/>
        <right style="thin">
          <color theme="0"/>
        </right>
        <top/>
        <bottom/>
      </border>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ill>
        <patternFill>
          <bgColor theme="9" tint="0.79998168889431442"/>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dxf>
    <dxf>
      <fill>
        <patternFill>
          <bgColor theme="9" tint="0.79998168889431442"/>
        </patternFill>
      </fill>
      <border>
        <left style="thin">
          <color theme="0" tint="-0.499984740745262"/>
        </left>
        <right style="thin">
          <color theme="0" tint="-0.499984740745262"/>
        </right>
        <top style="thin">
          <color theme="0" tint="-0.499984740745262"/>
        </top>
        <bottom style="thin">
          <color theme="0" tint="-0.499984740745262"/>
        </bottom>
      </border>
    </dxf>
    <dxf>
      <font>
        <color rgb="FFFF0000"/>
      </font>
      <fill>
        <patternFill>
          <bgColor theme="9" tint="0.79998168889431442"/>
        </patternFill>
      </fill>
    </dxf>
    <dxf>
      <fill>
        <patternFill>
          <bgColor rgb="FFFF0000"/>
        </patternFill>
      </fill>
    </dxf>
    <dxf>
      <font>
        <color rgb="FFFF0000"/>
      </font>
      <fill>
        <patternFill>
          <bgColor theme="9" tint="0.79998168889431442"/>
        </patternFill>
      </fill>
      <border>
        <left/>
        <right/>
        <top style="thin">
          <color theme="9"/>
        </top>
        <bottom style="thin">
          <color theme="9"/>
        </bottom>
      </border>
    </dxf>
    <dxf>
      <font>
        <color rgb="FFFF0000"/>
      </font>
      <fill>
        <patternFill>
          <bgColor theme="9" tint="0.79998168889431442"/>
        </patternFill>
      </fill>
      <border>
        <left/>
        <right/>
        <top style="thin">
          <color theme="9"/>
        </top>
        <bottom style="thin">
          <color theme="9"/>
        </bottom>
      </border>
    </dxf>
    <dxf>
      <font>
        <color rgb="FFFF0000"/>
      </font>
      <fill>
        <patternFill>
          <bgColor theme="9" tint="0.79998168889431442"/>
        </patternFill>
      </fill>
    </dxf>
    <dxf>
      <font>
        <color rgb="FFFF0000"/>
      </font>
      <fill>
        <patternFill>
          <bgColor theme="9" tint="0.79998168889431442"/>
        </patternFill>
      </fill>
      <border>
        <left/>
        <right/>
        <top style="thin">
          <color theme="9"/>
        </top>
        <bottom style="thin">
          <color theme="9"/>
        </bottom>
      </border>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b/>
        <i val="0"/>
        <condense val="0"/>
        <extend val="0"/>
        <color indexed="53"/>
      </font>
    </dxf>
    <dxf>
      <font>
        <b/>
        <i val="0"/>
        <condense val="0"/>
        <extend val="0"/>
        <color indexed="53"/>
      </font>
    </dxf>
    <dxf>
      <font>
        <color theme="0"/>
      </font>
      <fill>
        <patternFill>
          <bgColor rgb="FFFF0000"/>
        </patternFill>
      </fill>
    </dxf>
    <dxf>
      <fill>
        <patternFill>
          <bgColor theme="9" tint="0.79998168889431442"/>
        </patternFill>
      </fill>
      <border>
        <top/>
      </border>
    </dxf>
    <dxf>
      <font>
        <b val="0"/>
        <i val="0"/>
        <strike val="0"/>
        <u val="none"/>
        <color rgb="FF0000FF"/>
      </font>
      <fill>
        <patternFill>
          <bgColor indexed="65"/>
        </patternFill>
      </fill>
    </dxf>
    <dxf>
      <font>
        <b val="0"/>
        <i val="0"/>
        <strike val="0"/>
        <u val="none"/>
        <color rgb="FFFF0000"/>
      </font>
      <fill>
        <patternFill>
          <bgColor theme="9" tint="0.79998168889431442"/>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theme="9" tint="0.79998168889431442"/>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theme="9" tint="0.79998168889431442"/>
        </patternFill>
      </fill>
    </dxf>
    <dxf>
      <font>
        <b val="0"/>
        <i val="0"/>
        <strike val="0"/>
        <u val="none"/>
        <color rgb="FF00FF00"/>
      </font>
      <fill>
        <patternFill>
          <bgColor indexed="65"/>
        </patternFill>
      </fill>
    </dxf>
    <dxf>
      <font>
        <color rgb="FFEBF9FF"/>
      </font>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b/>
        <i val="0"/>
        <color indexed="10"/>
      </font>
      <fill>
        <patternFill>
          <bgColor theme="9" tint="0.79998168889431442"/>
        </patternFill>
      </fill>
      <border>
        <left style="thin">
          <color theme="0" tint="-0.499984740745262"/>
        </left>
        <right style="thin">
          <color theme="0" tint="-0.499984740745262"/>
        </right>
        <top style="thin">
          <color theme="0" tint="-0.24994659260841701"/>
        </top>
        <bottom style="thin">
          <color theme="0" tint="-0.24994659260841701"/>
        </bottom>
      </border>
    </dxf>
    <dxf>
      <fill>
        <patternFill>
          <bgColor rgb="FFC0C0C0"/>
        </patternFill>
      </fill>
      <border>
        <left/>
        <vertical/>
        <horizontal/>
      </border>
    </dxf>
    <dxf>
      <font>
        <color rgb="FFC0C0C0"/>
      </font>
      <fill>
        <patternFill>
          <bgColor rgb="FFC0C0C0"/>
        </patternFill>
      </fill>
      <border>
        <vertical/>
        <horizontal/>
      </border>
    </dxf>
    <dxf>
      <fill>
        <patternFill>
          <bgColor rgb="FFC0C0C0"/>
        </patternFill>
      </fill>
      <border>
        <left/>
        <vertical/>
        <horizontal/>
      </border>
    </dxf>
    <dxf>
      <font>
        <color rgb="FFC0C0C0"/>
      </font>
      <fill>
        <patternFill>
          <bgColor rgb="FFC0C0C0"/>
        </patternFill>
      </fill>
    </dxf>
    <dxf>
      <font>
        <color rgb="FFC0C0C0"/>
      </font>
      <fill>
        <patternFill>
          <bgColor rgb="FFC0C0C0"/>
        </patternFill>
      </fill>
    </dxf>
    <dxf>
      <font>
        <color rgb="FFC0C0C0"/>
      </font>
      <fill>
        <patternFill>
          <bgColor rgb="FFC0C0C0"/>
        </patternFill>
      </fill>
    </dxf>
    <dxf>
      <font>
        <color rgb="FFC0C0C0"/>
      </font>
      <fill>
        <patternFill>
          <bgColor rgb="FFC0C0C0"/>
        </patternFill>
      </fill>
      <border>
        <right/>
      </border>
    </dxf>
    <dxf>
      <font>
        <b/>
        <i/>
        <condense val="0"/>
        <extend val="0"/>
        <color indexed="10"/>
      </font>
      <fill>
        <patternFill>
          <bgColor theme="9" tint="0.79998168889431442"/>
        </patternFill>
      </fill>
      <border>
        <left/>
        <right/>
        <top/>
        <bottom/>
      </border>
    </dxf>
    <dxf>
      <fill>
        <patternFill>
          <bgColor rgb="FFFF0000"/>
        </patternFill>
      </fill>
    </dxf>
    <dxf>
      <fill>
        <patternFill>
          <bgColor rgb="FFFF0000"/>
        </patternFill>
      </fill>
      <border>
        <left/>
        <right/>
        <top/>
        <bottom/>
      </border>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b/>
        <i val="0"/>
        <condense val="0"/>
        <extend val="0"/>
        <color indexed="9"/>
      </font>
      <fill>
        <patternFill>
          <bgColor indexed="10"/>
        </patternFill>
      </fill>
      <border>
        <left/>
        <right/>
        <top/>
        <bottom/>
      </border>
    </dxf>
    <dxf>
      <fill>
        <patternFill>
          <bgColor theme="0" tint="-4.9989318521683403E-2"/>
        </patternFill>
      </fill>
      <border>
        <left style="thin">
          <color theme="0" tint="-0.24994659260841701"/>
        </left>
        <right style="thin">
          <color theme="0" tint="-0.499984740745262"/>
        </right>
        <top style="thin">
          <color theme="0" tint="-0.499984740745262"/>
        </top>
        <bottom style="thin">
          <color theme="0" tint="-0.499984740745262"/>
        </bottom>
        <vertical/>
        <horizontal/>
      </border>
    </dxf>
    <dxf>
      <font>
        <color theme="0"/>
      </font>
    </dxf>
    <dxf>
      <font>
        <color theme="0"/>
      </font>
    </dxf>
    <dxf>
      <font>
        <color theme="0"/>
      </font>
    </dxf>
    <dxf>
      <font>
        <color rgb="FFC0C0C0"/>
      </font>
      <fill>
        <patternFill>
          <bgColor rgb="FFC0C0C0"/>
        </patternFill>
      </fill>
      <border>
        <right/>
      </border>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b/>
        <i/>
        <condense val="0"/>
        <extend val="0"/>
        <color indexed="10"/>
      </font>
      <fill>
        <patternFill>
          <bgColor theme="9" tint="0.79998168889431442"/>
        </patternFill>
      </fill>
      <border>
        <left/>
        <right/>
        <top/>
        <bottom/>
      </border>
    </dxf>
    <dxf>
      <font>
        <color rgb="FFDAEEF3"/>
      </font>
    </dxf>
    <dxf>
      <font>
        <color rgb="FFDAEEF3"/>
      </font>
    </dxf>
    <dxf>
      <font>
        <color theme="0"/>
      </font>
    </dxf>
    <dxf>
      <font>
        <color theme="0"/>
      </font>
    </dxf>
    <dxf>
      <font>
        <color theme="0"/>
      </font>
    </dxf>
    <dxf>
      <font>
        <b val="0"/>
        <i val="0"/>
        <strike val="0"/>
        <u val="none"/>
        <color rgb="FF0000FF"/>
      </font>
      <fill>
        <patternFill>
          <bgColor indexed="65"/>
        </patternFill>
      </fill>
    </dxf>
    <dxf>
      <font>
        <b val="0"/>
        <i val="0"/>
        <strike val="0"/>
        <u val="none"/>
        <color rgb="FFFF0000"/>
      </font>
      <fill>
        <patternFill>
          <bgColor indexed="65"/>
        </patternFill>
      </fill>
    </dxf>
    <dxf>
      <font>
        <b val="0"/>
        <i val="0"/>
        <strike val="0"/>
        <u val="none"/>
        <color rgb="FF00FF00"/>
      </font>
      <fill>
        <patternFill>
          <bgColor indexed="65"/>
        </patternFill>
      </fill>
    </dxf>
    <dxf>
      <font>
        <color indexed="60"/>
      </font>
      <fill>
        <patternFill patternType="none">
          <bgColor indexed="65"/>
        </patternFill>
      </fill>
    </dxf>
    <dxf>
      <font>
        <color rgb="FFFF0000"/>
      </font>
      <fill>
        <patternFill>
          <bgColor theme="6" tint="0.79998168889431442"/>
        </patternFill>
      </fill>
    </dxf>
    <dxf>
      <font>
        <b/>
        <i val="0"/>
        <condense val="0"/>
        <extend val="0"/>
        <color indexed="9"/>
      </font>
      <fill>
        <patternFill>
          <bgColor theme="5"/>
        </patternFill>
      </fill>
      <border>
        <left style="thin">
          <color theme="0"/>
        </left>
        <right style="thin">
          <color theme="0" tint="-0.499984740745262"/>
        </right>
        <top style="thin">
          <color theme="0" tint="-0.499984740745262"/>
        </top>
        <bottom style="thin">
          <color theme="0" tint="-0.499984740745262"/>
        </bottom>
      </border>
    </dxf>
    <dxf>
      <font>
        <b/>
        <i val="0"/>
        <condense val="0"/>
        <extend val="0"/>
        <color indexed="9"/>
      </font>
      <fill>
        <patternFill>
          <bgColor theme="5"/>
        </patternFill>
      </fill>
      <border>
        <left style="thin">
          <color theme="0" tint="-0.499984740745262"/>
        </left>
        <right style="thin">
          <color theme="0"/>
        </right>
        <top style="thin">
          <color theme="0" tint="-0.499984740745262"/>
        </top>
        <bottom style="thin">
          <color theme="0" tint="-0.499984740745262"/>
        </bottom>
      </border>
    </dxf>
    <dxf>
      <font>
        <color theme="8" tint="0.59996337778862885"/>
      </font>
    </dxf>
    <dxf>
      <font>
        <b/>
        <i val="0"/>
        <condense val="0"/>
        <extend val="0"/>
        <color indexed="53"/>
      </font>
    </dxf>
    <dxf>
      <font>
        <b/>
        <i val="0"/>
        <condense val="0"/>
        <extend val="0"/>
        <color indexed="9"/>
      </font>
      <fill>
        <patternFill>
          <bgColor theme="5"/>
        </patternFill>
      </fill>
      <border>
        <left style="thin">
          <color theme="0"/>
        </left>
        <right style="thin">
          <color indexed="64"/>
        </right>
        <top style="thin">
          <color indexed="64"/>
        </top>
        <bottom style="thin">
          <color indexed="64"/>
        </bottom>
      </border>
    </dxf>
    <dxf>
      <font>
        <color rgb="FF666699"/>
      </font>
    </dxf>
    <dxf>
      <font>
        <color theme="0"/>
      </font>
      <fill>
        <patternFill>
          <bgColor theme="5"/>
        </patternFill>
      </fill>
      <border>
        <left style="thin">
          <color theme="0"/>
        </left>
        <right style="thin">
          <color theme="0" tint="-0.499984740745262"/>
        </right>
        <top style="thin">
          <color theme="0" tint="-0.499984740745262"/>
        </top>
        <bottom style="thin">
          <color theme="0" tint="-0.499984740745262"/>
        </bottom>
      </border>
    </dxf>
    <dxf>
      <font>
        <b/>
        <i val="0"/>
        <condense val="0"/>
        <extend val="0"/>
        <color indexed="9"/>
      </font>
      <fill>
        <patternFill>
          <bgColor theme="5"/>
        </patternFill>
      </fill>
      <border>
        <left style="thin">
          <color theme="0" tint="-0.499984740745262"/>
        </left>
        <right style="thin">
          <color theme="0"/>
        </right>
        <top style="thin">
          <color theme="0" tint="-0.499984740745262"/>
        </top>
        <bottom style="thin">
          <color theme="0" tint="-0.499984740745262"/>
        </bottom>
      </border>
    </dxf>
    <dxf>
      <font>
        <b/>
        <i val="0"/>
        <condense val="0"/>
        <extend val="0"/>
        <color indexed="9"/>
      </font>
      <fill>
        <patternFill>
          <bgColor indexed="10"/>
        </patternFill>
      </fill>
      <border>
        <left/>
        <right/>
        <top/>
        <bottom/>
      </border>
    </dxf>
    <dxf>
      <font>
        <color theme="8" tint="0.59996337778862885"/>
      </font>
    </dxf>
    <dxf>
      <fill>
        <patternFill>
          <bgColor theme="5"/>
        </patternFill>
      </fill>
    </dxf>
    <dxf>
      <fill>
        <patternFill>
          <bgColor theme="5"/>
        </patternFill>
      </fill>
    </dxf>
    <dxf>
      <fill>
        <patternFill>
          <bgColor rgb="FFFFCC00"/>
        </patternFill>
      </fill>
    </dxf>
    <dxf>
      <font>
        <color rgb="FFEBF9FF"/>
      </font>
    </dxf>
    <dxf>
      <font>
        <b/>
        <i val="0"/>
        <condense val="0"/>
        <extend val="0"/>
        <color indexed="53"/>
      </font>
    </dxf>
    <dxf>
      <font>
        <color rgb="FF0066CC"/>
      </font>
      <border>
        <left style="thin">
          <color theme="0" tint="-0.34998626667073579"/>
        </left>
        <right style="thin">
          <color theme="0" tint="-0.34998626667073579"/>
        </right>
        <top style="thin">
          <color theme="0" tint="-0.499984740745262"/>
        </top>
        <bottom style="thin">
          <color theme="0" tint="-0.499984740745262"/>
        </bottom>
      </border>
    </dxf>
    <dxf>
      <font>
        <color rgb="FFDAEEF3"/>
      </font>
    </dxf>
    <dxf>
      <font>
        <color theme="0"/>
        <name val="Cambria"/>
        <scheme val="none"/>
      </font>
    </dxf>
    <dxf>
      <font>
        <color rgb="FFFFCC00"/>
      </font>
    </dxf>
    <dxf>
      <font>
        <color theme="0"/>
      </font>
      <fill>
        <patternFill patternType="none">
          <bgColor indexed="65"/>
        </patternFill>
      </fill>
    </dxf>
    <dxf>
      <font>
        <color indexed="60"/>
      </font>
      <fill>
        <patternFill patternType="none">
          <bgColor indexed="65"/>
        </patternFill>
      </fill>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val="0"/>
        <condense val="0"/>
        <extend val="0"/>
        <color indexed="10"/>
      </font>
      <fill>
        <patternFill>
          <bgColor indexed="42"/>
        </patternFill>
      </fill>
    </dxf>
    <dxf>
      <font>
        <condense val="0"/>
        <extend val="0"/>
        <color indexed="9"/>
      </font>
    </dxf>
    <dxf>
      <font>
        <b/>
        <i val="0"/>
        <condense val="0"/>
        <extend val="0"/>
        <color indexed="53"/>
      </font>
    </dxf>
    <dxf>
      <font>
        <b/>
        <i/>
        <condense val="0"/>
        <extend val="0"/>
        <color indexed="60"/>
      </font>
    </dxf>
    <dxf>
      <font>
        <b/>
        <i/>
        <condense val="0"/>
        <extend val="0"/>
        <color indexed="12"/>
      </font>
      <fill>
        <patternFill patternType="none">
          <bgColor indexed="65"/>
        </patternFill>
      </fill>
      <border>
        <left/>
        <right/>
        <top/>
        <bottom/>
      </border>
    </dxf>
    <dxf>
      <font>
        <b/>
        <i/>
        <condense val="0"/>
        <extend val="0"/>
        <color indexed="60"/>
      </font>
    </dxf>
    <dxf>
      <font>
        <b/>
        <i/>
        <condense val="0"/>
        <extend val="0"/>
        <color indexed="12"/>
      </font>
      <fill>
        <patternFill patternType="none">
          <bgColor indexed="65"/>
        </patternFill>
      </fill>
      <border>
        <left/>
        <right/>
        <top/>
        <bottom/>
      </border>
    </dxf>
    <dxf>
      <font>
        <b/>
        <i val="0"/>
        <condense val="0"/>
        <extend val="0"/>
        <color indexed="53"/>
      </font>
    </dxf>
    <dxf>
      <font>
        <b/>
        <i val="0"/>
        <condense val="0"/>
        <extend val="0"/>
        <color indexed="10"/>
      </font>
    </dxf>
    <dxf>
      <fill>
        <patternFill>
          <bgColor rgb="FF00FFCC"/>
        </patternFill>
      </fill>
    </dxf>
    <dxf>
      <fill>
        <patternFill>
          <bgColor rgb="FF00FFCC"/>
        </patternFill>
      </fill>
    </dxf>
    <dxf>
      <font>
        <color rgb="FF002060"/>
      </font>
      <fill>
        <patternFill>
          <bgColor theme="6" tint="0.59996337778862885"/>
        </patternFill>
      </fill>
    </dxf>
    <dxf>
      <font>
        <color theme="6" tint="0.59996337778862885"/>
      </font>
    </dxf>
    <dxf>
      <font>
        <color rgb="FF002060"/>
      </font>
      <fill>
        <patternFill>
          <bgColor theme="6" tint="0.59996337778862885"/>
        </patternFill>
      </fill>
    </dxf>
    <dxf>
      <font>
        <color theme="6" tint="0.59996337778862885"/>
      </font>
    </dxf>
    <dxf>
      <font>
        <color rgb="FF002060"/>
      </font>
      <fill>
        <patternFill>
          <bgColor theme="6" tint="0.59996337778862885"/>
        </patternFill>
      </fill>
    </dxf>
    <dxf>
      <font>
        <color theme="0"/>
        <name val="Cambria"/>
        <scheme val="none"/>
      </font>
    </dxf>
    <dxf>
      <font>
        <color theme="0" tint="-0.499984740745262"/>
      </font>
    </dxf>
    <dxf>
      <font>
        <color theme="0" tint="-4.9989318521683403E-2"/>
      </font>
    </dxf>
    <dxf>
      <font>
        <condense val="0"/>
        <extend val="0"/>
        <color indexed="12"/>
      </font>
    </dxf>
    <dxf>
      <font>
        <color rgb="FF0066CC"/>
      </font>
    </dxf>
    <dxf>
      <font>
        <color rgb="FF990000"/>
      </font>
    </dxf>
    <dxf>
      <font>
        <color theme="0" tint="-4.9989318521683403E-2"/>
      </font>
    </dxf>
    <dxf>
      <font>
        <color theme="0" tint="-4.9989318521683403E-2"/>
        <name val="Cambria"/>
        <scheme val="none"/>
      </font>
    </dxf>
    <dxf>
      <font>
        <color theme="0" tint="-4.9989318521683403E-2"/>
      </font>
    </dxf>
    <dxf>
      <font>
        <color theme="0" tint="-4.9989318521683403E-2"/>
      </font>
    </dxf>
    <dxf>
      <font>
        <color theme="0" tint="-4.9989318521683403E-2"/>
      </font>
    </dxf>
    <dxf>
      <fill>
        <patternFill>
          <bgColor rgb="FFFFFF00"/>
        </patternFill>
      </fill>
    </dxf>
    <dxf>
      <font>
        <color theme="0"/>
      </font>
      <fill>
        <patternFill>
          <bgColor rgb="FFFF0000"/>
        </patternFill>
      </fill>
      <border>
        <left/>
        <right/>
        <top/>
        <bottom/>
      </border>
    </dxf>
    <dxf>
      <fill>
        <patternFill>
          <bgColor rgb="FFFFFF00"/>
        </patternFill>
      </fill>
    </dxf>
    <dxf>
      <font>
        <color rgb="FFFF0000"/>
      </font>
    </dxf>
    <dxf>
      <font>
        <color theme="0" tint="-4.9989318521683403E-2"/>
      </font>
    </dxf>
    <dxf>
      <font>
        <color theme="0" tint="-4.9989318521683403E-2"/>
        <name val="Cambria"/>
        <scheme val="none"/>
      </font>
    </dxf>
    <dxf>
      <font>
        <b/>
        <i val="0"/>
        <condense val="0"/>
        <extend val="0"/>
        <color indexed="9"/>
      </font>
      <fill>
        <patternFill>
          <bgColor theme="5"/>
        </patternFill>
      </fill>
    </dxf>
    <dxf>
      <font>
        <color theme="0"/>
        <name val="Cambria"/>
        <scheme val="none"/>
      </font>
    </dxf>
    <dxf>
      <font>
        <color rgb="FF666699"/>
      </font>
    </dxf>
    <dxf>
      <font>
        <color rgb="FF666699"/>
      </font>
    </dxf>
    <dxf>
      <font>
        <condense val="0"/>
        <extend val="0"/>
        <color indexed="32"/>
      </font>
      <fill>
        <patternFill>
          <bgColor theme="6" tint="0.59996337778862885"/>
        </patternFill>
      </fill>
    </dxf>
    <dxf>
      <font>
        <b/>
        <i val="0"/>
        <condense val="0"/>
        <extend val="0"/>
        <color indexed="9"/>
      </font>
      <fill>
        <patternFill>
          <bgColor rgb="FFFF0000"/>
        </patternFill>
      </fill>
    </dxf>
    <dxf>
      <fill>
        <patternFill>
          <bgColor rgb="FFFFFFCC"/>
        </patternFill>
      </fill>
    </dxf>
    <dxf>
      <fill>
        <patternFill>
          <bgColor rgb="FFFFFFCC"/>
        </patternFill>
      </fill>
    </dxf>
    <dxf>
      <fill>
        <patternFill>
          <bgColor rgb="FFDAEEF3"/>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4.9989318521683403E-2"/>
        </patternFill>
      </fill>
    </dxf>
    <dxf>
      <fill>
        <patternFill>
          <bgColor indexed="9"/>
        </patternFill>
      </fill>
    </dxf>
    <dxf>
      <fill>
        <patternFill>
          <bgColor theme="9" tint="0.79998168889431442"/>
        </patternFill>
      </fill>
    </dxf>
    <dxf>
      <fill>
        <patternFill>
          <bgColor theme="9" tint="0.79998168889431442"/>
        </patternFill>
      </fill>
    </dxf>
    <dxf>
      <fill>
        <patternFill patternType="none">
          <bgColor indexed="65"/>
        </patternFill>
      </fill>
    </dxf>
    <dxf>
      <fill>
        <patternFill>
          <bgColor theme="8" tint="-0.24994659260841701"/>
        </patternFill>
      </fill>
    </dxf>
    <dxf>
      <font>
        <color rgb="FF333399"/>
      </font>
      <fill>
        <patternFill>
          <bgColor theme="6" tint="0.79998168889431442"/>
        </patternFill>
      </fill>
    </dxf>
    <dxf>
      <font>
        <color rgb="FFFF0000"/>
      </font>
      <fill>
        <patternFill patternType="none">
          <bgColor auto="1"/>
        </patternFill>
      </fill>
    </dxf>
    <dxf>
      <numFmt numFmtId="238" formatCode="0&quot; fois l'EBE&quot;"/>
    </dxf>
    <dxf>
      <numFmt numFmtId="239" formatCode="0&quot; fois le REX&quot;"/>
    </dxf>
    <dxf>
      <numFmt numFmtId="14" formatCode="0.00%"/>
    </dxf>
    <dxf>
      <numFmt numFmtId="14" formatCode="0.00%"/>
    </dxf>
    <dxf>
      <numFmt numFmtId="14" formatCode="0.00%"/>
    </dxf>
    <dxf>
      <numFmt numFmtId="14" formatCode="0.00%"/>
    </dxf>
    <dxf>
      <font>
        <color theme="0"/>
      </font>
    </dxf>
    <dxf>
      <font>
        <b/>
        <i val="0"/>
        <color theme="0"/>
        <name val="Cambria"/>
        <scheme val="none"/>
      </font>
      <fill>
        <patternFill>
          <bgColor rgb="FFFF0000"/>
        </patternFill>
      </fill>
    </dxf>
    <dxf>
      <font>
        <color rgb="FFC00000"/>
      </font>
      <fill>
        <patternFill>
          <bgColor theme="9" tint="0.79998168889431442"/>
        </patternFill>
      </fill>
    </dxf>
    <dxf>
      <font>
        <color rgb="FFC00000"/>
      </font>
      <fill>
        <patternFill>
          <bgColor theme="9" tint="0.79998168889431442"/>
        </patternFill>
      </fill>
    </dxf>
    <dxf>
      <fill>
        <patternFill>
          <bgColor theme="0" tint="-4.9989318521683403E-2"/>
        </patternFill>
      </fill>
    </dxf>
    <dxf>
      <font>
        <condense val="0"/>
        <extend val="0"/>
        <color indexed="10"/>
      </font>
      <fill>
        <patternFill patternType="solid">
          <bgColor theme="9" tint="0.79998168889431442"/>
        </patternFill>
      </fill>
    </dxf>
    <dxf>
      <font>
        <b/>
        <i val="0"/>
        <color theme="0"/>
        <name val="Cambria"/>
        <scheme val="none"/>
      </font>
      <fill>
        <patternFill>
          <bgColor rgb="FFFF0000"/>
        </patternFill>
      </fill>
    </dxf>
    <dxf>
      <font>
        <condense val="0"/>
        <extend val="0"/>
        <color indexed="9"/>
      </font>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FF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FF0000"/>
      </font>
      <fill>
        <patternFill>
          <bgColor theme="9" tint="0.79998168889431442"/>
        </patternFill>
      </fill>
    </dxf>
    <dxf>
      <fill>
        <patternFill>
          <bgColor rgb="FFFFFFCC"/>
        </patternFill>
      </fill>
    </dxf>
    <dxf>
      <font>
        <color rgb="FFFF0000"/>
      </font>
      <fill>
        <patternFill>
          <bgColor theme="9" tint="0.79998168889431442"/>
        </patternFill>
      </fill>
    </dxf>
    <dxf>
      <font>
        <color rgb="FFFF0000"/>
      </font>
      <fill>
        <patternFill>
          <bgColor theme="9" tint="0.79998168889431442"/>
        </patternFill>
      </fill>
    </dxf>
    <dxf>
      <fill>
        <patternFill>
          <bgColor rgb="FFFFFFCC"/>
        </patternFill>
      </fill>
    </dxf>
    <dxf>
      <font>
        <b/>
        <i val="0"/>
        <color rgb="FFC00000"/>
      </font>
      <fill>
        <patternFill>
          <bgColor theme="9" tint="0.79998168889431442"/>
        </patternFill>
      </fill>
    </dxf>
    <dxf>
      <font>
        <condense val="0"/>
        <extend val="0"/>
        <color indexed="9"/>
      </font>
      <border>
        <right/>
        <top/>
        <bottom/>
      </border>
    </dxf>
  </dxfs>
  <tableStyles count="0" defaultTableStyle="TableStyleMedium9" defaultPivotStyle="PivotStyleLight16"/>
  <colors>
    <mruColors>
      <color rgb="FF000099"/>
      <color rgb="FFEBF9FF"/>
      <color rgb="FF0000CC"/>
      <color rgb="FFDAEEF3"/>
      <color rgb="FFFFFFCC"/>
      <color rgb="FFD9D9D9"/>
      <color rgb="FF0000FF"/>
      <color rgb="FF0066CC"/>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chemeClr val="bg1"/>
                </a:solidFill>
                <a:latin typeface="Calibri"/>
                <a:ea typeface="Calibri"/>
                <a:cs typeface="Calibri"/>
              </a:defRPr>
            </a:pPr>
            <a:r>
              <a:rPr lang="fr-FR">
                <a:solidFill>
                  <a:schemeClr val="bg1"/>
                </a:solidFill>
              </a:rPr>
              <a:t>Investissements 1ère année - K€</a:t>
            </a:r>
          </a:p>
        </c:rich>
      </c:tx>
      <c:overlay val="0"/>
    </c:title>
    <c:autoTitleDeleted val="0"/>
    <c:view3D>
      <c:rotX val="15"/>
      <c:rotY val="20"/>
      <c:depthPercent val="100"/>
      <c:rAngAx val="1"/>
    </c:view3D>
    <c:floor>
      <c:thickness val="0"/>
      <c:spPr>
        <a:solidFill>
          <a:srgbClr val="0066CC"/>
        </a:solidFill>
      </c:spPr>
    </c:floor>
    <c:sideWall>
      <c:thickness val="0"/>
      <c:spPr>
        <a:solidFill>
          <a:schemeClr val="bg1">
            <a:lumMod val="75000"/>
          </a:schemeClr>
        </a:solidFill>
      </c:spPr>
    </c:sideWall>
    <c:backWall>
      <c:thickness val="0"/>
      <c:spPr>
        <a:solidFill>
          <a:schemeClr val="bg1">
            <a:lumMod val="75000"/>
          </a:schemeClr>
        </a:solidFill>
      </c:spPr>
    </c:backWall>
    <c:plotArea>
      <c:layout/>
      <c:bar3DChart>
        <c:barDir val="bar"/>
        <c:grouping val="clustered"/>
        <c:varyColors val="0"/>
        <c:ser>
          <c:idx val="0"/>
          <c:order val="0"/>
          <c:invertIfNegative val="0"/>
          <c:dPt>
            <c:idx val="0"/>
            <c:invertIfNegative val="0"/>
            <c:bubble3D val="0"/>
            <c:spPr>
              <a:solidFill>
                <a:srgbClr val="0099CC"/>
              </a:solidFill>
            </c:spPr>
            <c:extLst>
              <c:ext xmlns:c16="http://schemas.microsoft.com/office/drawing/2014/chart" uri="{C3380CC4-5D6E-409C-BE32-E72D297353CC}">
                <c16:uniqueId val="{00000001-DB7A-4B59-80E0-24084033B38C}"/>
              </c:ext>
            </c:extLst>
          </c:dPt>
          <c:dPt>
            <c:idx val="1"/>
            <c:invertIfNegative val="0"/>
            <c:bubble3D val="0"/>
            <c:spPr>
              <a:solidFill>
                <a:srgbClr val="31859C"/>
              </a:solidFill>
            </c:spPr>
            <c:extLst>
              <c:ext xmlns:c16="http://schemas.microsoft.com/office/drawing/2014/chart" uri="{C3380CC4-5D6E-409C-BE32-E72D297353CC}">
                <c16:uniqueId val="{00000003-DB7A-4B59-80E0-24084033B38C}"/>
              </c:ext>
            </c:extLst>
          </c:dPt>
          <c:dPt>
            <c:idx val="2"/>
            <c:invertIfNegative val="0"/>
            <c:bubble3D val="0"/>
            <c:spPr>
              <a:solidFill>
                <a:srgbClr val="FFC000"/>
              </a:solidFill>
            </c:spPr>
            <c:extLst>
              <c:ext xmlns:c16="http://schemas.microsoft.com/office/drawing/2014/chart" uri="{C3380CC4-5D6E-409C-BE32-E72D297353CC}">
                <c16:uniqueId val="{00000005-DB7A-4B59-80E0-24084033B38C}"/>
              </c:ext>
            </c:extLst>
          </c:dPt>
          <c:dPt>
            <c:idx val="3"/>
            <c:invertIfNegative val="0"/>
            <c:bubble3D val="0"/>
            <c:spPr>
              <a:solidFill>
                <a:schemeClr val="accent4"/>
              </a:solidFill>
            </c:spPr>
            <c:extLst>
              <c:ext xmlns:c16="http://schemas.microsoft.com/office/drawing/2014/chart" uri="{C3380CC4-5D6E-409C-BE32-E72D297353CC}">
                <c16:uniqueId val="{00000007-DB7A-4B59-80E0-24084033B38C}"/>
              </c:ext>
            </c:extLst>
          </c:dPt>
          <c:cat>
            <c:strRef>
              <c:f>Investissements!$B$68:$E$68</c:f>
              <c:strCache>
                <c:ptCount val="4"/>
                <c:pt idx="0">
                  <c:v>Financier</c:v>
                </c:pt>
                <c:pt idx="1">
                  <c:v>Immatériel</c:v>
                </c:pt>
                <c:pt idx="2">
                  <c:v>Matériel-mobilier</c:v>
                </c:pt>
                <c:pt idx="3">
                  <c:v>Immobilier</c:v>
                </c:pt>
              </c:strCache>
            </c:strRef>
          </c:cat>
          <c:val>
            <c:numRef>
              <c:f>Investissements!$B$69:$E$69</c:f>
              <c:numCache>
                <c:formatCode>#\ ##0" "</c:formatCode>
                <c:ptCount val="4"/>
                <c:pt idx="0">
                  <c:v>0</c:v>
                </c:pt>
                <c:pt idx="1">
                  <c:v>0</c:v>
                </c:pt>
                <c:pt idx="2">
                  <c:v>0</c:v>
                </c:pt>
                <c:pt idx="3">
                  <c:v>0</c:v>
                </c:pt>
              </c:numCache>
            </c:numRef>
          </c:val>
          <c:extLst>
            <c:ext xmlns:c16="http://schemas.microsoft.com/office/drawing/2014/chart" uri="{C3380CC4-5D6E-409C-BE32-E72D297353CC}">
              <c16:uniqueId val="{00000008-DB7A-4B59-80E0-24084033B38C}"/>
            </c:ext>
          </c:extLst>
        </c:ser>
        <c:dLbls>
          <c:showLegendKey val="0"/>
          <c:showVal val="0"/>
          <c:showCatName val="0"/>
          <c:showSerName val="0"/>
          <c:showPercent val="0"/>
          <c:showBubbleSize val="0"/>
        </c:dLbls>
        <c:gapWidth val="259"/>
        <c:gapDepth val="159"/>
        <c:shape val="box"/>
        <c:axId val="174030304"/>
        <c:axId val="174030696"/>
        <c:axId val="0"/>
      </c:bar3DChart>
      <c:catAx>
        <c:axId val="174030304"/>
        <c:scaling>
          <c:orientation val="minMax"/>
        </c:scaling>
        <c:delete val="0"/>
        <c:axPos val="l"/>
        <c:numFmt formatCode="General" sourceLinked="1"/>
        <c:majorTickMark val="out"/>
        <c:minorTickMark val="none"/>
        <c:tickLblPos val="nextTo"/>
        <c:txPr>
          <a:bodyPr rot="0" vert="horz"/>
          <a:lstStyle/>
          <a:p>
            <a:pPr>
              <a:defRPr sz="900" b="1" i="0" u="none" strike="noStrike" baseline="0">
                <a:solidFill>
                  <a:schemeClr val="bg1"/>
                </a:solidFill>
                <a:latin typeface="Calibri"/>
                <a:ea typeface="Calibri"/>
                <a:cs typeface="Calibri"/>
              </a:defRPr>
            </a:pPr>
            <a:endParaRPr lang="fr-FR"/>
          </a:p>
        </c:txPr>
        <c:crossAx val="174030696"/>
        <c:crosses val="autoZero"/>
        <c:auto val="1"/>
        <c:lblAlgn val="ctr"/>
        <c:lblOffset val="100"/>
        <c:noMultiLvlLbl val="0"/>
      </c:catAx>
      <c:valAx>
        <c:axId val="174030696"/>
        <c:scaling>
          <c:orientation val="minMax"/>
        </c:scaling>
        <c:delete val="0"/>
        <c:axPos val="b"/>
        <c:majorGridlines>
          <c:spPr>
            <a:ln>
              <a:solidFill>
                <a:schemeClr val="bg1"/>
              </a:solidFill>
            </a:ln>
          </c:spPr>
        </c:majorGridlines>
        <c:numFmt formatCode="#\ ##0&quot; K€&quot;" sourceLinked="0"/>
        <c:majorTickMark val="out"/>
        <c:minorTickMark val="none"/>
        <c:tickLblPos val="nextTo"/>
        <c:txPr>
          <a:bodyPr rot="0" vert="horz"/>
          <a:lstStyle/>
          <a:p>
            <a:pPr>
              <a:defRPr sz="900" b="1" i="0" u="none" strike="noStrike" baseline="0">
                <a:solidFill>
                  <a:schemeClr val="bg1"/>
                </a:solidFill>
                <a:latin typeface="Calibri"/>
                <a:ea typeface="Calibri"/>
                <a:cs typeface="Calibri"/>
              </a:defRPr>
            </a:pPr>
            <a:endParaRPr lang="fr-FR"/>
          </a:p>
        </c:txPr>
        <c:crossAx val="174030304"/>
        <c:crosses val="autoZero"/>
        <c:crossBetween val="between"/>
      </c:valAx>
      <c:spPr>
        <a:noFill/>
        <a:ln w="25400">
          <a:noFill/>
        </a:ln>
      </c:spPr>
    </c:plotArea>
    <c:plotVisOnly val="1"/>
    <c:dispBlanksAs val="gap"/>
    <c:showDLblsOverMax val="0"/>
  </c:chart>
  <c:spPr>
    <a:solidFill>
      <a:schemeClr val="bg1">
        <a:lumMod val="65000"/>
      </a:schemeClr>
    </a:solidFill>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Taux de couverture du BFR par le FR</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1-0DF9-47B1-A804-35A51397D62E}"/>
              </c:ext>
            </c:extLst>
          </c:dPt>
          <c:dPt>
            <c:idx val="1"/>
            <c:bubble3D val="0"/>
            <c:spPr>
              <a:ln w="44450" cap="rnd">
                <a:solidFill>
                  <a:srgbClr val="0000CC"/>
                </a:solidFill>
                <a:round/>
              </a:ln>
              <a:effectLst/>
            </c:spPr>
            <c:extLst>
              <c:ext xmlns:c16="http://schemas.microsoft.com/office/drawing/2014/chart" uri="{C3380CC4-5D6E-409C-BE32-E72D297353CC}">
                <c16:uniqueId val="{00000003-0DF9-47B1-A804-35A51397D62E}"/>
              </c:ext>
            </c:extLst>
          </c:dPt>
          <c:dPt>
            <c:idx val="2"/>
            <c:bubble3D val="0"/>
            <c:spPr>
              <a:ln w="44450" cap="rnd">
                <a:solidFill>
                  <a:srgbClr val="0000CC"/>
                </a:solidFill>
                <a:round/>
              </a:ln>
              <a:effectLst/>
            </c:spPr>
            <c:extLst>
              <c:ext xmlns:c16="http://schemas.microsoft.com/office/drawing/2014/chart" uri="{C3380CC4-5D6E-409C-BE32-E72D297353CC}">
                <c16:uniqueId val="{00000005-0DF9-47B1-A804-35A51397D62E}"/>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7-0DF9-47B1-A804-35A51397D62E}"/>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9-0DF9-47B1-A804-35A51397D62E}"/>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B-0DF9-47B1-A804-35A51397D62E}"/>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F9-47B1-A804-35A51397D62E}"/>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0DF9-47B1-A804-35A51397D62E}"/>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0DF9-47B1-A804-35A51397D62E}"/>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0DF9-47B1-A804-35A51397D62E}"/>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9-0DF9-47B1-A804-35A51397D62E}"/>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B-0DF9-47B1-A804-35A51397D62E}"/>
                </c:ext>
              </c:extLst>
            </c:dLbl>
            <c:numFmt formatCode="0%" sourceLinked="0"/>
            <c:spPr>
              <a:no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structure financière'!$G$47,'Synthèse structure financière'!$I$47,'Synthèse structure financière'!$K$47,'Synthèse structure financière'!$M$47,'Synthèse structure financière'!$O$47,'Synthèse structure financière'!$Q$47)</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0DF9-47B1-A804-35A51397D62E}"/>
            </c:ext>
          </c:extLst>
        </c:ser>
        <c:ser>
          <c:idx val="1"/>
          <c:order val="1"/>
          <c:tx>
            <c:v>Mini</c:v>
          </c:tx>
          <c:spPr>
            <a:ln w="28575" cap="rnd">
              <a:solidFill>
                <a:schemeClr val="accent2"/>
              </a:solidFill>
              <a:round/>
            </a:ln>
            <a:effectLst/>
          </c:spPr>
          <c:marker>
            <c:symbol val="none"/>
          </c:marker>
          <c:dLbls>
            <c:dLbl>
              <c:idx val="0"/>
              <c:layout>
                <c:manualLayout>
                  <c:x val="-0.11929116625431375"/>
                  <c:y val="0"/>
                </c:manualLayout>
              </c:layout>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0DF9-47B1-A804-35A51397D62E}"/>
                </c:ext>
              </c:extLst>
            </c:dLbl>
            <c:dLbl>
              <c:idx val="1"/>
              <c:delete val="1"/>
              <c:extLst>
                <c:ext xmlns:c15="http://schemas.microsoft.com/office/drawing/2012/chart" uri="{CE6537A1-D6FC-4f65-9D91-7224C49458BB}"/>
                <c:ext xmlns:c16="http://schemas.microsoft.com/office/drawing/2014/chart" uri="{C3380CC4-5D6E-409C-BE32-E72D297353CC}">
                  <c16:uniqueId val="{0000000E-0DF9-47B1-A804-35A51397D62E}"/>
                </c:ext>
              </c:extLst>
            </c:dLbl>
            <c:dLbl>
              <c:idx val="2"/>
              <c:delete val="1"/>
              <c:extLst>
                <c:ext xmlns:c15="http://schemas.microsoft.com/office/drawing/2012/chart" uri="{CE6537A1-D6FC-4f65-9D91-7224C49458BB}"/>
                <c:ext xmlns:c16="http://schemas.microsoft.com/office/drawing/2014/chart" uri="{C3380CC4-5D6E-409C-BE32-E72D297353CC}">
                  <c16:uniqueId val="{0000000F-0DF9-47B1-A804-35A51397D62E}"/>
                </c:ext>
              </c:extLst>
            </c:dLbl>
            <c:dLbl>
              <c:idx val="3"/>
              <c:delete val="1"/>
              <c:extLst>
                <c:ext xmlns:c15="http://schemas.microsoft.com/office/drawing/2012/chart" uri="{CE6537A1-D6FC-4f65-9D91-7224C49458BB}"/>
                <c:ext xmlns:c16="http://schemas.microsoft.com/office/drawing/2014/chart" uri="{C3380CC4-5D6E-409C-BE32-E72D297353CC}">
                  <c16:uniqueId val="{00000010-0DF9-47B1-A804-35A51397D62E}"/>
                </c:ext>
              </c:extLst>
            </c:dLbl>
            <c:dLbl>
              <c:idx val="4"/>
              <c:delete val="1"/>
              <c:extLst>
                <c:ext xmlns:c15="http://schemas.microsoft.com/office/drawing/2012/chart" uri="{CE6537A1-D6FC-4f65-9D91-7224C49458BB}"/>
                <c:ext xmlns:c16="http://schemas.microsoft.com/office/drawing/2014/chart" uri="{C3380CC4-5D6E-409C-BE32-E72D297353CC}">
                  <c16:uniqueId val="{00000011-0DF9-47B1-A804-35A51397D62E}"/>
                </c:ext>
              </c:extLst>
            </c:dLbl>
            <c:dLbl>
              <c:idx val="5"/>
              <c:delete val="1"/>
              <c:extLst>
                <c:ext xmlns:c15="http://schemas.microsoft.com/office/drawing/2012/chart" uri="{CE6537A1-D6FC-4f65-9D91-7224C49458BB}"/>
                <c:ext xmlns:c16="http://schemas.microsoft.com/office/drawing/2014/chart" uri="{C3380CC4-5D6E-409C-BE32-E72D297353CC}">
                  <c16:uniqueId val="{00000012-0DF9-47B1-A804-35A51397D6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('Synthèse structure financière'!$G$39,'Synthèse structure financière'!$I$39,'Synthèse structure financière'!$K$39,'Synthèse structure financière'!$M$39,'Synthèse structure financière'!$O$39,'Synthèse structure financière'!$Q$39)</c:f>
              <c:numCache>
                <c:formatCode>0%</c:formatCode>
                <c:ptCount val="6"/>
                <c:pt idx="0">
                  <c:v>0.5</c:v>
                </c:pt>
                <c:pt idx="1">
                  <c:v>0.5</c:v>
                </c:pt>
                <c:pt idx="2">
                  <c:v>0.5</c:v>
                </c:pt>
                <c:pt idx="3">
                  <c:v>0.5</c:v>
                </c:pt>
                <c:pt idx="4">
                  <c:v>0.5</c:v>
                </c:pt>
                <c:pt idx="5">
                  <c:v>0.5</c:v>
                </c:pt>
              </c:numCache>
            </c:numRef>
          </c:val>
          <c:smooth val="0"/>
          <c:extLst>
            <c:ext xmlns:c16="http://schemas.microsoft.com/office/drawing/2014/chart" uri="{C3380CC4-5D6E-409C-BE32-E72D297353CC}">
              <c16:uniqueId val="{00000013-0DF9-47B1-A804-35A51397D62E}"/>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Autonomie financière</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1-0B78-416C-80BA-D03F6A42A8E6}"/>
              </c:ext>
            </c:extLst>
          </c:dPt>
          <c:dPt>
            <c:idx val="1"/>
            <c:bubble3D val="0"/>
            <c:spPr>
              <a:ln w="44450" cap="rnd">
                <a:solidFill>
                  <a:srgbClr val="0000CC"/>
                </a:solidFill>
                <a:round/>
              </a:ln>
              <a:effectLst/>
            </c:spPr>
            <c:extLst>
              <c:ext xmlns:c16="http://schemas.microsoft.com/office/drawing/2014/chart" uri="{C3380CC4-5D6E-409C-BE32-E72D297353CC}">
                <c16:uniqueId val="{00000003-0B78-416C-80BA-D03F6A42A8E6}"/>
              </c:ext>
            </c:extLst>
          </c:dPt>
          <c:dPt>
            <c:idx val="2"/>
            <c:bubble3D val="0"/>
            <c:spPr>
              <a:ln w="44450" cap="rnd">
                <a:solidFill>
                  <a:srgbClr val="0000CC"/>
                </a:solidFill>
                <a:round/>
              </a:ln>
              <a:effectLst/>
            </c:spPr>
            <c:extLst>
              <c:ext xmlns:c16="http://schemas.microsoft.com/office/drawing/2014/chart" uri="{C3380CC4-5D6E-409C-BE32-E72D297353CC}">
                <c16:uniqueId val="{00000005-0B78-416C-80BA-D03F6A42A8E6}"/>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7-0B78-416C-80BA-D03F6A42A8E6}"/>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9-0B78-416C-80BA-D03F6A42A8E6}"/>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B-0B78-416C-80BA-D03F6A42A8E6}"/>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78-416C-80BA-D03F6A42A8E6}"/>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0B78-416C-80BA-D03F6A42A8E6}"/>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0B78-416C-80BA-D03F6A42A8E6}"/>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0B78-416C-80BA-D03F6A42A8E6}"/>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9-0B78-416C-80BA-D03F6A42A8E6}"/>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B-0B78-416C-80BA-D03F6A42A8E6}"/>
                </c:ext>
              </c:extLst>
            </c:dLbl>
            <c:numFmt formatCode="0%" sourceLinked="0"/>
            <c:spPr>
              <a:no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structure financière'!$G$18,'Synthèse structure financière'!$I$18,'Synthèse structure financière'!$K$18,'Synthèse structure financière'!$M$18,'Synthèse structure financière'!$O$18,'Synthèse structure financière'!$Q$18)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0B78-416C-80BA-D03F6A42A8E6}"/>
            </c:ext>
          </c:extLst>
        </c:ser>
        <c:ser>
          <c:idx val="1"/>
          <c:order val="1"/>
          <c:tx>
            <c:v>Mini</c:v>
          </c:tx>
          <c:spPr>
            <a:ln w="28575" cap="rnd">
              <a:solidFill>
                <a:schemeClr val="accent2"/>
              </a:solidFill>
              <a:round/>
            </a:ln>
            <a:effectLst/>
          </c:spPr>
          <c:marker>
            <c:symbol val="none"/>
          </c:marker>
          <c:dLbls>
            <c:dLbl>
              <c:idx val="0"/>
              <c:layout>
                <c:manualLayout>
                  <c:x val="-0.11929116625431375"/>
                  <c:y val="0"/>
                </c:manualLayout>
              </c:layout>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0B78-416C-80BA-D03F6A42A8E6}"/>
                </c:ext>
              </c:extLst>
            </c:dLbl>
            <c:dLbl>
              <c:idx val="1"/>
              <c:delete val="1"/>
              <c:extLst>
                <c:ext xmlns:c15="http://schemas.microsoft.com/office/drawing/2012/chart" uri="{CE6537A1-D6FC-4f65-9D91-7224C49458BB}"/>
                <c:ext xmlns:c16="http://schemas.microsoft.com/office/drawing/2014/chart" uri="{C3380CC4-5D6E-409C-BE32-E72D297353CC}">
                  <c16:uniqueId val="{0000000E-0B78-416C-80BA-D03F6A42A8E6}"/>
                </c:ext>
              </c:extLst>
            </c:dLbl>
            <c:dLbl>
              <c:idx val="2"/>
              <c:delete val="1"/>
              <c:extLst>
                <c:ext xmlns:c15="http://schemas.microsoft.com/office/drawing/2012/chart" uri="{CE6537A1-D6FC-4f65-9D91-7224C49458BB}"/>
                <c:ext xmlns:c16="http://schemas.microsoft.com/office/drawing/2014/chart" uri="{C3380CC4-5D6E-409C-BE32-E72D297353CC}">
                  <c16:uniqueId val="{0000000F-0B78-416C-80BA-D03F6A42A8E6}"/>
                </c:ext>
              </c:extLst>
            </c:dLbl>
            <c:dLbl>
              <c:idx val="3"/>
              <c:delete val="1"/>
              <c:extLst>
                <c:ext xmlns:c15="http://schemas.microsoft.com/office/drawing/2012/chart" uri="{CE6537A1-D6FC-4f65-9D91-7224C49458BB}"/>
                <c:ext xmlns:c16="http://schemas.microsoft.com/office/drawing/2014/chart" uri="{C3380CC4-5D6E-409C-BE32-E72D297353CC}">
                  <c16:uniqueId val="{00000010-0B78-416C-80BA-D03F6A42A8E6}"/>
                </c:ext>
              </c:extLst>
            </c:dLbl>
            <c:dLbl>
              <c:idx val="4"/>
              <c:delete val="1"/>
              <c:extLst>
                <c:ext xmlns:c15="http://schemas.microsoft.com/office/drawing/2012/chart" uri="{CE6537A1-D6FC-4f65-9D91-7224C49458BB}"/>
                <c:ext xmlns:c16="http://schemas.microsoft.com/office/drawing/2014/chart" uri="{C3380CC4-5D6E-409C-BE32-E72D297353CC}">
                  <c16:uniqueId val="{00000011-0B78-416C-80BA-D03F6A42A8E6}"/>
                </c:ext>
              </c:extLst>
            </c:dLbl>
            <c:dLbl>
              <c:idx val="5"/>
              <c:delete val="1"/>
              <c:extLst>
                <c:ext xmlns:c15="http://schemas.microsoft.com/office/drawing/2012/chart" uri="{CE6537A1-D6FC-4f65-9D91-7224C49458BB}"/>
                <c:ext xmlns:c16="http://schemas.microsoft.com/office/drawing/2014/chart" uri="{C3380CC4-5D6E-409C-BE32-E72D297353CC}">
                  <c16:uniqueId val="{00000012-0B78-416C-80BA-D03F6A42A8E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('Synthèse structure financière'!$G$16,'Synthèse structure financière'!$I$16,'Synthèse structure financière'!$K$16,'Synthèse structure financière'!$M$16,'Synthèse structure financière'!$O$16,'Synthèse structure financière'!$Q$16)</c:f>
              <c:numCache>
                <c:formatCode>0%</c:formatCode>
                <c:ptCount val="6"/>
                <c:pt idx="0">
                  <c:v>0.2</c:v>
                </c:pt>
                <c:pt idx="1">
                  <c:v>0.2</c:v>
                </c:pt>
                <c:pt idx="2">
                  <c:v>0.2</c:v>
                </c:pt>
                <c:pt idx="3">
                  <c:v>0.2</c:v>
                </c:pt>
                <c:pt idx="4">
                  <c:v>0.2</c:v>
                </c:pt>
                <c:pt idx="5">
                  <c:v>0.2</c:v>
                </c:pt>
              </c:numCache>
            </c:numRef>
          </c:val>
          <c:smooth val="0"/>
          <c:extLst>
            <c:ext xmlns:c16="http://schemas.microsoft.com/office/drawing/2014/chart" uri="{C3380CC4-5D6E-409C-BE32-E72D297353CC}">
              <c16:uniqueId val="{00000013-0B78-416C-80BA-D03F6A42A8E6}"/>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fr-FR" sz="1050" b="1">
                <a:solidFill>
                  <a:schemeClr val="bg1"/>
                </a:solidFill>
                <a:latin typeface="+mn-lt"/>
              </a:rPr>
              <a:t>Evolution</a:t>
            </a:r>
            <a:r>
              <a:rPr lang="fr-FR" sz="1050" b="1">
                <a:solidFill>
                  <a:schemeClr val="bg1"/>
                </a:solidFill>
              </a:rPr>
              <a:t> du BFRE</a:t>
            </a:r>
            <a:r>
              <a:rPr lang="fr-FR" sz="1050" b="1" baseline="0">
                <a:solidFill>
                  <a:schemeClr val="bg1"/>
                </a:solidFill>
              </a:rPr>
              <a:t>  en </a:t>
            </a:r>
            <a:r>
              <a:rPr lang="fr-FR" sz="1050" b="1">
                <a:solidFill>
                  <a:schemeClr val="bg1"/>
                </a:solidFill>
              </a:rPr>
              <a:t>jour de</a:t>
            </a:r>
            <a:r>
              <a:rPr lang="fr-FR" sz="1050" b="1" baseline="0">
                <a:solidFill>
                  <a:schemeClr val="bg1"/>
                </a:solidFill>
              </a:rPr>
              <a:t> CA </a:t>
            </a:r>
            <a:endParaRPr lang="fr-FR" sz="1050" b="1">
              <a:solidFill>
                <a:srgbClr val="FFC000"/>
              </a:solidFill>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Chiffre d'affaires</c:v>
          </c:tx>
          <c:spPr>
            <a:ln w="38100" cap="rnd">
              <a:solidFill>
                <a:srgbClr val="00B050"/>
              </a:solidFill>
              <a:round/>
            </a:ln>
            <a:effectLst/>
          </c:spPr>
          <c:marker>
            <c:symbol val="circle"/>
            <c:size val="5"/>
            <c:spPr>
              <a:solidFill>
                <a:schemeClr val="bg1">
                  <a:alpha val="99000"/>
                </a:schemeClr>
              </a:solidFill>
              <a:ln w="9525">
                <a:solidFill>
                  <a:schemeClr val="accent1"/>
                </a:solidFill>
              </a:ln>
              <a:effectLst/>
            </c:spPr>
          </c:marker>
          <c:dPt>
            <c:idx val="0"/>
            <c:marker>
              <c:symbol val="circle"/>
              <c:size val="5"/>
              <c:spPr>
                <a:solidFill>
                  <a:schemeClr val="bg1">
                    <a:alpha val="99000"/>
                  </a:schemeClr>
                </a:solidFill>
                <a:ln w="9525">
                  <a:solidFill>
                    <a:schemeClr val="accent1"/>
                  </a:solidFill>
                </a:ln>
                <a:effectLst/>
              </c:spPr>
            </c:marker>
            <c:bubble3D val="0"/>
            <c:spPr>
              <a:ln w="38100" cap="rnd">
                <a:solidFill>
                  <a:schemeClr val="bg1"/>
                </a:solidFill>
                <a:round/>
              </a:ln>
              <a:effectLst/>
            </c:spPr>
            <c:extLst>
              <c:ext xmlns:c16="http://schemas.microsoft.com/office/drawing/2014/chart" uri="{C3380CC4-5D6E-409C-BE32-E72D297353CC}">
                <c16:uniqueId val="{00000001-7E1C-4E72-B12C-FB05E19EA16D}"/>
              </c:ext>
            </c:extLst>
          </c:dPt>
          <c:dPt>
            <c:idx val="1"/>
            <c:marker>
              <c:symbol val="circle"/>
              <c:size val="5"/>
              <c:spPr>
                <a:solidFill>
                  <a:schemeClr val="bg1">
                    <a:alpha val="99000"/>
                  </a:schemeClr>
                </a:solidFill>
                <a:ln w="9525">
                  <a:solidFill>
                    <a:schemeClr val="accent1"/>
                  </a:solidFill>
                </a:ln>
                <a:effectLst/>
              </c:spPr>
            </c:marker>
            <c:bubble3D val="0"/>
            <c:spPr>
              <a:ln w="38100" cap="rnd">
                <a:solidFill>
                  <a:srgbClr val="0000CC"/>
                </a:solidFill>
                <a:round/>
              </a:ln>
              <a:effectLst/>
            </c:spPr>
            <c:extLst>
              <c:ext xmlns:c16="http://schemas.microsoft.com/office/drawing/2014/chart" uri="{C3380CC4-5D6E-409C-BE32-E72D297353CC}">
                <c16:uniqueId val="{00000003-7E1C-4E72-B12C-FB05E19EA16D}"/>
              </c:ext>
            </c:extLst>
          </c:dPt>
          <c:dPt>
            <c:idx val="2"/>
            <c:marker>
              <c:symbol val="circle"/>
              <c:size val="5"/>
              <c:spPr>
                <a:solidFill>
                  <a:schemeClr val="bg1">
                    <a:alpha val="99000"/>
                  </a:schemeClr>
                </a:solidFill>
                <a:ln w="9525">
                  <a:solidFill>
                    <a:schemeClr val="accent1"/>
                  </a:solidFill>
                </a:ln>
                <a:effectLst/>
              </c:spPr>
            </c:marker>
            <c:bubble3D val="0"/>
            <c:spPr>
              <a:ln w="38100" cap="rnd">
                <a:solidFill>
                  <a:srgbClr val="0000CC"/>
                </a:solidFill>
                <a:round/>
              </a:ln>
              <a:effectLst/>
            </c:spPr>
            <c:extLst>
              <c:ext xmlns:c16="http://schemas.microsoft.com/office/drawing/2014/chart" uri="{C3380CC4-5D6E-409C-BE32-E72D297353CC}">
                <c16:uniqueId val="{00000005-7E1C-4E72-B12C-FB05E19EA16D}"/>
              </c:ext>
            </c:extLst>
          </c:dPt>
          <c:dPt>
            <c:idx val="3"/>
            <c:marker>
              <c:symbol val="circle"/>
              <c:size val="5"/>
              <c:spPr>
                <a:solidFill>
                  <a:schemeClr val="bg1">
                    <a:alpha val="99000"/>
                  </a:schemeClr>
                </a:solidFill>
                <a:ln w="9525">
                  <a:solidFill>
                    <a:schemeClr val="accent1"/>
                  </a:solidFill>
                </a:ln>
                <a:effectLst/>
              </c:spPr>
            </c:marker>
            <c:bubble3D val="0"/>
            <c:spPr>
              <a:ln w="38100" cap="rnd">
                <a:solidFill>
                  <a:schemeClr val="accent3">
                    <a:lumMod val="75000"/>
                  </a:schemeClr>
                </a:solidFill>
                <a:round/>
              </a:ln>
              <a:effectLst/>
            </c:spPr>
            <c:extLst>
              <c:ext xmlns:c16="http://schemas.microsoft.com/office/drawing/2014/chart" uri="{C3380CC4-5D6E-409C-BE32-E72D297353CC}">
                <c16:uniqueId val="{00000007-7E1C-4E72-B12C-FB05E19EA16D}"/>
              </c:ext>
            </c:extLst>
          </c:dPt>
          <c:dPt>
            <c:idx val="4"/>
            <c:marker>
              <c:symbol val="circle"/>
              <c:size val="5"/>
              <c:spPr>
                <a:solidFill>
                  <a:schemeClr val="bg1">
                    <a:alpha val="99000"/>
                  </a:schemeClr>
                </a:solidFill>
                <a:ln w="9525">
                  <a:solidFill>
                    <a:schemeClr val="accent1"/>
                  </a:solidFill>
                </a:ln>
                <a:effectLst/>
              </c:spPr>
            </c:marker>
            <c:bubble3D val="0"/>
            <c:spPr>
              <a:ln w="38100" cap="rnd">
                <a:solidFill>
                  <a:schemeClr val="accent3">
                    <a:lumMod val="75000"/>
                  </a:schemeClr>
                </a:solidFill>
                <a:round/>
              </a:ln>
              <a:effectLst/>
            </c:spPr>
            <c:extLst>
              <c:ext xmlns:c16="http://schemas.microsoft.com/office/drawing/2014/chart" uri="{C3380CC4-5D6E-409C-BE32-E72D297353CC}">
                <c16:uniqueId val="{00000009-7E1C-4E72-B12C-FB05E19EA16D}"/>
              </c:ext>
            </c:extLst>
          </c:dPt>
          <c:dPt>
            <c:idx val="5"/>
            <c:marker>
              <c:symbol val="circle"/>
              <c:size val="5"/>
              <c:spPr>
                <a:solidFill>
                  <a:schemeClr val="bg1">
                    <a:alpha val="99000"/>
                  </a:schemeClr>
                </a:solidFill>
                <a:ln w="9525">
                  <a:solidFill>
                    <a:schemeClr val="accent1"/>
                  </a:solidFill>
                </a:ln>
                <a:effectLst/>
              </c:spPr>
            </c:marker>
            <c:bubble3D val="0"/>
            <c:spPr>
              <a:ln w="38100" cap="rnd">
                <a:solidFill>
                  <a:schemeClr val="accent3">
                    <a:lumMod val="75000"/>
                  </a:schemeClr>
                </a:solidFill>
                <a:round/>
              </a:ln>
              <a:effectLst/>
            </c:spPr>
            <c:extLst>
              <c:ext xmlns:c16="http://schemas.microsoft.com/office/drawing/2014/chart" uri="{C3380CC4-5D6E-409C-BE32-E72D297353CC}">
                <c16:uniqueId val="{0000000B-7E1C-4E72-B12C-FB05E19EA16D}"/>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fld id="{D3FB4E42-F971-495F-9C1B-9DB22F4F4419}" type="VALUE">
                      <a:rPr lang="en-US" sz="1000" b="1">
                        <a:solidFill>
                          <a:schemeClr val="bg1"/>
                        </a:solidFill>
                      </a:rPr>
                      <a:pPr>
                        <a:defRPr sz="1000" b="1">
                          <a:solidFill>
                            <a:schemeClr val="bg1"/>
                          </a:solidFill>
                        </a:defRPr>
                      </a:pPr>
                      <a:t>[VALEUR]</a:t>
                    </a:fld>
                    <a:endParaRPr lang="fr-FR"/>
                  </a:p>
                </c:rich>
              </c:tx>
              <c:numFmt formatCode="0&quot; j&quot;"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E1C-4E72-B12C-FB05E19EA16D}"/>
                </c:ext>
              </c:extLst>
            </c:dLbl>
            <c:dLbl>
              <c:idx val="1"/>
              <c:numFmt formatCode="0&quot; j&quot;"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3-7E1C-4E72-B12C-FB05E19EA16D}"/>
                </c:ext>
              </c:extLst>
            </c:dLbl>
            <c:dLbl>
              <c:idx val="2"/>
              <c:numFmt formatCode="0&quot; j&quot;"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5-7E1C-4E72-B12C-FB05E19EA16D}"/>
                </c:ext>
              </c:extLst>
            </c:dLbl>
            <c:dLbl>
              <c:idx val="3"/>
              <c:tx>
                <c:rich>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fld id="{BC4D0D6D-8BA6-4567-92AB-1665E6ED0627}" type="VALUE">
                      <a:rPr lang="en-US" b="1" i="1" baseline="0">
                        <a:solidFill>
                          <a:schemeClr val="bg1"/>
                        </a:solidFill>
                      </a:rPr>
                      <a:pPr>
                        <a:defRPr sz="1000" b="1" i="1">
                          <a:solidFill>
                            <a:schemeClr val="bg1"/>
                          </a:solidFill>
                        </a:defRPr>
                      </a:pPr>
                      <a:t>[VALEUR]</a:t>
                    </a:fld>
                    <a:endParaRPr lang="fr-FR"/>
                  </a:p>
                </c:rich>
              </c:tx>
              <c:numFmt formatCode="0&quot; j&quot;"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E1C-4E72-B12C-FB05E19EA16D}"/>
                </c:ext>
              </c:extLst>
            </c:dLbl>
            <c:dLbl>
              <c:idx val="4"/>
              <c:numFmt formatCode="0&quot; j&quot;"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9-7E1C-4E72-B12C-FB05E19EA16D}"/>
                </c:ext>
              </c:extLst>
            </c:dLbl>
            <c:dLbl>
              <c:idx val="5"/>
              <c:tx>
                <c:rich>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fld id="{76E3E603-D802-44FB-986F-5576325B6A63}" type="VALUE">
                      <a:rPr lang="en-US" b="1" i="1" baseline="0">
                        <a:solidFill>
                          <a:schemeClr val="bg1"/>
                        </a:solidFill>
                      </a:rPr>
                      <a:pPr>
                        <a:defRPr sz="1000" b="1" i="1">
                          <a:solidFill>
                            <a:schemeClr val="bg1"/>
                          </a:solidFill>
                        </a:defRPr>
                      </a:pPr>
                      <a:t>[VALEUR]</a:t>
                    </a:fld>
                    <a:endParaRPr lang="fr-FR"/>
                  </a:p>
                </c:rich>
              </c:tx>
              <c:numFmt formatCode="0&quot; j&quot;"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E1C-4E72-B12C-FB05E19EA16D}"/>
                </c:ext>
              </c:extLst>
            </c:dLbl>
            <c:numFmt formatCode="0&quot; j&quot;" sourceLinked="0"/>
            <c:spPr>
              <a:solidFill>
                <a:srgbClr val="0000FF"/>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structure financière'!$G$7,'Synthèse structure financière'!$I$7,'Synthèse structure financière'!$K$7,'Synthèse structure financière'!$M$7,'Synthèse structure financière'!$O$7,'Synthèse structure financière'!$Q$7)</c:f>
              <c:strCache>
                <c:ptCount val="6"/>
                <c:pt idx="0">
                  <c:v> </c:v>
                </c:pt>
                <c:pt idx="1">
                  <c:v> </c:v>
                </c:pt>
                <c:pt idx="2">
                  <c:v> </c:v>
                </c:pt>
                <c:pt idx="3">
                  <c:v> </c:v>
                </c:pt>
                <c:pt idx="4">
                  <c:v> </c:v>
                </c:pt>
                <c:pt idx="5">
                  <c:v> </c:v>
                </c:pt>
              </c:strCache>
            </c:strRef>
          </c:cat>
          <c:val>
            <c:numRef>
              <c:f>('Synthèse structure financière'!$G$50,'Synthèse structure financière'!$I$50,'Synthèse structure financière'!$K$50,'Synthèse structure financière'!$M$50,'Synthèse structure financière'!$O$50,'Synthèse structure financière'!$Q$50)</c:f>
              <c:numCache>
                <c:formatCode>0" j de CA"</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7E1C-4E72-B12C-FB05E19EA16D}"/>
            </c:ext>
          </c:extLst>
        </c:ser>
        <c:dLbls>
          <c:showLegendKey val="0"/>
          <c:showVal val="0"/>
          <c:showCatName val="0"/>
          <c:showSerName val="0"/>
          <c:showPercent val="0"/>
          <c:showBubbleSize val="0"/>
        </c:dLbls>
        <c:marker val="1"/>
        <c:smooth val="0"/>
        <c:axId val="196286464"/>
        <c:axId val="196286856"/>
      </c:lineChart>
      <c:catAx>
        <c:axId val="196286464"/>
        <c:scaling>
          <c:orientation val="minMax"/>
        </c:scaling>
        <c:delete val="1"/>
        <c:axPos val="b"/>
        <c:numFmt formatCode="General" sourceLinked="1"/>
        <c:majorTickMark val="none"/>
        <c:minorTickMark val="none"/>
        <c:tickLblPos val="none"/>
        <c:crossAx val="196286856"/>
        <c:crosses val="autoZero"/>
        <c:auto val="1"/>
        <c:lblAlgn val="ctr"/>
        <c:lblOffset val="100"/>
        <c:noMultiLvlLbl val="0"/>
      </c:catAx>
      <c:valAx>
        <c:axId val="196286856"/>
        <c:scaling>
          <c:orientation val="minMax"/>
        </c:scaling>
        <c:delete val="1"/>
        <c:axPos val="l"/>
        <c:majorGridlines>
          <c:spPr>
            <a:ln w="9525" cap="flat" cmpd="sng" algn="ctr">
              <a:solidFill>
                <a:schemeClr val="tx1">
                  <a:lumMod val="15000"/>
                  <a:lumOff val="85000"/>
                </a:schemeClr>
              </a:solidFill>
              <a:round/>
            </a:ln>
            <a:effectLst/>
          </c:spPr>
        </c:majorGridlines>
        <c:numFmt formatCode="0&quot; j de CA&quot;" sourceLinked="1"/>
        <c:majorTickMark val="none"/>
        <c:minorTickMark val="none"/>
        <c:tickLblPos val="none"/>
        <c:crossAx val="196286464"/>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fr-FR" sz="1000" b="1">
                <a:solidFill>
                  <a:srgbClr val="002060"/>
                </a:solidFill>
              </a:rPr>
              <a:t>Valorisation sur la base des performances actuelles</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3AC6-4D09-BEF8-AC270A7E2196}"/>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3-3AC6-4D09-BEF8-AC270A7E2196}"/>
              </c:ext>
            </c:extLst>
          </c:dPt>
          <c:dPt>
            <c:idx val="3"/>
            <c:invertIfNegative val="0"/>
            <c:bubble3D val="0"/>
            <c:spPr>
              <a:solidFill>
                <a:schemeClr val="accent5">
                  <a:lumMod val="50000"/>
                </a:schemeClr>
              </a:solidFill>
              <a:ln>
                <a:noFill/>
              </a:ln>
              <a:effectLst/>
            </c:spPr>
            <c:extLst>
              <c:ext xmlns:c16="http://schemas.microsoft.com/office/drawing/2014/chart" uri="{C3380CC4-5D6E-409C-BE32-E72D297353CC}">
                <c16:uniqueId val="{00000005-3AC6-4D09-BEF8-AC270A7E2196}"/>
              </c:ext>
            </c:extLst>
          </c:dPt>
          <c:dLbls>
            <c:numFmt formatCode="#\ ##0&quot; K€&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Valorisation!$C$40:$E$40</c:f>
              <c:strCache>
                <c:ptCount val="3"/>
                <c:pt idx="0">
                  <c:v>V1
(CA)</c:v>
                </c:pt>
                <c:pt idx="1">
                  <c:v>V2
(EBE)</c:v>
                </c:pt>
                <c:pt idx="2">
                  <c:v>V3
(RN)</c:v>
                </c:pt>
              </c:strCache>
            </c:strRef>
          </c:cat>
          <c:val>
            <c:numRef>
              <c:f>Valorisation!$C$41:$E$41</c:f>
              <c:numCache>
                <c:formatCode>#\ ##0" K€"</c:formatCode>
                <c:ptCount val="3"/>
                <c:pt idx="0">
                  <c:v>0</c:v>
                </c:pt>
                <c:pt idx="1">
                  <c:v>0</c:v>
                </c:pt>
                <c:pt idx="2">
                  <c:v>0</c:v>
                </c:pt>
              </c:numCache>
            </c:numRef>
          </c:val>
          <c:extLst>
            <c:ext xmlns:c16="http://schemas.microsoft.com/office/drawing/2014/chart" uri="{C3380CC4-5D6E-409C-BE32-E72D297353CC}">
              <c16:uniqueId val="{00000006-3AC6-4D09-BEF8-AC270A7E2196}"/>
            </c:ext>
          </c:extLst>
        </c:ser>
        <c:dLbls>
          <c:showLegendKey val="0"/>
          <c:showVal val="0"/>
          <c:showCatName val="0"/>
          <c:showSerName val="0"/>
          <c:showPercent val="0"/>
          <c:showBubbleSize val="0"/>
        </c:dLbls>
        <c:gapWidth val="71"/>
        <c:overlap val="-47"/>
        <c:axId val="198202736"/>
        <c:axId val="198203128"/>
      </c:barChart>
      <c:catAx>
        <c:axId val="19820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fr-FR"/>
          </a:p>
        </c:txPr>
        <c:crossAx val="198203128"/>
        <c:crosses val="autoZero"/>
        <c:auto val="1"/>
        <c:lblAlgn val="ctr"/>
        <c:lblOffset val="100"/>
        <c:noMultiLvlLbl val="0"/>
      </c:catAx>
      <c:valAx>
        <c:axId val="198203128"/>
        <c:scaling>
          <c:orientation val="minMax"/>
        </c:scaling>
        <c:delete val="1"/>
        <c:axPos val="l"/>
        <c:majorGridlines>
          <c:spPr>
            <a:ln w="9525" cap="flat" cmpd="sng" algn="ctr">
              <a:solidFill>
                <a:schemeClr val="tx1">
                  <a:lumMod val="15000"/>
                  <a:lumOff val="85000"/>
                </a:schemeClr>
              </a:solidFill>
              <a:round/>
            </a:ln>
            <a:effectLst/>
          </c:spPr>
        </c:majorGridlines>
        <c:numFmt formatCode="#\ ##0&quot; K€&quot;" sourceLinked="1"/>
        <c:majorTickMark val="none"/>
        <c:minorTickMark val="none"/>
        <c:tickLblPos val="nextTo"/>
        <c:crossAx val="19820273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50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1" u="none" strike="noStrike" kern="1200" spc="0" baseline="0">
                <a:solidFill>
                  <a:srgbClr val="00B050"/>
                </a:solidFill>
                <a:latin typeface="+mn-lt"/>
                <a:ea typeface="+mn-ea"/>
                <a:cs typeface="+mn-cs"/>
              </a:defRPr>
            </a:pPr>
            <a:r>
              <a:rPr lang="fr-FR" sz="1000" b="1" i="1">
                <a:solidFill>
                  <a:srgbClr val="00B050"/>
                </a:solidFill>
              </a:rPr>
              <a:t>Valorisation sur la base des performances futures </a:t>
            </a:r>
            <a:r>
              <a:rPr lang="fr-FR" sz="1000" b="1" i="1">
                <a:solidFill>
                  <a:srgbClr val="002060"/>
                </a:solidFill>
              </a:rPr>
              <a:t>(pondération)</a:t>
            </a:r>
          </a:p>
        </c:rich>
      </c:tx>
      <c:overlay val="0"/>
      <c:spPr>
        <a:noFill/>
        <a:ln>
          <a:noFill/>
        </a:ln>
        <a:effectLst/>
      </c:spPr>
      <c:txPr>
        <a:bodyPr rot="0" spcFirstLastPara="1" vertOverflow="ellipsis" vert="horz" wrap="square" anchor="ctr" anchorCtr="1"/>
        <a:lstStyle/>
        <a:p>
          <a:pPr>
            <a:defRPr sz="1000" b="1" i="1" u="none" strike="noStrike" kern="1200" spc="0" baseline="0">
              <a:solidFill>
                <a:srgbClr val="00B050"/>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718E-45CF-8FC3-992EEBE02603}"/>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3-718E-45CF-8FC3-992EEBE02603}"/>
              </c:ext>
            </c:extLst>
          </c:dPt>
          <c:dPt>
            <c:idx val="3"/>
            <c:invertIfNegative val="0"/>
            <c:bubble3D val="0"/>
            <c:spPr>
              <a:solidFill>
                <a:schemeClr val="accent5">
                  <a:lumMod val="50000"/>
                </a:schemeClr>
              </a:solidFill>
              <a:ln>
                <a:noFill/>
              </a:ln>
              <a:effectLst/>
            </c:spPr>
            <c:extLst>
              <c:ext xmlns:c16="http://schemas.microsoft.com/office/drawing/2014/chart" uri="{C3380CC4-5D6E-409C-BE32-E72D297353CC}">
                <c16:uniqueId val="{00000005-718E-45CF-8FC3-992EEBE02603}"/>
              </c:ext>
            </c:extLst>
          </c:dPt>
          <c:dLbls>
            <c:numFmt formatCode="#\ ##0&quot; K€&quot;" sourceLinked="0"/>
            <c:spPr>
              <a:noFill/>
              <a:ln>
                <a:noFill/>
              </a:ln>
              <a:effectLst/>
            </c:spPr>
            <c:txPr>
              <a:bodyPr rot="0" spcFirstLastPara="1" vertOverflow="ellipsis" vert="horz" wrap="square" lIns="38100" tIns="19050" rIns="38100" bIns="19050" anchor="ctr" anchorCtr="1">
                <a:spAutoFit/>
              </a:bodyPr>
              <a:lstStyle/>
              <a:p>
                <a:pPr>
                  <a:defRPr sz="1000" b="1" i="1" u="none" strike="noStrike" kern="1200" baseline="0">
                    <a:solidFill>
                      <a:srgbClr val="00B05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Valorisation!$H$40:$J$40</c:f>
              <c:strCache>
                <c:ptCount val="3"/>
                <c:pt idx="0">
                  <c:v>V1'
(CA)</c:v>
                </c:pt>
                <c:pt idx="1">
                  <c:v>V2'
(EBE)</c:v>
                </c:pt>
                <c:pt idx="2">
                  <c:v>V3'
(RN)</c:v>
                </c:pt>
              </c:strCache>
            </c:strRef>
          </c:cat>
          <c:val>
            <c:numRef>
              <c:f>Valorisation!$H$41:$J$41</c:f>
              <c:numCache>
                <c:formatCode>#\ ##0" K€"</c:formatCode>
                <c:ptCount val="3"/>
                <c:pt idx="0">
                  <c:v>0</c:v>
                </c:pt>
                <c:pt idx="1">
                  <c:v>0</c:v>
                </c:pt>
                <c:pt idx="2">
                  <c:v>0</c:v>
                </c:pt>
              </c:numCache>
            </c:numRef>
          </c:val>
          <c:extLst>
            <c:ext xmlns:c16="http://schemas.microsoft.com/office/drawing/2014/chart" uri="{C3380CC4-5D6E-409C-BE32-E72D297353CC}">
              <c16:uniqueId val="{00000006-718E-45CF-8FC3-992EEBE02603}"/>
            </c:ext>
          </c:extLst>
        </c:ser>
        <c:dLbls>
          <c:showLegendKey val="0"/>
          <c:showVal val="0"/>
          <c:showCatName val="0"/>
          <c:showSerName val="0"/>
          <c:showPercent val="0"/>
          <c:showBubbleSize val="0"/>
        </c:dLbls>
        <c:gapWidth val="71"/>
        <c:overlap val="-47"/>
        <c:axId val="198203912"/>
        <c:axId val="198204304"/>
      </c:barChart>
      <c:catAx>
        <c:axId val="198203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fr-FR"/>
          </a:p>
        </c:txPr>
        <c:crossAx val="198204304"/>
        <c:crosses val="autoZero"/>
        <c:auto val="1"/>
        <c:lblAlgn val="ctr"/>
        <c:lblOffset val="100"/>
        <c:noMultiLvlLbl val="0"/>
      </c:catAx>
      <c:valAx>
        <c:axId val="198204304"/>
        <c:scaling>
          <c:orientation val="minMax"/>
        </c:scaling>
        <c:delete val="1"/>
        <c:axPos val="l"/>
        <c:majorGridlines>
          <c:spPr>
            <a:ln w="9525" cap="flat" cmpd="sng" algn="ctr">
              <a:solidFill>
                <a:schemeClr val="tx1">
                  <a:lumMod val="15000"/>
                  <a:lumOff val="85000"/>
                </a:schemeClr>
              </a:solidFill>
              <a:round/>
            </a:ln>
            <a:effectLst/>
          </c:spPr>
        </c:majorGridlines>
        <c:numFmt formatCode="#\ ##0&quot; K€&quot;" sourceLinked="1"/>
        <c:majorTickMark val="none"/>
        <c:minorTickMark val="none"/>
        <c:tickLblPos val="nextTo"/>
        <c:crossAx val="19820391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50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1" u="none" strike="noStrike" kern="1200" spc="0" baseline="0">
                <a:solidFill>
                  <a:srgbClr val="00B050"/>
                </a:solidFill>
                <a:latin typeface="+mn-lt"/>
                <a:ea typeface="+mn-ea"/>
                <a:cs typeface="+mn-cs"/>
              </a:defRPr>
            </a:pPr>
            <a:r>
              <a:rPr lang="fr-FR" sz="1000" b="1" i="1">
                <a:solidFill>
                  <a:srgbClr val="00B050"/>
                </a:solidFill>
              </a:rPr>
              <a:t>Valorisation sur la base des performances futures </a:t>
            </a:r>
            <a:r>
              <a:rPr lang="fr-FR" sz="1000" b="1" i="1">
                <a:solidFill>
                  <a:srgbClr val="002060"/>
                </a:solidFill>
              </a:rPr>
              <a:t>(actualisation)</a:t>
            </a:r>
          </a:p>
        </c:rich>
      </c:tx>
      <c:overlay val="0"/>
      <c:spPr>
        <a:noFill/>
        <a:ln>
          <a:noFill/>
        </a:ln>
        <a:effectLst/>
      </c:spPr>
      <c:txPr>
        <a:bodyPr rot="0" spcFirstLastPara="1" vertOverflow="ellipsis" vert="horz" wrap="square" anchor="ctr" anchorCtr="1"/>
        <a:lstStyle/>
        <a:p>
          <a:pPr>
            <a:defRPr sz="1000" b="1" i="1" u="none" strike="noStrike" kern="1200" spc="0" baseline="0">
              <a:solidFill>
                <a:srgbClr val="00B050"/>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DD04-45CC-8582-F221ECC60038}"/>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3-DD04-45CC-8582-F221ECC60038}"/>
              </c:ext>
            </c:extLst>
          </c:dPt>
          <c:dPt>
            <c:idx val="3"/>
            <c:invertIfNegative val="0"/>
            <c:bubble3D val="0"/>
            <c:spPr>
              <a:solidFill>
                <a:schemeClr val="accent5">
                  <a:lumMod val="50000"/>
                </a:schemeClr>
              </a:solidFill>
              <a:ln>
                <a:noFill/>
              </a:ln>
              <a:effectLst/>
            </c:spPr>
            <c:extLst>
              <c:ext xmlns:c16="http://schemas.microsoft.com/office/drawing/2014/chart" uri="{C3380CC4-5D6E-409C-BE32-E72D297353CC}">
                <c16:uniqueId val="{00000005-DD04-45CC-8582-F221ECC60038}"/>
              </c:ext>
            </c:extLst>
          </c:dPt>
          <c:dLbls>
            <c:numFmt formatCode="#\ ##0&quot; K€&quot;" sourceLinked="0"/>
            <c:spPr>
              <a:noFill/>
              <a:ln>
                <a:noFill/>
              </a:ln>
              <a:effectLst/>
            </c:spPr>
            <c:txPr>
              <a:bodyPr rot="0" spcFirstLastPara="1" vertOverflow="ellipsis" vert="horz" wrap="square" lIns="38100" tIns="19050" rIns="38100" bIns="19050" anchor="ctr" anchorCtr="1">
                <a:spAutoFit/>
              </a:bodyPr>
              <a:lstStyle/>
              <a:p>
                <a:pPr>
                  <a:defRPr sz="1000" b="1" i="1" u="none" strike="noStrike" kern="1200" baseline="0">
                    <a:solidFill>
                      <a:srgbClr val="00B05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Valorisation!$N$40:$P$40</c:f>
              <c:strCache>
                <c:ptCount val="3"/>
                <c:pt idx="0">
                  <c:v>V1'
(CA)</c:v>
                </c:pt>
                <c:pt idx="1">
                  <c:v>V2'
(EBE)</c:v>
                </c:pt>
                <c:pt idx="2">
                  <c:v>V3'
(RN)</c:v>
                </c:pt>
              </c:strCache>
            </c:strRef>
          </c:cat>
          <c:val>
            <c:numRef>
              <c:f>Valorisation!$N$41:$P$41</c:f>
              <c:numCache>
                <c:formatCode>#\ ##0" K€"</c:formatCode>
                <c:ptCount val="3"/>
                <c:pt idx="0">
                  <c:v>0</c:v>
                </c:pt>
                <c:pt idx="1">
                  <c:v>0</c:v>
                </c:pt>
                <c:pt idx="2">
                  <c:v>0</c:v>
                </c:pt>
              </c:numCache>
            </c:numRef>
          </c:val>
          <c:extLst>
            <c:ext xmlns:c16="http://schemas.microsoft.com/office/drawing/2014/chart" uri="{C3380CC4-5D6E-409C-BE32-E72D297353CC}">
              <c16:uniqueId val="{00000006-DD04-45CC-8582-F221ECC60038}"/>
            </c:ext>
          </c:extLst>
        </c:ser>
        <c:dLbls>
          <c:showLegendKey val="0"/>
          <c:showVal val="0"/>
          <c:showCatName val="0"/>
          <c:showSerName val="0"/>
          <c:showPercent val="0"/>
          <c:showBubbleSize val="0"/>
        </c:dLbls>
        <c:gapWidth val="71"/>
        <c:overlap val="-47"/>
        <c:axId val="198205088"/>
        <c:axId val="198205480"/>
      </c:barChart>
      <c:catAx>
        <c:axId val="19820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fr-FR"/>
          </a:p>
        </c:txPr>
        <c:crossAx val="198205480"/>
        <c:crosses val="autoZero"/>
        <c:auto val="1"/>
        <c:lblAlgn val="ctr"/>
        <c:lblOffset val="100"/>
        <c:noMultiLvlLbl val="0"/>
      </c:catAx>
      <c:valAx>
        <c:axId val="198205480"/>
        <c:scaling>
          <c:orientation val="minMax"/>
        </c:scaling>
        <c:delete val="1"/>
        <c:axPos val="l"/>
        <c:majorGridlines>
          <c:spPr>
            <a:ln w="9525" cap="flat" cmpd="sng" algn="ctr">
              <a:solidFill>
                <a:schemeClr val="tx1">
                  <a:lumMod val="15000"/>
                  <a:lumOff val="85000"/>
                </a:schemeClr>
              </a:solidFill>
              <a:round/>
            </a:ln>
            <a:effectLst/>
          </c:spPr>
        </c:majorGridlines>
        <c:numFmt formatCode="#\ ##0&quot; K€&quot;" sourceLinked="1"/>
        <c:majorTickMark val="none"/>
        <c:minorTickMark val="none"/>
        <c:tickLblPos val="nextTo"/>
        <c:crossAx val="19820508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50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chemeClr val="bg1"/>
                </a:solidFill>
                <a:latin typeface="Calibri"/>
                <a:ea typeface="Calibri"/>
                <a:cs typeface="Calibri"/>
              </a:defRPr>
            </a:pPr>
            <a:r>
              <a:rPr lang="fr-FR">
                <a:solidFill>
                  <a:schemeClr val="bg1"/>
                </a:solidFill>
              </a:rPr>
              <a:t>Répartition des investissements totaux sur 3 ans</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spPr>
            <a:ln>
              <a:solidFill>
                <a:schemeClr val="bg1"/>
              </a:solidFill>
            </a:ln>
          </c:spPr>
          <c:dPt>
            <c:idx val="0"/>
            <c:bubble3D val="0"/>
            <c:spPr>
              <a:solidFill>
                <a:srgbClr val="0099CC"/>
              </a:solidFill>
              <a:ln>
                <a:solidFill>
                  <a:schemeClr val="bg1"/>
                </a:solidFill>
              </a:ln>
            </c:spPr>
            <c:extLst>
              <c:ext xmlns:c16="http://schemas.microsoft.com/office/drawing/2014/chart" uri="{C3380CC4-5D6E-409C-BE32-E72D297353CC}">
                <c16:uniqueId val="{00000001-8BA2-4864-A60F-F84C70655197}"/>
              </c:ext>
            </c:extLst>
          </c:dPt>
          <c:dPt>
            <c:idx val="1"/>
            <c:bubble3D val="0"/>
            <c:spPr>
              <a:solidFill>
                <a:srgbClr val="31859C"/>
              </a:solidFill>
              <a:ln>
                <a:solidFill>
                  <a:schemeClr val="bg1"/>
                </a:solidFill>
              </a:ln>
            </c:spPr>
            <c:extLst>
              <c:ext xmlns:c16="http://schemas.microsoft.com/office/drawing/2014/chart" uri="{C3380CC4-5D6E-409C-BE32-E72D297353CC}">
                <c16:uniqueId val="{00000003-8BA2-4864-A60F-F84C70655197}"/>
              </c:ext>
            </c:extLst>
          </c:dPt>
          <c:dPt>
            <c:idx val="2"/>
            <c:bubble3D val="0"/>
            <c:spPr>
              <a:solidFill>
                <a:srgbClr val="FFC000"/>
              </a:solidFill>
              <a:ln>
                <a:solidFill>
                  <a:schemeClr val="tx1"/>
                </a:solidFill>
              </a:ln>
            </c:spPr>
            <c:extLst>
              <c:ext xmlns:c16="http://schemas.microsoft.com/office/drawing/2014/chart" uri="{C3380CC4-5D6E-409C-BE32-E72D297353CC}">
                <c16:uniqueId val="{00000005-8BA2-4864-A60F-F84C70655197}"/>
              </c:ext>
            </c:extLst>
          </c:dPt>
          <c:dLbls>
            <c:dLbl>
              <c:idx val="0"/>
              <c:spPr/>
              <c:txPr>
                <a:bodyPr/>
                <a:lstStyle/>
                <a:p>
                  <a:pPr>
                    <a:defRPr sz="1000" b="1" i="0" u="none" strike="noStrike" baseline="0">
                      <a:solidFill>
                        <a:srgbClr val="FFFFFF"/>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BA2-4864-A60F-F84C70655197}"/>
                </c:ext>
              </c:extLst>
            </c:dLbl>
            <c:dLbl>
              <c:idx val="1"/>
              <c:spPr/>
              <c:txPr>
                <a:bodyPr/>
                <a:lstStyle/>
                <a:p>
                  <a:pPr>
                    <a:defRPr sz="1000" b="1" i="0" u="none" strike="noStrike" baseline="0">
                      <a:solidFill>
                        <a:srgbClr val="FFFFFF"/>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BA2-4864-A60F-F84C70655197}"/>
                </c:ext>
              </c:extLst>
            </c:dLbl>
            <c:dLbl>
              <c:idx val="2"/>
              <c:spPr/>
              <c:txPr>
                <a:bodyPr/>
                <a:lstStyle/>
                <a:p>
                  <a:pPr>
                    <a:defRPr sz="1000" b="1" i="0" u="none" strike="noStrike" baseline="0">
                      <a:solidFill>
                        <a:srgbClr val="666699"/>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8BA2-4864-A60F-F84C70655197}"/>
                </c:ext>
              </c:extLst>
            </c:dLbl>
            <c:dLbl>
              <c:idx val="3"/>
              <c:spPr/>
              <c:txPr>
                <a:bodyPr/>
                <a:lstStyle/>
                <a:p>
                  <a:pPr>
                    <a:defRPr sz="1000" b="1" i="0" u="none" strike="noStrike" baseline="0">
                      <a:solidFill>
                        <a:srgbClr val="FFFFFF"/>
                      </a:solidFill>
                      <a:latin typeface="Calibri"/>
                      <a:ea typeface="Calibri"/>
                      <a:cs typeface="Calibri"/>
                    </a:defRPr>
                  </a:pPr>
                  <a:endParaRPr lang="fr-FR"/>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8BA2-4864-A60F-F84C70655197}"/>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dLblPos val="in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Investissements!$I$68:$L$68</c:f>
              <c:strCache>
                <c:ptCount val="4"/>
                <c:pt idx="0">
                  <c:v>Financier</c:v>
                </c:pt>
                <c:pt idx="1">
                  <c:v>Immatériel</c:v>
                </c:pt>
                <c:pt idx="2">
                  <c:v>Matériel mobilier</c:v>
                </c:pt>
                <c:pt idx="3">
                  <c:v>Immobilier</c:v>
                </c:pt>
              </c:strCache>
            </c:strRef>
          </c:cat>
          <c:val>
            <c:numRef>
              <c:f>Investissements!$I$69:$L$69</c:f>
              <c:numCache>
                <c:formatCode>#\ ##0" "</c:formatCode>
                <c:ptCount val="4"/>
                <c:pt idx="0">
                  <c:v>0</c:v>
                </c:pt>
                <c:pt idx="1">
                  <c:v>0</c:v>
                </c:pt>
                <c:pt idx="2">
                  <c:v>0</c:v>
                </c:pt>
                <c:pt idx="3">
                  <c:v>0</c:v>
                </c:pt>
              </c:numCache>
            </c:numRef>
          </c:val>
          <c:extLst>
            <c:ext xmlns:c16="http://schemas.microsoft.com/office/drawing/2014/chart" uri="{C3380CC4-5D6E-409C-BE32-E72D297353CC}">
              <c16:uniqueId val="{00000007-8BA2-4864-A60F-F84C7065519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lumMod val="65000"/>
      </a:schemeClr>
    </a:solidFill>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Charges de personnel/VA </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6-92F8-46A0-A7D9-FE0F865F5C56}"/>
              </c:ext>
            </c:extLst>
          </c:dPt>
          <c:dPt>
            <c:idx val="1"/>
            <c:bubble3D val="0"/>
            <c:spPr>
              <a:ln w="44450" cap="rnd">
                <a:solidFill>
                  <a:srgbClr val="0000CC"/>
                </a:solidFill>
                <a:round/>
              </a:ln>
              <a:effectLst/>
            </c:spPr>
            <c:extLst>
              <c:ext xmlns:c16="http://schemas.microsoft.com/office/drawing/2014/chart" uri="{C3380CC4-5D6E-409C-BE32-E72D297353CC}">
                <c16:uniqueId val="{00000007-92F8-46A0-A7D9-FE0F865F5C56}"/>
              </c:ext>
            </c:extLst>
          </c:dPt>
          <c:dPt>
            <c:idx val="2"/>
            <c:bubble3D val="0"/>
            <c:spPr>
              <a:ln w="44450" cap="rnd">
                <a:solidFill>
                  <a:srgbClr val="0000CC"/>
                </a:solidFill>
                <a:round/>
              </a:ln>
              <a:effectLst/>
            </c:spPr>
            <c:extLst>
              <c:ext xmlns:c16="http://schemas.microsoft.com/office/drawing/2014/chart" uri="{C3380CC4-5D6E-409C-BE32-E72D297353CC}">
                <c16:uniqueId val="{00000008-92F8-46A0-A7D9-FE0F865F5C56}"/>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1-2283-49A7-99C0-0705FECD5261}"/>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3-2283-49A7-99C0-0705FECD5261}"/>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5-2283-49A7-99C0-0705FECD5261}"/>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F8-46A0-A7D9-FE0F865F5C56}"/>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92F8-46A0-A7D9-FE0F865F5C56}"/>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8-92F8-46A0-A7D9-FE0F865F5C56}"/>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2283-49A7-99C0-0705FECD5261}"/>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2283-49A7-99C0-0705FECD5261}"/>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2283-49A7-99C0-0705FECD5261}"/>
                </c:ext>
              </c:extLst>
            </c:dLbl>
            <c:numFmt formatCode="0%" sourceLinked="0"/>
            <c:spPr>
              <a:no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exploitation'!$F$38,'Synthèse exploitation'!$H$38,'Synthèse exploitation'!$J$38,'Synthèse exploitation'!$L$38,'Synthèse exploitation'!$N$38,'Synthèse exploitation'!$P$38)</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9-2283-49A7-99C0-0705FECD5261}"/>
            </c:ext>
          </c:extLst>
        </c:ser>
        <c:ser>
          <c:idx val="1"/>
          <c:order val="1"/>
          <c:tx>
            <c:v>Maxi</c:v>
          </c:tx>
          <c:spPr>
            <a:ln w="28575" cap="rnd">
              <a:solidFill>
                <a:schemeClr val="accent2"/>
              </a:solidFill>
              <a:round/>
            </a:ln>
            <a:effectLst/>
          </c:spPr>
          <c:marker>
            <c:symbol val="none"/>
          </c:marker>
          <c:dLbls>
            <c:dLbl>
              <c:idx val="0"/>
              <c:layout>
                <c:manualLayout>
                  <c:x val="-0.11929116625431375"/>
                  <c:y val="0"/>
                </c:manualLayout>
              </c:layout>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A0C5-4230-9979-A83AFDC4D43E}"/>
                </c:ext>
              </c:extLst>
            </c:dLbl>
            <c:dLbl>
              <c:idx val="1"/>
              <c:delete val="1"/>
              <c:extLst>
                <c:ext xmlns:c15="http://schemas.microsoft.com/office/drawing/2012/chart" uri="{CE6537A1-D6FC-4f65-9D91-7224C49458BB}"/>
                <c:ext xmlns:c16="http://schemas.microsoft.com/office/drawing/2014/chart" uri="{C3380CC4-5D6E-409C-BE32-E72D297353CC}">
                  <c16:uniqueId val="{00000010-8F4B-40BD-A155-AC4E1435E953}"/>
                </c:ext>
              </c:extLst>
            </c:dLbl>
            <c:dLbl>
              <c:idx val="2"/>
              <c:delete val="1"/>
              <c:extLst>
                <c:ext xmlns:c15="http://schemas.microsoft.com/office/drawing/2012/chart" uri="{CE6537A1-D6FC-4f65-9D91-7224C49458BB}"/>
                <c:ext xmlns:c16="http://schemas.microsoft.com/office/drawing/2014/chart" uri="{C3380CC4-5D6E-409C-BE32-E72D297353CC}">
                  <c16:uniqueId val="{0000000F-8F4B-40BD-A155-AC4E1435E953}"/>
                </c:ext>
              </c:extLst>
            </c:dLbl>
            <c:dLbl>
              <c:idx val="3"/>
              <c:delete val="1"/>
              <c:extLst>
                <c:ext xmlns:c15="http://schemas.microsoft.com/office/drawing/2012/chart" uri="{CE6537A1-D6FC-4f65-9D91-7224C49458BB}"/>
                <c:ext xmlns:c16="http://schemas.microsoft.com/office/drawing/2014/chart" uri="{C3380CC4-5D6E-409C-BE32-E72D297353CC}">
                  <c16:uniqueId val="{0000000E-8F4B-40BD-A155-AC4E1435E953}"/>
                </c:ext>
              </c:extLst>
            </c:dLbl>
            <c:dLbl>
              <c:idx val="4"/>
              <c:delete val="1"/>
              <c:extLst>
                <c:ext xmlns:c15="http://schemas.microsoft.com/office/drawing/2012/chart" uri="{CE6537A1-D6FC-4f65-9D91-7224C49458BB}"/>
                <c:ext xmlns:c16="http://schemas.microsoft.com/office/drawing/2014/chart" uri="{C3380CC4-5D6E-409C-BE32-E72D297353CC}">
                  <c16:uniqueId val="{0000000D-8F4B-40BD-A155-AC4E1435E953}"/>
                </c:ext>
              </c:extLst>
            </c:dLbl>
            <c:dLbl>
              <c:idx val="5"/>
              <c:delete val="1"/>
              <c:extLst>
                <c:ext xmlns:c15="http://schemas.microsoft.com/office/drawing/2012/chart" uri="{CE6537A1-D6FC-4f65-9D91-7224C49458BB}"/>
                <c:ext xmlns:c16="http://schemas.microsoft.com/office/drawing/2014/chart" uri="{C3380CC4-5D6E-409C-BE32-E72D297353CC}">
                  <c16:uniqueId val="{0000000C-8F4B-40BD-A155-AC4E1435E9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('Synthèse exploitation'!$F$34,'Synthèse exploitation'!$H$34,'Synthèse exploitation'!$J$34,'Synthèse exploitation'!$L$34,'Synthèse exploitation'!$N$34,'Synthèse exploitation'!$P$34)</c:f>
              <c:numCache>
                <c:formatCode>0.0%</c:formatCode>
                <c:ptCount val="6"/>
                <c:pt idx="0">
                  <c:v>0.8</c:v>
                </c:pt>
                <c:pt idx="1">
                  <c:v>0.8</c:v>
                </c:pt>
                <c:pt idx="2">
                  <c:v>0.8</c:v>
                </c:pt>
                <c:pt idx="3">
                  <c:v>0.8</c:v>
                </c:pt>
                <c:pt idx="4">
                  <c:v>0.8</c:v>
                </c:pt>
                <c:pt idx="5">
                  <c:v>0.8</c:v>
                </c:pt>
              </c:numCache>
            </c:numRef>
          </c:val>
          <c:smooth val="0"/>
          <c:extLst>
            <c:ext xmlns:c16="http://schemas.microsoft.com/office/drawing/2014/chart" uri="{C3380CC4-5D6E-409C-BE32-E72D297353CC}">
              <c16:uniqueId val="{0000000C-A0C5-4230-9979-A83AFDC4D43E}"/>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r>
              <a:rPr lang="en-US" sz="1050" b="1">
                <a:solidFill>
                  <a:schemeClr val="bg1"/>
                </a:solidFill>
              </a:rPr>
              <a:t>Taux d'évolution du</a:t>
            </a:r>
            <a:r>
              <a:rPr lang="en-US" sz="1050" b="1" baseline="0">
                <a:solidFill>
                  <a:schemeClr val="bg1"/>
                </a:solidFill>
              </a:rPr>
              <a:t> chiffre d'affaires</a:t>
            </a:r>
            <a:endParaRPr lang="en-US" sz="1050" b="1">
              <a:solidFill>
                <a:schemeClr val="bg1"/>
              </a:solidFill>
            </a:endParaRP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tx2">
                <a:lumMod val="60000"/>
                <a:lumOff val="40000"/>
              </a:schemeClr>
            </a:solidFill>
            <a:ln>
              <a:noFill/>
            </a:ln>
            <a:effectLst/>
          </c:spPr>
          <c:invertIfNegative val="0"/>
          <c:dPt>
            <c:idx val="0"/>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1-896E-489C-B19C-217C80CAB878}"/>
              </c:ext>
            </c:extLst>
          </c:dPt>
          <c:dPt>
            <c:idx val="1"/>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3-896E-489C-B19C-217C80CAB878}"/>
              </c:ext>
            </c:extLst>
          </c:dPt>
          <c:dPt>
            <c:idx val="2"/>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5-896E-489C-B19C-217C80CAB878}"/>
              </c:ext>
            </c:extLst>
          </c:dPt>
          <c:dPt>
            <c:idx val="3"/>
            <c:invertIfNegative val="0"/>
            <c:bubble3D val="0"/>
            <c:spPr>
              <a:solidFill>
                <a:schemeClr val="accent5">
                  <a:lumMod val="75000"/>
                </a:schemeClr>
              </a:solidFill>
              <a:ln>
                <a:solidFill>
                  <a:schemeClr val="bg1"/>
                </a:solidFill>
              </a:ln>
              <a:effectLst/>
              <a:sp3d/>
            </c:spPr>
            <c:extLst>
              <c:ext xmlns:c16="http://schemas.microsoft.com/office/drawing/2014/chart" uri="{C3380CC4-5D6E-409C-BE32-E72D297353CC}">
                <c16:uniqueId val="{00000007-896E-489C-B19C-217C80CAB878}"/>
              </c:ext>
            </c:extLst>
          </c:dPt>
          <c:dPt>
            <c:idx val="4"/>
            <c:invertIfNegative val="0"/>
            <c:bubble3D val="0"/>
            <c:spPr>
              <a:solidFill>
                <a:schemeClr val="accent5">
                  <a:lumMod val="75000"/>
                </a:schemeClr>
              </a:solidFill>
              <a:ln>
                <a:solidFill>
                  <a:schemeClr val="bg1"/>
                </a:solidFill>
              </a:ln>
              <a:effectLst/>
              <a:sp3d/>
            </c:spPr>
            <c:extLst>
              <c:ext xmlns:c16="http://schemas.microsoft.com/office/drawing/2014/chart" uri="{C3380CC4-5D6E-409C-BE32-E72D297353CC}">
                <c16:uniqueId val="{00000009-896E-489C-B19C-217C80CAB878}"/>
              </c:ext>
            </c:extLst>
          </c:dPt>
          <c:dPt>
            <c:idx val="5"/>
            <c:invertIfNegative val="0"/>
            <c:bubble3D val="0"/>
            <c:spPr>
              <a:solidFill>
                <a:schemeClr val="accent5">
                  <a:lumMod val="75000"/>
                </a:schemeClr>
              </a:solidFill>
              <a:ln>
                <a:solidFill>
                  <a:schemeClr val="bg1"/>
                </a:solidFill>
              </a:ln>
              <a:effectLst/>
              <a:sp3d/>
            </c:spPr>
            <c:extLst>
              <c:ext xmlns:c16="http://schemas.microsoft.com/office/drawing/2014/chart" uri="{C3380CC4-5D6E-409C-BE32-E72D297353CC}">
                <c16:uniqueId val="{0000000B-896E-489C-B19C-217C80CAB878}"/>
              </c:ext>
            </c:extLst>
          </c:dPt>
          <c:dLbls>
            <c:dLbl>
              <c:idx val="0"/>
              <c:spPr>
                <a:solidFill>
                  <a:schemeClr val="accent1">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6E-489C-B19C-217C80CAB878}"/>
                </c:ext>
              </c:extLst>
            </c:dLbl>
            <c:dLbl>
              <c:idx val="1"/>
              <c:spPr>
                <a:solidFill>
                  <a:schemeClr val="accent1">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E-489C-B19C-217C80CAB878}"/>
                </c:ext>
              </c:extLst>
            </c:dLbl>
            <c:dLbl>
              <c:idx val="2"/>
              <c:spPr>
                <a:solidFill>
                  <a:schemeClr val="accent1">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E-489C-B19C-217C80CAB878}"/>
                </c:ext>
              </c:extLst>
            </c:dLbl>
            <c:dLbl>
              <c:idx val="3"/>
              <c:spPr>
                <a:solidFill>
                  <a:schemeClr val="accent5">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6E-489C-B19C-217C80CAB878}"/>
                </c:ext>
              </c:extLst>
            </c:dLbl>
            <c:dLbl>
              <c:idx val="4"/>
              <c:spPr>
                <a:solidFill>
                  <a:schemeClr val="accent5">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6E-489C-B19C-217C80CAB878}"/>
                </c:ext>
              </c:extLst>
            </c:dLbl>
            <c:dLbl>
              <c:idx val="5"/>
              <c:spPr>
                <a:solidFill>
                  <a:schemeClr val="accent5">
                    <a:lumMod val="75000"/>
                  </a:schemeClr>
                </a:solidFill>
                <a:ln>
                  <a:solidFill>
                    <a:schemeClr val="bg1"/>
                  </a:solidFill>
                </a:ln>
                <a:effectLst/>
              </c:spPr>
              <c:txPr>
                <a:bodyPr rot="0" spcFirstLastPara="1" vertOverflow="ellipsis" vert="horz" wrap="square" lIns="38100" tIns="19050" rIns="38100" bIns="19050" anchor="t" anchorCtr="1">
                  <a:spAutoFit/>
                </a:bodyPr>
                <a:lstStyle/>
                <a:p>
                  <a:pPr>
                    <a:defRPr sz="1000" b="1" i="1"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6E-489C-B19C-217C80CAB878}"/>
                </c:ext>
              </c:extLst>
            </c:dLbl>
            <c:spPr>
              <a:noFill/>
              <a:ln>
                <a:solidFill>
                  <a:schemeClr val="bg1"/>
                </a:solidFill>
              </a:ln>
              <a:effectLst/>
            </c:spPr>
            <c:txPr>
              <a:bodyPr rot="0" spcFirstLastPara="1" vertOverflow="ellipsis" vert="horz" wrap="square" lIns="38100" tIns="19050" rIns="38100" bIns="19050" anchor="t" anchorCtr="1">
                <a:spAutoFit/>
              </a:bodyPr>
              <a:lstStyle/>
              <a:p>
                <a:pPr>
                  <a:defRPr sz="1000" b="1" i="0" u="none" strike="noStrike" kern="1200" baseline="0">
                    <a:solidFill>
                      <a:srgbClr val="666699"/>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exploitation'!$F$15,'Synthèse exploitation'!$H$15,'Synthèse exploitation'!$J$15,'Synthèse exploitation'!$L$15,'Synthèse exploitation'!$N$15,'Synthèse exploitation'!$P$15)</c:f>
              <c:numCache>
                <c:formatCode>\+\ 0.0%;\-\ 0.0%" ";0.0%"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96E-489C-B19C-217C80CAB878}"/>
            </c:ext>
          </c:extLst>
        </c:ser>
        <c:dLbls>
          <c:showLegendKey val="0"/>
          <c:showVal val="0"/>
          <c:showCatName val="0"/>
          <c:showSerName val="0"/>
          <c:showPercent val="0"/>
          <c:showBubbleSize val="0"/>
        </c:dLbls>
        <c:gapWidth val="150"/>
        <c:axId val="171786344"/>
        <c:axId val="171786736"/>
      </c:barChart>
      <c:catAx>
        <c:axId val="171786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1786736"/>
        <c:crosses val="autoZero"/>
        <c:auto val="1"/>
        <c:lblAlgn val="ctr"/>
        <c:lblOffset val="100"/>
        <c:noMultiLvlLbl val="0"/>
      </c:catAx>
      <c:valAx>
        <c:axId val="171786736"/>
        <c:scaling>
          <c:orientation val="minMax"/>
        </c:scaling>
        <c:delete val="1"/>
        <c:axPos val="l"/>
        <c:majorGridlines>
          <c:spPr>
            <a:ln w="9525" cap="flat" cmpd="sng" algn="ctr">
              <a:solidFill>
                <a:schemeClr val="tx1">
                  <a:lumMod val="15000"/>
                  <a:lumOff val="85000"/>
                </a:schemeClr>
              </a:solidFill>
              <a:round/>
            </a:ln>
            <a:effectLst/>
          </c:spPr>
        </c:majorGridlines>
        <c:numFmt formatCode="\+\ 0.0%;\-\ 0.0%&quot; &quot;;0.0%&quot; &quot;" sourceLinked="1"/>
        <c:majorTickMark val="none"/>
        <c:minorTickMark val="none"/>
        <c:tickLblPos val="none"/>
        <c:crossAx val="171786344"/>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r>
              <a:rPr lang="en-US" sz="1050" b="1" baseline="0">
                <a:solidFill>
                  <a:schemeClr val="bg1"/>
                </a:solidFill>
              </a:rPr>
              <a:t>Chiffre d'affaires -</a:t>
            </a:r>
            <a:r>
              <a:rPr lang="en-US" sz="1050" b="1">
                <a:solidFill>
                  <a:schemeClr val="bg1"/>
                </a:solidFill>
              </a:rPr>
              <a:t> </a:t>
            </a:r>
            <a:r>
              <a:rPr lang="en-US" sz="1050" b="1" baseline="0">
                <a:solidFill>
                  <a:schemeClr val="bg1"/>
                </a:solidFill>
              </a:rPr>
              <a:t>Point mort</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bg1"/>
              </a:solidFill>
              <a:latin typeface="+mn-lt"/>
              <a:ea typeface="+mn-ea"/>
              <a:cs typeface="+mn-cs"/>
            </a:defRPr>
          </a:pPr>
          <a:endParaRPr lang="fr-FR"/>
        </a:p>
      </c:txPr>
    </c:title>
    <c:autoTitleDeleted val="0"/>
    <c:plotArea>
      <c:layout/>
      <c:barChart>
        <c:barDir val="col"/>
        <c:grouping val="clustered"/>
        <c:varyColors val="0"/>
        <c:ser>
          <c:idx val="0"/>
          <c:order val="0"/>
          <c:tx>
            <c:v>CA</c:v>
          </c:tx>
          <c:spPr>
            <a:solidFill>
              <a:schemeClr val="accent5">
                <a:lumMod val="75000"/>
              </a:schemeClr>
            </a:solidFill>
            <a:ln>
              <a:solidFill>
                <a:schemeClr val="bg1"/>
              </a:solidFill>
            </a:ln>
            <a:effectLst/>
          </c:spPr>
          <c:invertIfNegative val="0"/>
          <c:dPt>
            <c:idx val="0"/>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1-13AE-4D4D-8074-BBB51A468425}"/>
              </c:ext>
            </c:extLst>
          </c:dPt>
          <c:dPt>
            <c:idx val="1"/>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3-13AE-4D4D-8074-BBB51A468425}"/>
              </c:ext>
            </c:extLst>
          </c:dPt>
          <c:dPt>
            <c:idx val="2"/>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5-13AE-4D4D-8074-BBB51A46842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ctr"/>
            <c:showLegendKey val="0"/>
            <c:showVal val="0"/>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'Synthèse exploitation'!$S$6:$X$6</c:f>
              <c:strCache>
                <c:ptCount val="6"/>
                <c:pt idx="0">
                  <c:v> </c:v>
                </c:pt>
                <c:pt idx="1">
                  <c:v> </c:v>
                </c:pt>
                <c:pt idx="2">
                  <c:v> </c:v>
                </c:pt>
                <c:pt idx="3">
                  <c:v> </c:v>
                </c:pt>
                <c:pt idx="4">
                  <c:v> </c:v>
                </c:pt>
                <c:pt idx="5">
                  <c:v> </c:v>
                </c:pt>
              </c:strCache>
            </c:strRef>
          </c:cat>
          <c:val>
            <c:numRef>
              <c:f>'Synthèse exploitation'!$S$7:$X$7</c:f>
              <c:numCache>
                <c:formatCode>#\ ##0" K€"</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13AE-4D4D-8074-BBB51A468425}"/>
            </c:ext>
          </c:extLst>
        </c:ser>
        <c:ser>
          <c:idx val="1"/>
          <c:order val="1"/>
          <c:tx>
            <c:v>PM</c:v>
          </c:tx>
          <c:spPr>
            <a:solidFill>
              <a:srgbClr val="FFCC00"/>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6">
                        <a:lumMod val="50000"/>
                      </a:schemeClr>
                    </a:solidFill>
                    <a:latin typeface="+mn-lt"/>
                    <a:ea typeface="+mn-ea"/>
                    <a:cs typeface="+mn-cs"/>
                  </a:defRPr>
                </a:pPr>
                <a:endParaRPr lang="fr-FR"/>
              </a:p>
            </c:txPr>
            <c:dLblPos val="ctr"/>
            <c:showLegendKey val="0"/>
            <c:showVal val="0"/>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exploitation'!$S$6:$X$6</c:f>
              <c:strCache>
                <c:ptCount val="6"/>
                <c:pt idx="0">
                  <c:v> </c:v>
                </c:pt>
                <c:pt idx="1">
                  <c:v> </c:v>
                </c:pt>
                <c:pt idx="2">
                  <c:v> </c:v>
                </c:pt>
                <c:pt idx="3">
                  <c:v> </c:v>
                </c:pt>
                <c:pt idx="4">
                  <c:v> </c:v>
                </c:pt>
                <c:pt idx="5">
                  <c:v> </c:v>
                </c:pt>
              </c:strCache>
            </c:strRef>
          </c:cat>
          <c:val>
            <c:numRef>
              <c:f>'Synthèse exploitation'!$S$8:$X$8</c:f>
              <c:numCache>
                <c:formatCode>#\ ##0" K€"</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13AE-4D4D-8074-BBB51A468425}"/>
            </c:ext>
          </c:extLst>
        </c:ser>
        <c:dLbls>
          <c:showLegendKey val="0"/>
          <c:showVal val="0"/>
          <c:showCatName val="0"/>
          <c:showSerName val="0"/>
          <c:showPercent val="0"/>
          <c:showBubbleSize val="0"/>
        </c:dLbls>
        <c:gapWidth val="11"/>
        <c:overlap val="-5"/>
        <c:axId val="195116592"/>
        <c:axId val="195116984"/>
      </c:barChart>
      <c:catAx>
        <c:axId val="19511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95116984"/>
        <c:crosses val="autoZero"/>
        <c:auto val="1"/>
        <c:lblAlgn val="ctr"/>
        <c:lblOffset val="100"/>
        <c:noMultiLvlLbl val="0"/>
      </c:catAx>
      <c:valAx>
        <c:axId val="195116984"/>
        <c:scaling>
          <c:orientation val="minMax"/>
        </c:scaling>
        <c:delete val="1"/>
        <c:axPos val="l"/>
        <c:majorGridlines>
          <c:spPr>
            <a:ln w="9525" cap="flat" cmpd="sng" algn="ctr">
              <a:solidFill>
                <a:schemeClr val="tx1">
                  <a:lumMod val="15000"/>
                  <a:lumOff val="85000"/>
                </a:schemeClr>
              </a:solidFill>
              <a:round/>
            </a:ln>
            <a:effectLst/>
          </c:spPr>
        </c:majorGridlines>
        <c:numFmt formatCode="#\ ##0&quot; K€&quot;" sourceLinked="1"/>
        <c:majorTickMark val="none"/>
        <c:minorTickMark val="none"/>
        <c:tickLblPos val="none"/>
        <c:crossAx val="195116592"/>
        <c:crosses val="autoZero"/>
        <c:crossBetween val="between"/>
      </c:valAx>
      <c:spPr>
        <a:noFill/>
        <a:ln>
          <a:noFill/>
        </a:ln>
        <a:effectLst/>
      </c:spPr>
    </c:plotArea>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Taux de marge brute</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1-98DE-4727-BCCE-A4C071185679}"/>
              </c:ext>
            </c:extLst>
          </c:dPt>
          <c:dPt>
            <c:idx val="1"/>
            <c:bubble3D val="0"/>
            <c:spPr>
              <a:ln w="44450" cap="rnd">
                <a:solidFill>
                  <a:srgbClr val="0000CC"/>
                </a:solidFill>
                <a:round/>
              </a:ln>
              <a:effectLst/>
            </c:spPr>
            <c:extLst>
              <c:ext xmlns:c16="http://schemas.microsoft.com/office/drawing/2014/chart" uri="{C3380CC4-5D6E-409C-BE32-E72D297353CC}">
                <c16:uniqueId val="{00000003-98DE-4727-BCCE-A4C071185679}"/>
              </c:ext>
            </c:extLst>
          </c:dPt>
          <c:dPt>
            <c:idx val="2"/>
            <c:bubble3D val="0"/>
            <c:spPr>
              <a:ln w="44450" cap="rnd">
                <a:solidFill>
                  <a:srgbClr val="0000CC"/>
                </a:solidFill>
                <a:round/>
              </a:ln>
              <a:effectLst/>
            </c:spPr>
            <c:extLst>
              <c:ext xmlns:c16="http://schemas.microsoft.com/office/drawing/2014/chart" uri="{C3380CC4-5D6E-409C-BE32-E72D297353CC}">
                <c16:uniqueId val="{00000005-98DE-4727-BCCE-A4C071185679}"/>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7-98DE-4727-BCCE-A4C071185679}"/>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9-98DE-4727-BCCE-A4C071185679}"/>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B-98DE-4727-BCCE-A4C071185679}"/>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98DE-4727-BCCE-A4C071185679}"/>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98DE-4727-BCCE-A4C071185679}"/>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98DE-4727-BCCE-A4C071185679}"/>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98DE-4727-BCCE-A4C071185679}"/>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9-98DE-4727-BCCE-A4C071185679}"/>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B-98DE-4727-BCCE-A4C071185679}"/>
                </c:ext>
              </c:extLst>
            </c:dLbl>
            <c:numFmt formatCode="0%" sourceLinked="0"/>
            <c:spPr>
              <a:no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exploitation'!$F$38,'Synthèse exploitation'!$H$38,'Synthèse exploitation'!$J$38,'Synthèse exploitation'!$L$38,'Synthèse exploitation'!$N$38,'Synthèse exploitation'!$P$38)</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98DE-4727-BCCE-A4C071185679}"/>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Taux de marge brute d'exploitation</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1-CE7D-4917-8DD0-82FED1FEEF86}"/>
              </c:ext>
            </c:extLst>
          </c:dPt>
          <c:dPt>
            <c:idx val="1"/>
            <c:bubble3D val="0"/>
            <c:spPr>
              <a:ln w="44450" cap="rnd">
                <a:solidFill>
                  <a:srgbClr val="0000CC"/>
                </a:solidFill>
                <a:round/>
              </a:ln>
              <a:effectLst/>
            </c:spPr>
            <c:extLst>
              <c:ext xmlns:c16="http://schemas.microsoft.com/office/drawing/2014/chart" uri="{C3380CC4-5D6E-409C-BE32-E72D297353CC}">
                <c16:uniqueId val="{00000003-CE7D-4917-8DD0-82FED1FEEF86}"/>
              </c:ext>
            </c:extLst>
          </c:dPt>
          <c:dPt>
            <c:idx val="2"/>
            <c:bubble3D val="0"/>
            <c:spPr>
              <a:ln w="44450" cap="rnd">
                <a:solidFill>
                  <a:srgbClr val="0000CC"/>
                </a:solidFill>
                <a:round/>
              </a:ln>
              <a:effectLst/>
            </c:spPr>
            <c:extLst>
              <c:ext xmlns:c16="http://schemas.microsoft.com/office/drawing/2014/chart" uri="{C3380CC4-5D6E-409C-BE32-E72D297353CC}">
                <c16:uniqueId val="{00000005-CE7D-4917-8DD0-82FED1FEEF86}"/>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7-CE7D-4917-8DD0-82FED1FEEF86}"/>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9-CE7D-4917-8DD0-82FED1FEEF86}"/>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B-CE7D-4917-8DD0-82FED1FEEF86}"/>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CE7D-4917-8DD0-82FED1FEEF86}"/>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CE7D-4917-8DD0-82FED1FEEF86}"/>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CE7D-4917-8DD0-82FED1FEEF86}"/>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CE7D-4917-8DD0-82FED1FEEF86}"/>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9-CE7D-4917-8DD0-82FED1FEEF86}"/>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0">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B-CE7D-4917-8DD0-82FED1FEEF86}"/>
                </c:ext>
              </c:extLst>
            </c:dLbl>
            <c:numFmt formatCode="0%" sourceLinked="0"/>
            <c:spPr>
              <a:noFill/>
              <a:ln>
                <a:solidFill>
                  <a:schemeClr val="bg1"/>
                </a:solidFill>
              </a:ln>
              <a:effectLst/>
            </c:spPr>
            <c:txPr>
              <a:bodyPr rot="0" spcFirstLastPara="1" vertOverflow="ellipsis" vert="horz" wrap="square" lIns="38100" tIns="19050" rIns="38100" bIns="19050" anchor="ctr" anchorCtr="0">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exploitation'!$F$45,'Synthèse exploitation'!$H$45,'Synthèse exploitation'!$J$45,'Synthèse exploitation'!$L$45,'Synthèse exploitation'!$N$45,'Synthèse exploitation'!$P$45)</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CE7D-4917-8DD0-82FED1FEEF86}"/>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1"/>
        <c:axPos val="b"/>
        <c:numFmt formatCode="General" sourceLinked="1"/>
        <c:majorTickMark val="none"/>
        <c:minorTickMark val="none"/>
        <c:tickLblPos val="nextTo"/>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Fonds propres</c:v>
          </c:tx>
          <c:spPr>
            <a:solidFill>
              <a:schemeClr val="accent1"/>
            </a:solidFill>
            <a:ln>
              <a:noFill/>
            </a:ln>
            <a:effectLst/>
          </c:spPr>
          <c:invertIfNegative val="0"/>
          <c:dPt>
            <c:idx val="0"/>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0C-845D-4112-AE00-93B0E47E7A80}"/>
              </c:ext>
            </c:extLst>
          </c:dPt>
          <c:dPt>
            <c:idx val="1"/>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10-845D-4112-AE00-93B0E47E7A80}"/>
              </c:ext>
            </c:extLst>
          </c:dPt>
          <c:dPt>
            <c:idx val="2"/>
            <c:invertIfNegative val="0"/>
            <c:bubble3D val="0"/>
            <c:spPr>
              <a:solidFill>
                <a:schemeClr val="accent1">
                  <a:lumMod val="75000"/>
                </a:schemeClr>
              </a:solidFill>
              <a:ln>
                <a:solidFill>
                  <a:schemeClr val="bg1"/>
                </a:solidFill>
              </a:ln>
              <a:effectLst/>
            </c:spPr>
            <c:extLst>
              <c:ext xmlns:c16="http://schemas.microsoft.com/office/drawing/2014/chart" uri="{C3380CC4-5D6E-409C-BE32-E72D297353CC}">
                <c16:uniqueId val="{00000011-845D-4112-AE00-93B0E47E7A80}"/>
              </c:ext>
            </c:extLst>
          </c:dPt>
          <c:dPt>
            <c:idx val="3"/>
            <c:invertIfNegative val="0"/>
            <c:bubble3D val="0"/>
            <c:spPr>
              <a:solidFill>
                <a:schemeClr val="accent1"/>
              </a:solidFill>
              <a:ln>
                <a:solidFill>
                  <a:schemeClr val="bg1"/>
                </a:solidFill>
              </a:ln>
              <a:effectLst/>
            </c:spPr>
            <c:extLst>
              <c:ext xmlns:c16="http://schemas.microsoft.com/office/drawing/2014/chart" uri="{C3380CC4-5D6E-409C-BE32-E72D297353CC}">
                <c16:uniqueId val="{00000001-6149-45F2-B923-3D9C8DDB05FA}"/>
              </c:ext>
            </c:extLst>
          </c:dPt>
          <c:dPt>
            <c:idx val="4"/>
            <c:invertIfNegative val="0"/>
            <c:bubble3D val="0"/>
            <c:spPr>
              <a:solidFill>
                <a:schemeClr val="accent1"/>
              </a:solidFill>
              <a:ln>
                <a:solidFill>
                  <a:schemeClr val="bg1"/>
                </a:solidFill>
              </a:ln>
              <a:effectLst/>
            </c:spPr>
            <c:extLst>
              <c:ext xmlns:c16="http://schemas.microsoft.com/office/drawing/2014/chart" uri="{C3380CC4-5D6E-409C-BE32-E72D297353CC}">
                <c16:uniqueId val="{00000003-6149-45F2-B923-3D9C8DDB05FA}"/>
              </c:ext>
            </c:extLst>
          </c:dPt>
          <c:dPt>
            <c:idx val="5"/>
            <c:invertIfNegative val="0"/>
            <c:bubble3D val="0"/>
            <c:spPr>
              <a:solidFill>
                <a:schemeClr val="accent1"/>
              </a:solidFill>
              <a:ln>
                <a:solidFill>
                  <a:schemeClr val="bg1"/>
                </a:solidFill>
              </a:ln>
              <a:effectLst/>
            </c:spPr>
            <c:extLst>
              <c:ext xmlns:c16="http://schemas.microsoft.com/office/drawing/2014/chart" uri="{C3380CC4-5D6E-409C-BE32-E72D297353CC}">
                <c16:uniqueId val="{00000005-6149-45F2-B923-3D9C8DDB05FA}"/>
              </c:ext>
            </c:extLst>
          </c:dPt>
          <c:cat>
            <c:strRef>
              <c:f>('Synthèse structure financière'!$G$7,'Synthèse structure financière'!$I$7,'Synthèse structure financière'!$K$7,'Synthèse structure financière'!$M$7,'Synthèse structure financière'!$O$7,'Synthèse structure financière'!$Q$7)</c:f>
              <c:strCache>
                <c:ptCount val="6"/>
                <c:pt idx="0">
                  <c:v> </c:v>
                </c:pt>
                <c:pt idx="1">
                  <c:v> </c:v>
                </c:pt>
                <c:pt idx="2">
                  <c:v> </c:v>
                </c:pt>
                <c:pt idx="3">
                  <c:v> </c:v>
                </c:pt>
                <c:pt idx="4">
                  <c:v> </c:v>
                </c:pt>
                <c:pt idx="5">
                  <c:v> </c:v>
                </c:pt>
              </c:strCache>
            </c:strRef>
          </c:cat>
          <c:val>
            <c:numRef>
              <c:f>('Synthèse structure financière'!$G$13,'Synthèse structure financière'!$I$13,'Synthèse structure financière'!$K$13,'Synthèse structure financière'!$M$13,'Synthèse structure financière'!$O$13,'Synthèse structure financière'!$Q$13)</c:f>
              <c:numCache>
                <c:formatCode>#\ ##0"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6149-45F2-B923-3D9C8DDB05FA}"/>
            </c:ext>
          </c:extLst>
        </c:ser>
        <c:ser>
          <c:idx val="1"/>
          <c:order val="1"/>
          <c:tx>
            <c:v>Endettement financier</c:v>
          </c:tx>
          <c:spPr>
            <a:solidFill>
              <a:schemeClr val="accent2">
                <a:lumMod val="60000"/>
                <a:lumOff val="40000"/>
              </a:schemeClr>
            </a:solidFill>
            <a:ln>
              <a:noFill/>
            </a:ln>
            <a:effectLst/>
          </c:spPr>
          <c:invertIfNegative val="0"/>
          <c:dPt>
            <c:idx val="0"/>
            <c:invertIfNegative val="0"/>
            <c:bubble3D val="0"/>
            <c:spPr>
              <a:solidFill>
                <a:schemeClr val="accent2"/>
              </a:solidFill>
              <a:ln>
                <a:solidFill>
                  <a:schemeClr val="bg1"/>
                </a:solidFill>
              </a:ln>
              <a:effectLst/>
            </c:spPr>
            <c:extLst>
              <c:ext xmlns:c16="http://schemas.microsoft.com/office/drawing/2014/chart" uri="{C3380CC4-5D6E-409C-BE32-E72D297353CC}">
                <c16:uniqueId val="{0000000D-845D-4112-AE00-93B0E47E7A80}"/>
              </c:ext>
            </c:extLst>
          </c:dPt>
          <c:dPt>
            <c:idx val="1"/>
            <c:invertIfNegative val="0"/>
            <c:bubble3D val="0"/>
            <c:spPr>
              <a:solidFill>
                <a:schemeClr val="accent2"/>
              </a:solidFill>
              <a:ln>
                <a:solidFill>
                  <a:schemeClr val="bg1"/>
                </a:solidFill>
              </a:ln>
              <a:effectLst/>
            </c:spPr>
            <c:extLst>
              <c:ext xmlns:c16="http://schemas.microsoft.com/office/drawing/2014/chart" uri="{C3380CC4-5D6E-409C-BE32-E72D297353CC}">
                <c16:uniqueId val="{0000000E-845D-4112-AE00-93B0E47E7A80}"/>
              </c:ext>
            </c:extLst>
          </c:dPt>
          <c:dPt>
            <c:idx val="2"/>
            <c:invertIfNegative val="0"/>
            <c:bubble3D val="0"/>
            <c:spPr>
              <a:solidFill>
                <a:schemeClr val="accent2"/>
              </a:solidFill>
              <a:ln>
                <a:solidFill>
                  <a:schemeClr val="bg1"/>
                </a:solidFill>
              </a:ln>
              <a:effectLst/>
            </c:spPr>
            <c:extLst>
              <c:ext xmlns:c16="http://schemas.microsoft.com/office/drawing/2014/chart" uri="{C3380CC4-5D6E-409C-BE32-E72D297353CC}">
                <c16:uniqueId val="{0000000F-845D-4112-AE00-93B0E47E7A80}"/>
              </c:ext>
            </c:extLst>
          </c:dPt>
          <c:dPt>
            <c:idx val="3"/>
            <c:invertIfNegative val="0"/>
            <c:bubble3D val="0"/>
            <c:spPr>
              <a:solidFill>
                <a:schemeClr val="accent2">
                  <a:lumMod val="60000"/>
                  <a:lumOff val="40000"/>
                </a:schemeClr>
              </a:solidFill>
              <a:ln>
                <a:solidFill>
                  <a:schemeClr val="bg1"/>
                </a:solidFill>
              </a:ln>
              <a:effectLst/>
            </c:spPr>
            <c:extLst>
              <c:ext xmlns:c16="http://schemas.microsoft.com/office/drawing/2014/chart" uri="{C3380CC4-5D6E-409C-BE32-E72D297353CC}">
                <c16:uniqueId val="{00000008-6149-45F2-B923-3D9C8DDB05FA}"/>
              </c:ext>
            </c:extLst>
          </c:dPt>
          <c:dPt>
            <c:idx val="4"/>
            <c:invertIfNegative val="0"/>
            <c:bubble3D val="0"/>
            <c:spPr>
              <a:solidFill>
                <a:schemeClr val="accent2">
                  <a:lumMod val="60000"/>
                  <a:lumOff val="40000"/>
                </a:schemeClr>
              </a:solidFill>
              <a:ln>
                <a:solidFill>
                  <a:schemeClr val="bg1"/>
                </a:solidFill>
              </a:ln>
              <a:effectLst/>
            </c:spPr>
            <c:extLst>
              <c:ext xmlns:c16="http://schemas.microsoft.com/office/drawing/2014/chart" uri="{C3380CC4-5D6E-409C-BE32-E72D297353CC}">
                <c16:uniqueId val="{0000000A-6149-45F2-B923-3D9C8DDB05FA}"/>
              </c:ext>
            </c:extLst>
          </c:dPt>
          <c:dPt>
            <c:idx val="5"/>
            <c:invertIfNegative val="0"/>
            <c:bubble3D val="0"/>
            <c:spPr>
              <a:solidFill>
                <a:schemeClr val="accent2">
                  <a:lumMod val="60000"/>
                  <a:lumOff val="40000"/>
                </a:schemeClr>
              </a:solidFill>
              <a:ln>
                <a:solidFill>
                  <a:schemeClr val="bg1"/>
                </a:solidFill>
              </a:ln>
              <a:effectLst/>
            </c:spPr>
            <c:extLst>
              <c:ext xmlns:c16="http://schemas.microsoft.com/office/drawing/2014/chart" uri="{C3380CC4-5D6E-409C-BE32-E72D297353CC}">
                <c16:uniqueId val="{0000000C-6149-45F2-B923-3D9C8DDB05FA}"/>
              </c:ext>
            </c:extLst>
          </c:dPt>
          <c:cat>
            <c:strRef>
              <c:f>('Synthèse structure financière'!$G$7,'Synthèse structure financière'!$I$7,'Synthèse structure financière'!$K$7,'Synthèse structure financière'!$M$7,'Synthèse structure financière'!$O$7,'Synthèse structure financière'!$Q$7)</c:f>
              <c:strCache>
                <c:ptCount val="6"/>
                <c:pt idx="0">
                  <c:v> </c:v>
                </c:pt>
                <c:pt idx="1">
                  <c:v> </c:v>
                </c:pt>
                <c:pt idx="2">
                  <c:v> </c:v>
                </c:pt>
                <c:pt idx="3">
                  <c:v> </c:v>
                </c:pt>
                <c:pt idx="4">
                  <c:v> </c:v>
                </c:pt>
                <c:pt idx="5">
                  <c:v> </c:v>
                </c:pt>
              </c:strCache>
            </c:strRef>
          </c:cat>
          <c:val>
            <c:numRef>
              <c:f>('Synthèse structure financière'!$G$14,'Synthèse structure financière'!$I$14,'Synthèse structure financière'!$K$14,'Synthèse structure financière'!$M$14,'Synthèse structure financière'!$O$14,'Synthèse structure financière'!$Q$14)</c:f>
              <c:numCache>
                <c:formatCode>#\ ##0"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6149-45F2-B923-3D9C8DDB05FA}"/>
            </c:ext>
          </c:extLst>
        </c:ser>
        <c:dLbls>
          <c:showLegendKey val="0"/>
          <c:showVal val="0"/>
          <c:showCatName val="0"/>
          <c:showSerName val="0"/>
          <c:showPercent val="0"/>
          <c:showBubbleSize val="0"/>
        </c:dLbls>
        <c:gapWidth val="100"/>
        <c:axId val="171784776"/>
        <c:axId val="195117768"/>
      </c:barChart>
      <c:catAx>
        <c:axId val="17178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2060"/>
                </a:solidFill>
                <a:latin typeface="+mn-lt"/>
                <a:ea typeface="+mn-ea"/>
                <a:cs typeface="+mn-cs"/>
              </a:defRPr>
            </a:pPr>
            <a:endParaRPr lang="fr-FR"/>
          </a:p>
        </c:txPr>
        <c:crossAx val="195117768"/>
        <c:crosses val="autoZero"/>
        <c:auto val="1"/>
        <c:lblAlgn val="ctr"/>
        <c:lblOffset val="100"/>
        <c:noMultiLvlLbl val="0"/>
      </c:catAx>
      <c:valAx>
        <c:axId val="195117768"/>
        <c:scaling>
          <c:orientation val="minMax"/>
        </c:scaling>
        <c:delete val="1"/>
        <c:axPos val="l"/>
        <c:majorGridlines>
          <c:spPr>
            <a:ln w="9525" cap="flat" cmpd="sng" algn="ctr">
              <a:solidFill>
                <a:schemeClr val="tx1">
                  <a:lumMod val="15000"/>
                  <a:lumOff val="85000"/>
                </a:schemeClr>
              </a:solidFill>
              <a:round/>
            </a:ln>
            <a:effectLst/>
          </c:spPr>
        </c:majorGridlines>
        <c:numFmt formatCode="#\ ##0&quot; &quot;" sourceLinked="1"/>
        <c:majorTickMark val="none"/>
        <c:minorTickMark val="none"/>
        <c:tickLblPos val="none"/>
        <c:crossAx val="171784776"/>
        <c:crosses val="autoZero"/>
        <c:crossBetween val="between"/>
      </c:valAx>
      <c:spPr>
        <a:solidFill>
          <a:schemeClr val="bg1">
            <a:lumMod val="75000"/>
          </a:schemeClr>
        </a:solidFill>
        <a:ln>
          <a:noFill/>
        </a:ln>
        <a:effectLst/>
      </c:spPr>
    </c:plotArea>
    <c:legend>
      <c:legendPos val="b"/>
      <c:legendEntry>
        <c:idx val="0"/>
        <c:txPr>
          <a:bodyPr rot="0" spcFirstLastPara="1" vertOverflow="ellipsis" vert="horz" wrap="square" anchor="ctr" anchorCtr="1"/>
          <a:lstStyle/>
          <a:p>
            <a:pPr>
              <a:defRPr sz="1000" b="1" i="0" u="none" strike="noStrike" kern="1200" baseline="0">
                <a:solidFill>
                  <a:srgbClr val="7030A0"/>
                </a:solidFill>
                <a:latin typeface="+mn-lt"/>
                <a:ea typeface="+mn-ea"/>
                <a:cs typeface="+mn-cs"/>
              </a:defRPr>
            </a:pPr>
            <a:endParaRPr lang="fr-FR"/>
          </a:p>
        </c:txPr>
      </c:legendEntry>
      <c:legendEntry>
        <c:idx val="1"/>
        <c:txPr>
          <a:bodyPr rot="0" spcFirstLastPara="1" vertOverflow="ellipsis" vert="horz" wrap="square" anchor="ctr" anchorCtr="1"/>
          <a:lstStyle/>
          <a:p>
            <a:pPr>
              <a:defRPr sz="1000" b="1" i="0" u="none" strike="noStrike" kern="1200" baseline="0">
                <a:solidFill>
                  <a:schemeClr val="accent2"/>
                </a:solidFill>
                <a:latin typeface="+mn-lt"/>
                <a:ea typeface="+mn-ea"/>
                <a:cs typeface="+mn-cs"/>
              </a:defRPr>
            </a:pPr>
            <a:endParaRPr lang="fr-FR"/>
          </a:p>
        </c:txPr>
      </c:legendEntry>
      <c:overlay val="0"/>
      <c:spPr>
        <a:solidFill>
          <a:schemeClr val="bg1">
            <a:lumMod val="75000"/>
          </a:schemeClr>
        </a:solidFill>
        <a:ln>
          <a:solidFill>
            <a:schemeClr val="bg1"/>
          </a:solidFill>
        </a:ln>
        <a:effectLst/>
      </c:spPr>
      <c:txPr>
        <a:bodyPr rot="0" spcFirstLastPara="1" vertOverflow="ellipsis" vert="horz" wrap="square" anchor="ctr" anchorCtr="1"/>
        <a:lstStyle/>
        <a:p>
          <a:pPr>
            <a:defRPr sz="1050" b="1" i="0" u="none" strike="noStrike" kern="1200" baseline="0">
              <a:solidFill>
                <a:srgbClr val="7030A0"/>
              </a:solidFill>
              <a:latin typeface="+mn-lt"/>
              <a:ea typeface="+mn-ea"/>
              <a:cs typeface="+mn-cs"/>
            </a:defRPr>
          </a:pPr>
          <a:endParaRPr lang="fr-FR"/>
        </a:p>
      </c:txPr>
    </c:legend>
    <c:plotVisOnly val="1"/>
    <c:dispBlanksAs val="gap"/>
    <c:showDLblsOverMax val="0"/>
  </c:chart>
  <c:spPr>
    <a:solidFill>
      <a:schemeClr val="bg1">
        <a:lumMod val="6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050" b="1">
                <a:solidFill>
                  <a:schemeClr val="bg1"/>
                </a:solidFill>
              </a:rPr>
              <a:t>Vulnérabilité</a:t>
            </a:r>
            <a:r>
              <a:rPr lang="en-US" sz="1050" b="1" baseline="0">
                <a:solidFill>
                  <a:schemeClr val="bg1"/>
                </a:solidFill>
              </a:rPr>
              <a:t> financière  (frais fianciers/EBE)</a:t>
            </a:r>
            <a:endParaRPr lang="en-US" sz="1000" b="1">
              <a:solidFill>
                <a:schemeClr val="bg1"/>
              </a:solidFill>
            </a:endParaRPr>
          </a:p>
        </c:rich>
      </c:tx>
      <c:overlay val="0"/>
      <c:spPr>
        <a:noFill/>
        <a:ln>
          <a:noFill/>
        </a:ln>
        <a:effectLst/>
      </c:spPr>
    </c:title>
    <c:autoTitleDeleted val="0"/>
    <c:plotArea>
      <c:layout>
        <c:manualLayout>
          <c:layoutTarget val="inner"/>
          <c:xMode val="edge"/>
          <c:yMode val="edge"/>
          <c:x val="4.0899828430050425E-2"/>
          <c:y val="0.18845831087704323"/>
          <c:w val="0.92501698121157427"/>
          <c:h val="0.66769061321044765"/>
        </c:manualLayout>
      </c:layout>
      <c:lineChart>
        <c:grouping val="standard"/>
        <c:varyColors val="0"/>
        <c:ser>
          <c:idx val="0"/>
          <c:order val="0"/>
          <c:spPr>
            <a:ln w="44450" cap="rnd">
              <a:solidFill>
                <a:schemeClr val="accent1"/>
              </a:solidFill>
              <a:round/>
            </a:ln>
            <a:effectLst/>
          </c:spPr>
          <c:marker>
            <c:symbol val="none"/>
          </c:marker>
          <c:dPt>
            <c:idx val="0"/>
            <c:bubble3D val="0"/>
            <c:extLst>
              <c:ext xmlns:c16="http://schemas.microsoft.com/office/drawing/2014/chart" uri="{C3380CC4-5D6E-409C-BE32-E72D297353CC}">
                <c16:uniqueId val="{00000001-68E2-4218-8299-4469974782C1}"/>
              </c:ext>
            </c:extLst>
          </c:dPt>
          <c:dPt>
            <c:idx val="1"/>
            <c:bubble3D val="0"/>
            <c:spPr>
              <a:ln w="44450" cap="rnd">
                <a:solidFill>
                  <a:srgbClr val="0000CC"/>
                </a:solidFill>
                <a:round/>
              </a:ln>
              <a:effectLst/>
            </c:spPr>
            <c:extLst>
              <c:ext xmlns:c16="http://schemas.microsoft.com/office/drawing/2014/chart" uri="{C3380CC4-5D6E-409C-BE32-E72D297353CC}">
                <c16:uniqueId val="{00000003-68E2-4218-8299-4469974782C1}"/>
              </c:ext>
            </c:extLst>
          </c:dPt>
          <c:dPt>
            <c:idx val="2"/>
            <c:bubble3D val="0"/>
            <c:spPr>
              <a:ln w="44450" cap="rnd">
                <a:solidFill>
                  <a:srgbClr val="0000CC"/>
                </a:solidFill>
                <a:round/>
              </a:ln>
              <a:effectLst/>
            </c:spPr>
            <c:extLst>
              <c:ext xmlns:c16="http://schemas.microsoft.com/office/drawing/2014/chart" uri="{C3380CC4-5D6E-409C-BE32-E72D297353CC}">
                <c16:uniqueId val="{00000005-68E2-4218-8299-4469974782C1}"/>
              </c:ext>
            </c:extLst>
          </c:dPt>
          <c:dPt>
            <c:idx val="3"/>
            <c:bubble3D val="0"/>
            <c:spPr>
              <a:ln w="44450" cap="rnd">
                <a:solidFill>
                  <a:schemeClr val="accent3">
                    <a:lumMod val="75000"/>
                  </a:schemeClr>
                </a:solidFill>
                <a:round/>
              </a:ln>
              <a:effectLst/>
            </c:spPr>
            <c:extLst>
              <c:ext xmlns:c16="http://schemas.microsoft.com/office/drawing/2014/chart" uri="{C3380CC4-5D6E-409C-BE32-E72D297353CC}">
                <c16:uniqueId val="{00000007-68E2-4218-8299-4469974782C1}"/>
              </c:ext>
            </c:extLst>
          </c:dPt>
          <c:dPt>
            <c:idx val="4"/>
            <c:bubble3D val="0"/>
            <c:spPr>
              <a:ln w="44450" cap="rnd">
                <a:solidFill>
                  <a:schemeClr val="accent3">
                    <a:lumMod val="75000"/>
                  </a:schemeClr>
                </a:solidFill>
                <a:round/>
              </a:ln>
              <a:effectLst/>
            </c:spPr>
            <c:extLst>
              <c:ext xmlns:c16="http://schemas.microsoft.com/office/drawing/2014/chart" uri="{C3380CC4-5D6E-409C-BE32-E72D297353CC}">
                <c16:uniqueId val="{00000009-68E2-4218-8299-4469974782C1}"/>
              </c:ext>
            </c:extLst>
          </c:dPt>
          <c:dPt>
            <c:idx val="5"/>
            <c:bubble3D val="0"/>
            <c:spPr>
              <a:ln w="44450" cap="rnd">
                <a:solidFill>
                  <a:schemeClr val="accent3">
                    <a:lumMod val="75000"/>
                  </a:schemeClr>
                </a:solidFill>
                <a:round/>
              </a:ln>
              <a:effectLst/>
            </c:spPr>
            <c:extLst>
              <c:ext xmlns:c16="http://schemas.microsoft.com/office/drawing/2014/chart" uri="{C3380CC4-5D6E-409C-BE32-E72D297353CC}">
                <c16:uniqueId val="{0000000B-68E2-4218-8299-4469974782C1}"/>
              </c:ext>
            </c:extLst>
          </c:dPt>
          <c:dLbls>
            <c:dLbl>
              <c:idx val="0"/>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2-4218-8299-4469974782C1}"/>
                </c:ext>
              </c:extLst>
            </c:dLbl>
            <c:dLbl>
              <c:idx val="1"/>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68E2-4218-8299-4469974782C1}"/>
                </c:ext>
              </c:extLst>
            </c:dLbl>
            <c:dLbl>
              <c:idx val="2"/>
              <c:numFmt formatCode="0%" sourceLinked="0"/>
              <c:spPr>
                <a:solidFill>
                  <a:srgbClr val="0000CC"/>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68E2-4218-8299-4469974782C1}"/>
                </c:ext>
              </c:extLst>
            </c:dLbl>
            <c:dLbl>
              <c:idx val="3"/>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68E2-4218-8299-4469974782C1}"/>
                </c:ext>
              </c:extLst>
            </c:dLbl>
            <c:dLbl>
              <c:idx val="4"/>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9-68E2-4218-8299-4469974782C1}"/>
                </c:ext>
              </c:extLst>
            </c:dLbl>
            <c:dLbl>
              <c:idx val="5"/>
              <c:numFmt formatCode="0%" sourceLinked="0"/>
              <c:spPr>
                <a:solidFill>
                  <a:schemeClr val="accent3">
                    <a:lumMod val="75000"/>
                  </a:schemeClr>
                </a:solidFill>
                <a:ln>
                  <a:solidFill>
                    <a:schemeClr val="bg1"/>
                  </a:solidFill>
                </a:ln>
                <a:effectLst/>
              </c:spPr>
              <c:txPr>
                <a:bodyPr rot="0" spcFirstLastPara="1" vertOverflow="ellipsis" vert="horz" wrap="square" lIns="38100" tIns="19050" rIns="38100" bIns="19050" anchor="ctr" anchorCtr="1">
                  <a:spAutoFit/>
                </a:bodyPr>
                <a:lstStyle/>
                <a:p>
                  <a:pPr>
                    <a:defRPr sz="1000" b="1" i="1"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B-68E2-4218-8299-4469974782C1}"/>
                </c:ext>
              </c:extLst>
            </c:dLbl>
            <c:numFmt formatCode="0%" sourceLinked="0"/>
            <c:spPr>
              <a:no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exploitation'!$F$7,'Synthèse exploitation'!$H$7,'Synthèse exploitation'!$J$7,'Synthèse exploitation'!$L$7,'Synthèse exploitation'!$N$7,'Synthèse exploitation'!$P$7)</c:f>
              <c:strCache>
                <c:ptCount val="6"/>
                <c:pt idx="0">
                  <c:v> </c:v>
                </c:pt>
                <c:pt idx="1">
                  <c:v> </c:v>
                </c:pt>
                <c:pt idx="2">
                  <c:v> </c:v>
                </c:pt>
                <c:pt idx="3">
                  <c:v> </c:v>
                </c:pt>
                <c:pt idx="4">
                  <c:v> </c:v>
                </c:pt>
                <c:pt idx="5">
                  <c:v> </c:v>
                </c:pt>
              </c:strCache>
            </c:strRef>
          </c:cat>
          <c:val>
            <c:numRef>
              <c:f>('Synthèse structure financière'!$G$35,'Synthèse structure financière'!$I$35,'Synthèse structure financière'!$K$35,'Synthèse structure financière'!$M$35,'Synthèse structure financière'!$O$35,'Synthèse structure financière'!$Q$35)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C-68E2-4218-8299-4469974782C1}"/>
            </c:ext>
          </c:extLst>
        </c:ser>
        <c:ser>
          <c:idx val="1"/>
          <c:order val="1"/>
          <c:tx>
            <c:v>Maxi</c:v>
          </c:tx>
          <c:spPr>
            <a:ln w="28575" cap="rnd">
              <a:solidFill>
                <a:schemeClr val="accent2"/>
              </a:solidFill>
              <a:round/>
            </a:ln>
            <a:effectLst/>
          </c:spPr>
          <c:marker>
            <c:symbol val="none"/>
          </c:marker>
          <c:dLbls>
            <c:dLbl>
              <c:idx val="0"/>
              <c:layout>
                <c:manualLayout>
                  <c:x val="-0.11929116625431375"/>
                  <c:y val="0"/>
                </c:manualLayout>
              </c:layout>
              <c:numFmt formatCode="0%" sourceLinked="0"/>
              <c:spPr>
                <a:solidFill>
                  <a:srgbClr val="FF0000"/>
                </a:solidFill>
                <a:ln>
                  <a:solidFill>
                    <a:schemeClr val="bg1"/>
                  </a:solid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68E2-4218-8299-4469974782C1}"/>
                </c:ext>
              </c:extLst>
            </c:dLbl>
            <c:dLbl>
              <c:idx val="1"/>
              <c:delete val="1"/>
              <c:extLst>
                <c:ext xmlns:c15="http://schemas.microsoft.com/office/drawing/2012/chart" uri="{CE6537A1-D6FC-4f65-9D91-7224C49458BB}"/>
                <c:ext xmlns:c16="http://schemas.microsoft.com/office/drawing/2014/chart" uri="{C3380CC4-5D6E-409C-BE32-E72D297353CC}">
                  <c16:uniqueId val="{0000000E-68E2-4218-8299-4469974782C1}"/>
                </c:ext>
              </c:extLst>
            </c:dLbl>
            <c:dLbl>
              <c:idx val="2"/>
              <c:delete val="1"/>
              <c:extLst>
                <c:ext xmlns:c15="http://schemas.microsoft.com/office/drawing/2012/chart" uri="{CE6537A1-D6FC-4f65-9D91-7224C49458BB}"/>
                <c:ext xmlns:c16="http://schemas.microsoft.com/office/drawing/2014/chart" uri="{C3380CC4-5D6E-409C-BE32-E72D297353CC}">
                  <c16:uniqueId val="{0000000F-68E2-4218-8299-4469974782C1}"/>
                </c:ext>
              </c:extLst>
            </c:dLbl>
            <c:dLbl>
              <c:idx val="3"/>
              <c:delete val="1"/>
              <c:extLst>
                <c:ext xmlns:c15="http://schemas.microsoft.com/office/drawing/2012/chart" uri="{CE6537A1-D6FC-4f65-9D91-7224C49458BB}"/>
                <c:ext xmlns:c16="http://schemas.microsoft.com/office/drawing/2014/chart" uri="{C3380CC4-5D6E-409C-BE32-E72D297353CC}">
                  <c16:uniqueId val="{00000010-68E2-4218-8299-4469974782C1}"/>
                </c:ext>
              </c:extLst>
            </c:dLbl>
            <c:dLbl>
              <c:idx val="4"/>
              <c:delete val="1"/>
              <c:extLst>
                <c:ext xmlns:c15="http://schemas.microsoft.com/office/drawing/2012/chart" uri="{CE6537A1-D6FC-4f65-9D91-7224C49458BB}"/>
                <c:ext xmlns:c16="http://schemas.microsoft.com/office/drawing/2014/chart" uri="{C3380CC4-5D6E-409C-BE32-E72D297353CC}">
                  <c16:uniqueId val="{00000011-68E2-4218-8299-4469974782C1}"/>
                </c:ext>
              </c:extLst>
            </c:dLbl>
            <c:dLbl>
              <c:idx val="5"/>
              <c:delete val="1"/>
              <c:extLst>
                <c:ext xmlns:c15="http://schemas.microsoft.com/office/drawing/2012/chart" uri="{CE6537A1-D6FC-4f65-9D91-7224C49458BB}"/>
                <c:ext xmlns:c16="http://schemas.microsoft.com/office/drawing/2014/chart" uri="{C3380CC4-5D6E-409C-BE32-E72D297353CC}">
                  <c16:uniqueId val="{00000012-68E2-4218-8299-4469974782C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('Synthèse structure financière'!$G$33,'Synthèse structure financière'!$I$33,'Synthèse structure financière'!$K$33,'Synthèse structure financière'!$M$33,'Synthèse structure financière'!$O$33,'Synthèse structure financière'!$Q$33)</c:f>
              <c:numCache>
                <c:formatCode>0%</c:formatCode>
                <c:ptCount val="6"/>
                <c:pt idx="0">
                  <c:v>0.33333333333333337</c:v>
                </c:pt>
                <c:pt idx="1">
                  <c:v>0.33333333333333337</c:v>
                </c:pt>
                <c:pt idx="2">
                  <c:v>0.33333333333333337</c:v>
                </c:pt>
                <c:pt idx="3">
                  <c:v>0.33333333333333337</c:v>
                </c:pt>
                <c:pt idx="4">
                  <c:v>0.33333333333333337</c:v>
                </c:pt>
                <c:pt idx="5">
                  <c:v>0.33333333333333337</c:v>
                </c:pt>
              </c:numCache>
            </c:numRef>
          </c:val>
          <c:smooth val="0"/>
          <c:extLst>
            <c:ext xmlns:c16="http://schemas.microsoft.com/office/drawing/2014/chart" uri="{C3380CC4-5D6E-409C-BE32-E72D297353CC}">
              <c16:uniqueId val="{00000013-68E2-4218-8299-4469974782C1}"/>
            </c:ext>
          </c:extLst>
        </c:ser>
        <c:dLbls>
          <c:showLegendKey val="0"/>
          <c:showVal val="0"/>
          <c:showCatName val="0"/>
          <c:showSerName val="0"/>
          <c:showPercent val="0"/>
          <c:showBubbleSize val="0"/>
        </c:dLbls>
        <c:smooth val="0"/>
        <c:axId val="174032656"/>
        <c:axId val="174033048"/>
      </c:lineChart>
      <c:catAx>
        <c:axId val="174032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fr-FR"/>
          </a:p>
        </c:txPr>
        <c:crossAx val="174033048"/>
        <c:crosses val="autoZero"/>
        <c:auto val="1"/>
        <c:lblAlgn val="ctr"/>
        <c:lblOffset val="100"/>
        <c:noMultiLvlLbl val="0"/>
      </c:catAx>
      <c:valAx>
        <c:axId val="174033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one"/>
        <c:crossAx val="174032656"/>
        <c:crosses val="autoZero"/>
        <c:crossBetween val="between"/>
      </c:valAx>
      <c:spPr>
        <a:solidFill>
          <a:schemeClr val="bg1">
            <a:lumMod val="75000"/>
          </a:schemeClr>
        </a:solidFill>
        <a:ln>
          <a:noFill/>
        </a:ln>
        <a:effectLst/>
      </c:spPr>
    </c:plotArea>
    <c:plotVisOnly val="1"/>
    <c:dispBlanksAs val="gap"/>
    <c:showDLblsOverMax val="0"/>
  </c:chart>
  <c:spPr>
    <a:solidFill>
      <a:schemeClr val="bg1">
        <a:lumMod val="65000"/>
      </a:schemeClr>
    </a:solidFill>
    <a:ln w="9525" cap="flat" cmpd="sng" algn="ctr">
      <a:solidFill>
        <a:schemeClr val="bg1">
          <a:lumMod val="50000"/>
        </a:schemeClr>
      </a:solid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14</xdr:row>
      <xdr:rowOff>257175</xdr:rowOff>
    </xdr:from>
    <xdr:to>
      <xdr:col>4</xdr:col>
      <xdr:colOff>2381250</xdr:colOff>
      <xdr:row>19</xdr:row>
      <xdr:rowOff>311373</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71550" y="5267325"/>
          <a:ext cx="4800600" cy="1625823"/>
        </a:xfrm>
        <a:prstGeom prst="rect">
          <a:avLst/>
        </a:prstGeom>
      </xdr:spPr>
    </xdr:pic>
    <xdr:clientData/>
  </xdr:twoCellAnchor>
  <xdr:twoCellAnchor editAs="oneCell">
    <xdr:from>
      <xdr:col>6</xdr:col>
      <xdr:colOff>733425</xdr:colOff>
      <xdr:row>14</xdr:row>
      <xdr:rowOff>28575</xdr:rowOff>
    </xdr:from>
    <xdr:to>
      <xdr:col>8</xdr:col>
      <xdr:colOff>476250</xdr:colOff>
      <xdr:row>21</xdr:row>
      <xdr:rowOff>190500</xdr:rowOff>
    </xdr:to>
    <xdr:pic>
      <xdr:nvPicPr>
        <xdr:cNvPr id="8" name="Image 7" descr="C:\Users\jbe\AppData\Local\Microsoft\Windows\Temporary Internet Files\Content.Outlook\Y5IXV3X1\Logo-Label-blanc-fond-noir (2).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77025" y="5038725"/>
          <a:ext cx="22955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142877</xdr:colOff>
      <xdr:row>15</xdr:row>
      <xdr:rowOff>57151</xdr:rowOff>
    </xdr:from>
    <xdr:to>
      <xdr:col>8</xdr:col>
      <xdr:colOff>1657351</xdr:colOff>
      <xdr:row>19</xdr:row>
      <xdr:rowOff>248479</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39177" y="5381626"/>
          <a:ext cx="1514474" cy="14486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638175</xdr:colOff>
      <xdr:row>13</xdr:row>
      <xdr:rowOff>171450</xdr:rowOff>
    </xdr:to>
    <xdr:sp macro="" textlink="">
      <xdr:nvSpPr>
        <xdr:cNvPr id="39404508" name="AutoShape 1034">
          <a:extLst>
            <a:ext uri="{FF2B5EF4-FFF2-40B4-BE49-F238E27FC236}">
              <a16:creationId xmlns:a16="http://schemas.microsoft.com/office/drawing/2014/main" id="{00000000-0008-0000-0100-0000DC435902}"/>
            </a:ext>
          </a:extLst>
        </xdr:cNvPr>
        <xdr:cNvSpPr>
          <a:spLocks noChangeArrowheads="1"/>
        </xdr:cNvSpPr>
      </xdr:nvSpPr>
      <xdr:spPr bwMode="auto">
        <a:xfrm>
          <a:off x="504825" y="31908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20</xdr:row>
      <xdr:rowOff>95250</xdr:rowOff>
    </xdr:from>
    <xdr:to>
      <xdr:col>1</xdr:col>
      <xdr:colOff>638175</xdr:colOff>
      <xdr:row>20</xdr:row>
      <xdr:rowOff>171450</xdr:rowOff>
    </xdr:to>
    <xdr:sp macro="" textlink="">
      <xdr:nvSpPr>
        <xdr:cNvPr id="39404509" name="AutoShape 1035">
          <a:extLst>
            <a:ext uri="{FF2B5EF4-FFF2-40B4-BE49-F238E27FC236}">
              <a16:creationId xmlns:a16="http://schemas.microsoft.com/office/drawing/2014/main" id="{00000000-0008-0000-0100-0000DD435902}"/>
            </a:ext>
          </a:extLst>
        </xdr:cNvPr>
        <xdr:cNvSpPr>
          <a:spLocks noChangeArrowheads="1"/>
        </xdr:cNvSpPr>
      </xdr:nvSpPr>
      <xdr:spPr bwMode="auto">
        <a:xfrm>
          <a:off x="504825" y="49244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21</xdr:row>
      <xdr:rowOff>95250</xdr:rowOff>
    </xdr:from>
    <xdr:to>
      <xdr:col>1</xdr:col>
      <xdr:colOff>638175</xdr:colOff>
      <xdr:row>21</xdr:row>
      <xdr:rowOff>171450</xdr:rowOff>
    </xdr:to>
    <xdr:sp macro="" textlink="">
      <xdr:nvSpPr>
        <xdr:cNvPr id="39404510" name="AutoShape 1036">
          <a:extLst>
            <a:ext uri="{FF2B5EF4-FFF2-40B4-BE49-F238E27FC236}">
              <a16:creationId xmlns:a16="http://schemas.microsoft.com/office/drawing/2014/main" id="{00000000-0008-0000-0100-0000DE435902}"/>
            </a:ext>
          </a:extLst>
        </xdr:cNvPr>
        <xdr:cNvSpPr>
          <a:spLocks noChangeArrowheads="1"/>
        </xdr:cNvSpPr>
      </xdr:nvSpPr>
      <xdr:spPr bwMode="auto">
        <a:xfrm>
          <a:off x="504825" y="51720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22</xdr:row>
      <xdr:rowOff>95250</xdr:rowOff>
    </xdr:from>
    <xdr:to>
      <xdr:col>1</xdr:col>
      <xdr:colOff>638175</xdr:colOff>
      <xdr:row>22</xdr:row>
      <xdr:rowOff>171450</xdr:rowOff>
    </xdr:to>
    <xdr:sp macro="" textlink="">
      <xdr:nvSpPr>
        <xdr:cNvPr id="39404511" name="AutoShape 1038">
          <a:extLst>
            <a:ext uri="{FF2B5EF4-FFF2-40B4-BE49-F238E27FC236}">
              <a16:creationId xmlns:a16="http://schemas.microsoft.com/office/drawing/2014/main" id="{00000000-0008-0000-0100-0000DF435902}"/>
            </a:ext>
          </a:extLst>
        </xdr:cNvPr>
        <xdr:cNvSpPr>
          <a:spLocks noChangeArrowheads="1"/>
        </xdr:cNvSpPr>
      </xdr:nvSpPr>
      <xdr:spPr bwMode="auto">
        <a:xfrm>
          <a:off x="504825" y="54197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35</xdr:row>
      <xdr:rowOff>95250</xdr:rowOff>
    </xdr:from>
    <xdr:to>
      <xdr:col>1</xdr:col>
      <xdr:colOff>638175</xdr:colOff>
      <xdr:row>35</xdr:row>
      <xdr:rowOff>171450</xdr:rowOff>
    </xdr:to>
    <xdr:sp macro="" textlink="">
      <xdr:nvSpPr>
        <xdr:cNvPr id="39404512" name="AutoShape 1039">
          <a:extLst>
            <a:ext uri="{FF2B5EF4-FFF2-40B4-BE49-F238E27FC236}">
              <a16:creationId xmlns:a16="http://schemas.microsoft.com/office/drawing/2014/main" id="{00000000-0008-0000-0100-0000E0435902}"/>
            </a:ext>
          </a:extLst>
        </xdr:cNvPr>
        <xdr:cNvSpPr>
          <a:spLocks noChangeArrowheads="1"/>
        </xdr:cNvSpPr>
      </xdr:nvSpPr>
      <xdr:spPr bwMode="auto">
        <a:xfrm>
          <a:off x="504825" y="8963025"/>
          <a:ext cx="238125" cy="76200"/>
        </a:xfrm>
        <a:prstGeom prst="rightArrow">
          <a:avLst>
            <a:gd name="adj1" fmla="val 50000"/>
            <a:gd name="adj2" fmla="val 78125"/>
          </a:avLst>
        </a:prstGeom>
        <a:solidFill>
          <a:srgbClr val="92D050"/>
        </a:solidFill>
        <a:ln w="9525">
          <a:solidFill>
            <a:srgbClr val="000000"/>
          </a:solidFill>
          <a:miter lim="800000"/>
          <a:headEnd/>
          <a:tailEnd/>
        </a:ln>
      </xdr:spPr>
    </xdr:sp>
    <xdr:clientData/>
  </xdr:twoCellAnchor>
  <xdr:twoCellAnchor>
    <xdr:from>
      <xdr:col>1</xdr:col>
      <xdr:colOff>400050</xdr:colOff>
      <xdr:row>36</xdr:row>
      <xdr:rowOff>95250</xdr:rowOff>
    </xdr:from>
    <xdr:to>
      <xdr:col>1</xdr:col>
      <xdr:colOff>638175</xdr:colOff>
      <xdr:row>36</xdr:row>
      <xdr:rowOff>171450</xdr:rowOff>
    </xdr:to>
    <xdr:sp macro="" textlink="">
      <xdr:nvSpPr>
        <xdr:cNvPr id="39404513" name="AutoShape 1040">
          <a:extLst>
            <a:ext uri="{FF2B5EF4-FFF2-40B4-BE49-F238E27FC236}">
              <a16:creationId xmlns:a16="http://schemas.microsoft.com/office/drawing/2014/main" id="{00000000-0008-0000-0100-0000E1435902}"/>
            </a:ext>
          </a:extLst>
        </xdr:cNvPr>
        <xdr:cNvSpPr>
          <a:spLocks noChangeArrowheads="1"/>
        </xdr:cNvSpPr>
      </xdr:nvSpPr>
      <xdr:spPr bwMode="auto">
        <a:xfrm>
          <a:off x="504825" y="9210675"/>
          <a:ext cx="238125" cy="76200"/>
        </a:xfrm>
        <a:prstGeom prst="rightArrow">
          <a:avLst>
            <a:gd name="adj1" fmla="val 50000"/>
            <a:gd name="adj2" fmla="val 78125"/>
          </a:avLst>
        </a:prstGeom>
        <a:solidFill>
          <a:srgbClr val="E46C0A"/>
        </a:solidFill>
        <a:ln w="9525">
          <a:solidFill>
            <a:srgbClr val="000000"/>
          </a:solidFill>
          <a:miter lim="800000"/>
          <a:headEnd/>
          <a:tailEnd/>
        </a:ln>
      </xdr:spPr>
    </xdr:sp>
    <xdr:clientData/>
  </xdr:twoCellAnchor>
  <xdr:twoCellAnchor>
    <xdr:from>
      <xdr:col>1</xdr:col>
      <xdr:colOff>400050</xdr:colOff>
      <xdr:row>37</xdr:row>
      <xdr:rowOff>95250</xdr:rowOff>
    </xdr:from>
    <xdr:to>
      <xdr:col>1</xdr:col>
      <xdr:colOff>638175</xdr:colOff>
      <xdr:row>37</xdr:row>
      <xdr:rowOff>171450</xdr:rowOff>
    </xdr:to>
    <xdr:sp macro="" textlink="">
      <xdr:nvSpPr>
        <xdr:cNvPr id="39404514" name="AutoShape 1041">
          <a:extLst>
            <a:ext uri="{FF2B5EF4-FFF2-40B4-BE49-F238E27FC236}">
              <a16:creationId xmlns:a16="http://schemas.microsoft.com/office/drawing/2014/main" id="{00000000-0008-0000-0100-0000E2435902}"/>
            </a:ext>
          </a:extLst>
        </xdr:cNvPr>
        <xdr:cNvSpPr>
          <a:spLocks noChangeArrowheads="1"/>
        </xdr:cNvSpPr>
      </xdr:nvSpPr>
      <xdr:spPr bwMode="auto">
        <a:xfrm>
          <a:off x="504825" y="9458325"/>
          <a:ext cx="238125" cy="76200"/>
        </a:xfrm>
        <a:prstGeom prst="rightArrow">
          <a:avLst>
            <a:gd name="adj1" fmla="val 50000"/>
            <a:gd name="adj2" fmla="val 78125"/>
          </a:avLst>
        </a:prstGeom>
        <a:solidFill>
          <a:srgbClr val="00B0F0"/>
        </a:solidFill>
        <a:ln w="9525">
          <a:solidFill>
            <a:srgbClr val="000000"/>
          </a:solidFill>
          <a:miter lim="800000"/>
          <a:headEnd/>
          <a:tailEnd/>
        </a:ln>
      </xdr:spPr>
    </xdr:sp>
    <xdr:clientData/>
  </xdr:twoCellAnchor>
  <xdr:twoCellAnchor>
    <xdr:from>
      <xdr:col>1</xdr:col>
      <xdr:colOff>400050</xdr:colOff>
      <xdr:row>14</xdr:row>
      <xdr:rowOff>95250</xdr:rowOff>
    </xdr:from>
    <xdr:to>
      <xdr:col>1</xdr:col>
      <xdr:colOff>638175</xdr:colOff>
      <xdr:row>14</xdr:row>
      <xdr:rowOff>171450</xdr:rowOff>
    </xdr:to>
    <xdr:sp macro="" textlink="">
      <xdr:nvSpPr>
        <xdr:cNvPr id="39404515" name="AutoShape 1043">
          <a:extLst>
            <a:ext uri="{FF2B5EF4-FFF2-40B4-BE49-F238E27FC236}">
              <a16:creationId xmlns:a16="http://schemas.microsoft.com/office/drawing/2014/main" id="{00000000-0008-0000-0100-0000E3435902}"/>
            </a:ext>
          </a:extLst>
        </xdr:cNvPr>
        <xdr:cNvSpPr>
          <a:spLocks noChangeArrowheads="1"/>
        </xdr:cNvSpPr>
      </xdr:nvSpPr>
      <xdr:spPr bwMode="auto">
        <a:xfrm>
          <a:off x="504825" y="34385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16</xdr:row>
      <xdr:rowOff>95250</xdr:rowOff>
    </xdr:from>
    <xdr:to>
      <xdr:col>1</xdr:col>
      <xdr:colOff>638175</xdr:colOff>
      <xdr:row>16</xdr:row>
      <xdr:rowOff>171450</xdr:rowOff>
    </xdr:to>
    <xdr:sp macro="" textlink="">
      <xdr:nvSpPr>
        <xdr:cNvPr id="39404516" name="AutoShape 1056">
          <a:extLst>
            <a:ext uri="{FF2B5EF4-FFF2-40B4-BE49-F238E27FC236}">
              <a16:creationId xmlns:a16="http://schemas.microsoft.com/office/drawing/2014/main" id="{00000000-0008-0000-0100-0000E4435902}"/>
            </a:ext>
          </a:extLst>
        </xdr:cNvPr>
        <xdr:cNvSpPr>
          <a:spLocks noChangeArrowheads="1"/>
        </xdr:cNvSpPr>
      </xdr:nvSpPr>
      <xdr:spPr bwMode="auto">
        <a:xfrm>
          <a:off x="504825" y="39338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23</xdr:row>
      <xdr:rowOff>133350</xdr:rowOff>
    </xdr:from>
    <xdr:to>
      <xdr:col>1</xdr:col>
      <xdr:colOff>638175</xdr:colOff>
      <xdr:row>23</xdr:row>
      <xdr:rowOff>209550</xdr:rowOff>
    </xdr:to>
    <xdr:sp macro="" textlink="">
      <xdr:nvSpPr>
        <xdr:cNvPr id="39404517" name="AutoShape 1060">
          <a:extLst>
            <a:ext uri="{FF2B5EF4-FFF2-40B4-BE49-F238E27FC236}">
              <a16:creationId xmlns:a16="http://schemas.microsoft.com/office/drawing/2014/main" id="{00000000-0008-0000-0100-0000E5435902}"/>
            </a:ext>
          </a:extLst>
        </xdr:cNvPr>
        <xdr:cNvSpPr>
          <a:spLocks noChangeArrowheads="1"/>
        </xdr:cNvSpPr>
      </xdr:nvSpPr>
      <xdr:spPr bwMode="auto">
        <a:xfrm>
          <a:off x="504825" y="57054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17</xdr:row>
      <xdr:rowOff>95250</xdr:rowOff>
    </xdr:from>
    <xdr:to>
      <xdr:col>1</xdr:col>
      <xdr:colOff>638175</xdr:colOff>
      <xdr:row>17</xdr:row>
      <xdr:rowOff>171450</xdr:rowOff>
    </xdr:to>
    <xdr:sp macro="" textlink="">
      <xdr:nvSpPr>
        <xdr:cNvPr id="39404518" name="AutoShape 1067">
          <a:extLst>
            <a:ext uri="{FF2B5EF4-FFF2-40B4-BE49-F238E27FC236}">
              <a16:creationId xmlns:a16="http://schemas.microsoft.com/office/drawing/2014/main" id="{00000000-0008-0000-0100-0000E6435902}"/>
            </a:ext>
          </a:extLst>
        </xdr:cNvPr>
        <xdr:cNvSpPr>
          <a:spLocks noChangeArrowheads="1"/>
        </xdr:cNvSpPr>
      </xdr:nvSpPr>
      <xdr:spPr bwMode="auto">
        <a:xfrm>
          <a:off x="504825" y="41814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19</xdr:row>
      <xdr:rowOff>95250</xdr:rowOff>
    </xdr:from>
    <xdr:to>
      <xdr:col>1</xdr:col>
      <xdr:colOff>638175</xdr:colOff>
      <xdr:row>19</xdr:row>
      <xdr:rowOff>171450</xdr:rowOff>
    </xdr:to>
    <xdr:sp macro="" textlink="">
      <xdr:nvSpPr>
        <xdr:cNvPr id="39404519" name="AutoShape 1072">
          <a:extLst>
            <a:ext uri="{FF2B5EF4-FFF2-40B4-BE49-F238E27FC236}">
              <a16:creationId xmlns:a16="http://schemas.microsoft.com/office/drawing/2014/main" id="{00000000-0008-0000-0100-0000E7435902}"/>
            </a:ext>
          </a:extLst>
        </xdr:cNvPr>
        <xdr:cNvSpPr>
          <a:spLocks noChangeArrowheads="1"/>
        </xdr:cNvSpPr>
      </xdr:nvSpPr>
      <xdr:spPr bwMode="auto">
        <a:xfrm>
          <a:off x="504825" y="46767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27</xdr:row>
      <xdr:rowOff>95250</xdr:rowOff>
    </xdr:from>
    <xdr:to>
      <xdr:col>1</xdr:col>
      <xdr:colOff>638175</xdr:colOff>
      <xdr:row>27</xdr:row>
      <xdr:rowOff>171450</xdr:rowOff>
    </xdr:to>
    <xdr:sp macro="" textlink="">
      <xdr:nvSpPr>
        <xdr:cNvPr id="39404520" name="AutoShape 1038">
          <a:extLst>
            <a:ext uri="{FF2B5EF4-FFF2-40B4-BE49-F238E27FC236}">
              <a16:creationId xmlns:a16="http://schemas.microsoft.com/office/drawing/2014/main" id="{00000000-0008-0000-0100-0000E8435902}"/>
            </a:ext>
          </a:extLst>
        </xdr:cNvPr>
        <xdr:cNvSpPr>
          <a:spLocks noChangeArrowheads="1"/>
        </xdr:cNvSpPr>
      </xdr:nvSpPr>
      <xdr:spPr bwMode="auto">
        <a:xfrm>
          <a:off x="504825" y="67722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29</xdr:row>
      <xdr:rowOff>95250</xdr:rowOff>
    </xdr:from>
    <xdr:to>
      <xdr:col>1</xdr:col>
      <xdr:colOff>638175</xdr:colOff>
      <xdr:row>29</xdr:row>
      <xdr:rowOff>171450</xdr:rowOff>
    </xdr:to>
    <xdr:sp macro="" textlink="">
      <xdr:nvSpPr>
        <xdr:cNvPr id="39404521" name="AutoShape 1038">
          <a:extLst>
            <a:ext uri="{FF2B5EF4-FFF2-40B4-BE49-F238E27FC236}">
              <a16:creationId xmlns:a16="http://schemas.microsoft.com/office/drawing/2014/main" id="{00000000-0008-0000-0100-0000E9435902}"/>
            </a:ext>
          </a:extLst>
        </xdr:cNvPr>
        <xdr:cNvSpPr>
          <a:spLocks noChangeArrowheads="1"/>
        </xdr:cNvSpPr>
      </xdr:nvSpPr>
      <xdr:spPr bwMode="auto">
        <a:xfrm>
          <a:off x="504825" y="74009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28</xdr:row>
      <xdr:rowOff>95250</xdr:rowOff>
    </xdr:from>
    <xdr:to>
      <xdr:col>1</xdr:col>
      <xdr:colOff>638175</xdr:colOff>
      <xdr:row>28</xdr:row>
      <xdr:rowOff>171450</xdr:rowOff>
    </xdr:to>
    <xdr:sp macro="" textlink="">
      <xdr:nvSpPr>
        <xdr:cNvPr id="39404522" name="AutoShape 1038">
          <a:extLst>
            <a:ext uri="{FF2B5EF4-FFF2-40B4-BE49-F238E27FC236}">
              <a16:creationId xmlns:a16="http://schemas.microsoft.com/office/drawing/2014/main" id="{00000000-0008-0000-0100-0000EA435902}"/>
            </a:ext>
          </a:extLst>
        </xdr:cNvPr>
        <xdr:cNvSpPr>
          <a:spLocks noChangeArrowheads="1"/>
        </xdr:cNvSpPr>
      </xdr:nvSpPr>
      <xdr:spPr bwMode="auto">
        <a:xfrm>
          <a:off x="504825" y="70199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26</xdr:row>
      <xdr:rowOff>95250</xdr:rowOff>
    </xdr:from>
    <xdr:to>
      <xdr:col>1</xdr:col>
      <xdr:colOff>638175</xdr:colOff>
      <xdr:row>26</xdr:row>
      <xdr:rowOff>171450</xdr:rowOff>
    </xdr:to>
    <xdr:sp macro="" textlink="">
      <xdr:nvSpPr>
        <xdr:cNvPr id="39404523" name="AutoShape 1038">
          <a:extLst>
            <a:ext uri="{FF2B5EF4-FFF2-40B4-BE49-F238E27FC236}">
              <a16:creationId xmlns:a16="http://schemas.microsoft.com/office/drawing/2014/main" id="{00000000-0008-0000-0100-0000EB435902}"/>
            </a:ext>
          </a:extLst>
        </xdr:cNvPr>
        <xdr:cNvSpPr>
          <a:spLocks noChangeArrowheads="1"/>
        </xdr:cNvSpPr>
      </xdr:nvSpPr>
      <xdr:spPr bwMode="auto">
        <a:xfrm>
          <a:off x="504825" y="65246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30</xdr:row>
      <xdr:rowOff>95250</xdr:rowOff>
    </xdr:from>
    <xdr:to>
      <xdr:col>1</xdr:col>
      <xdr:colOff>638175</xdr:colOff>
      <xdr:row>30</xdr:row>
      <xdr:rowOff>171450</xdr:rowOff>
    </xdr:to>
    <xdr:sp macro="" textlink="">
      <xdr:nvSpPr>
        <xdr:cNvPr id="39404524" name="AutoShape 1038">
          <a:extLst>
            <a:ext uri="{FF2B5EF4-FFF2-40B4-BE49-F238E27FC236}">
              <a16:creationId xmlns:a16="http://schemas.microsoft.com/office/drawing/2014/main" id="{00000000-0008-0000-0100-0000EC435902}"/>
            </a:ext>
          </a:extLst>
        </xdr:cNvPr>
        <xdr:cNvSpPr>
          <a:spLocks noChangeArrowheads="1"/>
        </xdr:cNvSpPr>
      </xdr:nvSpPr>
      <xdr:spPr bwMode="auto">
        <a:xfrm>
          <a:off x="504825" y="76485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390525</xdr:colOff>
      <xdr:row>25</xdr:row>
      <xdr:rowOff>76200</xdr:rowOff>
    </xdr:from>
    <xdr:to>
      <xdr:col>1</xdr:col>
      <xdr:colOff>628650</xdr:colOff>
      <xdr:row>25</xdr:row>
      <xdr:rowOff>152400</xdr:rowOff>
    </xdr:to>
    <xdr:sp macro="" textlink="">
      <xdr:nvSpPr>
        <xdr:cNvPr id="39404525" name="AutoShape 1060">
          <a:extLst>
            <a:ext uri="{FF2B5EF4-FFF2-40B4-BE49-F238E27FC236}">
              <a16:creationId xmlns:a16="http://schemas.microsoft.com/office/drawing/2014/main" id="{00000000-0008-0000-0100-0000ED435902}"/>
            </a:ext>
          </a:extLst>
        </xdr:cNvPr>
        <xdr:cNvSpPr>
          <a:spLocks noChangeArrowheads="1"/>
        </xdr:cNvSpPr>
      </xdr:nvSpPr>
      <xdr:spPr bwMode="auto">
        <a:xfrm>
          <a:off x="495300" y="62579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15</xdr:row>
      <xdr:rowOff>95250</xdr:rowOff>
    </xdr:from>
    <xdr:to>
      <xdr:col>1</xdr:col>
      <xdr:colOff>638175</xdr:colOff>
      <xdr:row>15</xdr:row>
      <xdr:rowOff>171450</xdr:rowOff>
    </xdr:to>
    <xdr:sp macro="" textlink="">
      <xdr:nvSpPr>
        <xdr:cNvPr id="39404526" name="AutoShape 1043">
          <a:extLst>
            <a:ext uri="{FF2B5EF4-FFF2-40B4-BE49-F238E27FC236}">
              <a16:creationId xmlns:a16="http://schemas.microsoft.com/office/drawing/2014/main" id="{00000000-0008-0000-0100-0000EE435902}"/>
            </a:ext>
          </a:extLst>
        </xdr:cNvPr>
        <xdr:cNvSpPr>
          <a:spLocks noChangeArrowheads="1"/>
        </xdr:cNvSpPr>
      </xdr:nvSpPr>
      <xdr:spPr bwMode="auto">
        <a:xfrm>
          <a:off x="504825" y="368617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400050</xdr:colOff>
      <xdr:row>24</xdr:row>
      <xdr:rowOff>95250</xdr:rowOff>
    </xdr:from>
    <xdr:to>
      <xdr:col>1</xdr:col>
      <xdr:colOff>638175</xdr:colOff>
      <xdr:row>24</xdr:row>
      <xdr:rowOff>171450</xdr:rowOff>
    </xdr:to>
    <xdr:sp macro="" textlink="">
      <xdr:nvSpPr>
        <xdr:cNvPr id="39404527" name="AutoShape 1043">
          <a:extLst>
            <a:ext uri="{FF2B5EF4-FFF2-40B4-BE49-F238E27FC236}">
              <a16:creationId xmlns:a16="http://schemas.microsoft.com/office/drawing/2014/main" id="{00000000-0008-0000-0100-0000EF435902}"/>
            </a:ext>
          </a:extLst>
        </xdr:cNvPr>
        <xdr:cNvSpPr>
          <a:spLocks noChangeArrowheads="1"/>
        </xdr:cNvSpPr>
      </xdr:nvSpPr>
      <xdr:spPr bwMode="auto">
        <a:xfrm>
          <a:off x="504825" y="60293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0</xdr:colOff>
      <xdr:row>49</xdr:row>
      <xdr:rowOff>0</xdr:rowOff>
    </xdr:from>
    <xdr:to>
      <xdr:col>13</xdr:col>
      <xdr:colOff>676275</xdr:colOff>
      <xdr:row>53</xdr:row>
      <xdr:rowOff>0</xdr:rowOff>
    </xdr:to>
    <xdr:sp macro="" textlink="">
      <xdr:nvSpPr>
        <xdr:cNvPr id="48" name="ZoneTexte 47">
          <a:extLst>
            <a:ext uri="{FF2B5EF4-FFF2-40B4-BE49-F238E27FC236}">
              <a16:creationId xmlns:a16="http://schemas.microsoft.com/office/drawing/2014/main" id="{00000000-0008-0000-0100-000030000000}"/>
            </a:ext>
          </a:extLst>
        </xdr:cNvPr>
        <xdr:cNvSpPr txBox="1"/>
      </xdr:nvSpPr>
      <xdr:spPr>
        <a:xfrm>
          <a:off x="104775" y="13916025"/>
          <a:ext cx="91916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400050</xdr:colOff>
      <xdr:row>18</xdr:row>
      <xdr:rowOff>95250</xdr:rowOff>
    </xdr:from>
    <xdr:to>
      <xdr:col>1</xdr:col>
      <xdr:colOff>638175</xdr:colOff>
      <xdr:row>18</xdr:row>
      <xdr:rowOff>171450</xdr:rowOff>
    </xdr:to>
    <xdr:sp macro="" textlink="">
      <xdr:nvSpPr>
        <xdr:cNvPr id="39404529" name="AutoShape 1067">
          <a:extLst>
            <a:ext uri="{FF2B5EF4-FFF2-40B4-BE49-F238E27FC236}">
              <a16:creationId xmlns:a16="http://schemas.microsoft.com/office/drawing/2014/main" id="{00000000-0008-0000-0100-0000F1435902}"/>
            </a:ext>
          </a:extLst>
        </xdr:cNvPr>
        <xdr:cNvSpPr>
          <a:spLocks noChangeArrowheads="1"/>
        </xdr:cNvSpPr>
      </xdr:nvSpPr>
      <xdr:spPr bwMode="auto">
        <a:xfrm>
          <a:off x="504825" y="4429125"/>
          <a:ext cx="238125" cy="76200"/>
        </a:xfrm>
        <a:prstGeom prst="rightArrow">
          <a:avLst>
            <a:gd name="adj1" fmla="val 50000"/>
            <a:gd name="adj2" fmla="val 78125"/>
          </a:avLst>
        </a:prstGeom>
        <a:solidFill>
          <a:srgbClr val="FFFF00"/>
        </a:solidFill>
        <a:ln w="9525">
          <a:solidFill>
            <a:srgbClr val="000000"/>
          </a:solidFill>
          <a:miter lim="800000"/>
          <a:headEnd/>
          <a:tailEnd/>
        </a:ln>
      </xdr:spPr>
    </xdr:sp>
    <xdr:clientData/>
  </xdr:twoCellAnchor>
  <xdr:twoCellAnchor>
    <xdr:from>
      <xdr:col>1</xdr:col>
      <xdr:colOff>0</xdr:colOff>
      <xdr:row>43</xdr:row>
      <xdr:rowOff>1</xdr:rowOff>
    </xdr:from>
    <xdr:to>
      <xdr:col>14</xdr:col>
      <xdr:colOff>0</xdr:colOff>
      <xdr:row>46</xdr:row>
      <xdr:rowOff>419101</xdr:rowOff>
    </xdr:to>
    <xdr:sp macro="" textlink="">
      <xdr:nvSpPr>
        <xdr:cNvPr id="47" name="ZoneTexte 46">
          <a:extLst>
            <a:ext uri="{FF2B5EF4-FFF2-40B4-BE49-F238E27FC236}">
              <a16:creationId xmlns:a16="http://schemas.microsoft.com/office/drawing/2014/main" id="{00000000-0008-0000-0100-00002F000000}"/>
            </a:ext>
          </a:extLst>
        </xdr:cNvPr>
        <xdr:cNvSpPr txBox="1"/>
      </xdr:nvSpPr>
      <xdr:spPr>
        <a:xfrm>
          <a:off x="104775" y="10553701"/>
          <a:ext cx="8848725"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57</xdr:row>
      <xdr:rowOff>0</xdr:rowOff>
    </xdr:from>
    <xdr:to>
      <xdr:col>14</xdr:col>
      <xdr:colOff>0</xdr:colOff>
      <xdr:row>61</xdr:row>
      <xdr:rowOff>0</xdr:rowOff>
    </xdr:to>
    <xdr:sp macro="" textlink="">
      <xdr:nvSpPr>
        <xdr:cNvPr id="49" name="ZoneTexte 48">
          <a:extLst>
            <a:ext uri="{FF2B5EF4-FFF2-40B4-BE49-F238E27FC236}">
              <a16:creationId xmlns:a16="http://schemas.microsoft.com/office/drawing/2014/main" id="{00000000-0008-0000-0100-000031000000}"/>
            </a:ext>
          </a:extLst>
        </xdr:cNvPr>
        <xdr:cNvSpPr txBox="1"/>
      </xdr:nvSpPr>
      <xdr:spPr>
        <a:xfrm>
          <a:off x="104775" y="16383000"/>
          <a:ext cx="87344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63</xdr:row>
      <xdr:rowOff>0</xdr:rowOff>
    </xdr:from>
    <xdr:to>
      <xdr:col>14</xdr:col>
      <xdr:colOff>0</xdr:colOff>
      <xdr:row>67</xdr:row>
      <xdr:rowOff>0</xdr:rowOff>
    </xdr:to>
    <xdr:sp macro="" textlink="">
      <xdr:nvSpPr>
        <xdr:cNvPr id="51" name="ZoneTexte 50">
          <a:extLst>
            <a:ext uri="{FF2B5EF4-FFF2-40B4-BE49-F238E27FC236}">
              <a16:creationId xmlns:a16="http://schemas.microsoft.com/office/drawing/2014/main" id="{00000000-0008-0000-0100-000033000000}"/>
            </a:ext>
          </a:extLst>
        </xdr:cNvPr>
        <xdr:cNvSpPr txBox="1"/>
      </xdr:nvSpPr>
      <xdr:spPr>
        <a:xfrm>
          <a:off x="104775" y="18630900"/>
          <a:ext cx="87344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71</xdr:row>
      <xdr:rowOff>0</xdr:rowOff>
    </xdr:from>
    <xdr:to>
      <xdr:col>14</xdr:col>
      <xdr:colOff>0</xdr:colOff>
      <xdr:row>75</xdr:row>
      <xdr:rowOff>0</xdr:rowOff>
    </xdr:to>
    <xdr:sp macro="" textlink="">
      <xdr:nvSpPr>
        <xdr:cNvPr id="53" name="ZoneTexte 52">
          <a:extLst>
            <a:ext uri="{FF2B5EF4-FFF2-40B4-BE49-F238E27FC236}">
              <a16:creationId xmlns:a16="http://schemas.microsoft.com/office/drawing/2014/main" id="{00000000-0008-0000-0100-000035000000}"/>
            </a:ext>
          </a:extLst>
        </xdr:cNvPr>
        <xdr:cNvSpPr txBox="1"/>
      </xdr:nvSpPr>
      <xdr:spPr>
        <a:xfrm>
          <a:off x="104775" y="21574125"/>
          <a:ext cx="87344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77</xdr:row>
      <xdr:rowOff>0</xdr:rowOff>
    </xdr:from>
    <xdr:to>
      <xdr:col>14</xdr:col>
      <xdr:colOff>0</xdr:colOff>
      <xdr:row>81</xdr:row>
      <xdr:rowOff>0</xdr:rowOff>
    </xdr:to>
    <xdr:sp macro="" textlink="">
      <xdr:nvSpPr>
        <xdr:cNvPr id="54" name="ZoneTexte 53">
          <a:extLst>
            <a:ext uri="{FF2B5EF4-FFF2-40B4-BE49-F238E27FC236}">
              <a16:creationId xmlns:a16="http://schemas.microsoft.com/office/drawing/2014/main" id="{00000000-0008-0000-0100-000036000000}"/>
            </a:ext>
          </a:extLst>
        </xdr:cNvPr>
        <xdr:cNvSpPr txBox="1"/>
      </xdr:nvSpPr>
      <xdr:spPr>
        <a:xfrm>
          <a:off x="104775" y="23974425"/>
          <a:ext cx="87344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84</xdr:row>
      <xdr:rowOff>0</xdr:rowOff>
    </xdr:from>
    <xdr:to>
      <xdr:col>14</xdr:col>
      <xdr:colOff>0</xdr:colOff>
      <xdr:row>88</xdr:row>
      <xdr:rowOff>0</xdr:rowOff>
    </xdr:to>
    <xdr:sp macro="" textlink="">
      <xdr:nvSpPr>
        <xdr:cNvPr id="55" name="ZoneTexte 54">
          <a:extLst>
            <a:ext uri="{FF2B5EF4-FFF2-40B4-BE49-F238E27FC236}">
              <a16:creationId xmlns:a16="http://schemas.microsoft.com/office/drawing/2014/main" id="{00000000-0008-0000-0100-000037000000}"/>
            </a:ext>
          </a:extLst>
        </xdr:cNvPr>
        <xdr:cNvSpPr txBox="1"/>
      </xdr:nvSpPr>
      <xdr:spPr>
        <a:xfrm>
          <a:off x="104775" y="25650825"/>
          <a:ext cx="873442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91</xdr:row>
      <xdr:rowOff>0</xdr:rowOff>
    </xdr:from>
    <xdr:to>
      <xdr:col>14</xdr:col>
      <xdr:colOff>0</xdr:colOff>
      <xdr:row>96</xdr:row>
      <xdr:rowOff>0</xdr:rowOff>
    </xdr:to>
    <xdr:sp macro="" textlink="">
      <xdr:nvSpPr>
        <xdr:cNvPr id="56" name="ZoneTexte 55">
          <a:extLst>
            <a:ext uri="{FF2B5EF4-FFF2-40B4-BE49-F238E27FC236}">
              <a16:creationId xmlns:a16="http://schemas.microsoft.com/office/drawing/2014/main" id="{00000000-0008-0000-0100-000038000000}"/>
            </a:ext>
          </a:extLst>
        </xdr:cNvPr>
        <xdr:cNvSpPr txBox="1"/>
      </xdr:nvSpPr>
      <xdr:spPr>
        <a:xfrm>
          <a:off x="104775" y="27441525"/>
          <a:ext cx="87344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99</xdr:row>
      <xdr:rowOff>1</xdr:rowOff>
    </xdr:from>
    <xdr:to>
      <xdr:col>14</xdr:col>
      <xdr:colOff>0</xdr:colOff>
      <xdr:row>104</xdr:row>
      <xdr:rowOff>9526</xdr:rowOff>
    </xdr:to>
    <xdr:sp macro="" textlink="">
      <xdr:nvSpPr>
        <xdr:cNvPr id="58" name="ZoneTexte 57">
          <a:extLst>
            <a:ext uri="{FF2B5EF4-FFF2-40B4-BE49-F238E27FC236}">
              <a16:creationId xmlns:a16="http://schemas.microsoft.com/office/drawing/2014/main" id="{00000000-0008-0000-0100-00003A000000}"/>
            </a:ext>
          </a:extLst>
        </xdr:cNvPr>
        <xdr:cNvSpPr txBox="1"/>
      </xdr:nvSpPr>
      <xdr:spPr>
        <a:xfrm>
          <a:off x="104775" y="28155901"/>
          <a:ext cx="8848725"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1</xdr:col>
      <xdr:colOff>0</xdr:colOff>
      <xdr:row>107</xdr:row>
      <xdr:rowOff>0</xdr:rowOff>
    </xdr:from>
    <xdr:to>
      <xdr:col>14</xdr:col>
      <xdr:colOff>0</xdr:colOff>
      <xdr:row>116</xdr:row>
      <xdr:rowOff>152400</xdr:rowOff>
    </xdr:to>
    <xdr:sp macro="" textlink="">
      <xdr:nvSpPr>
        <xdr:cNvPr id="59" name="ZoneTexte 58">
          <a:extLst>
            <a:ext uri="{FF2B5EF4-FFF2-40B4-BE49-F238E27FC236}">
              <a16:creationId xmlns:a16="http://schemas.microsoft.com/office/drawing/2014/main" id="{00000000-0008-0000-0100-00003B000000}"/>
            </a:ext>
          </a:extLst>
        </xdr:cNvPr>
        <xdr:cNvSpPr txBox="1"/>
      </xdr:nvSpPr>
      <xdr:spPr>
        <a:xfrm>
          <a:off x="104775" y="31813500"/>
          <a:ext cx="873442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a:t>									</a:t>
          </a:r>
        </a:p>
      </xdr:txBody>
    </xdr:sp>
    <xdr:clientData/>
  </xdr:twoCellAnchor>
  <xdr:twoCellAnchor>
    <xdr:from>
      <xdr:col>4</xdr:col>
      <xdr:colOff>447674</xdr:colOff>
      <xdr:row>105</xdr:row>
      <xdr:rowOff>28574</xdr:rowOff>
    </xdr:from>
    <xdr:to>
      <xdr:col>5</xdr:col>
      <xdr:colOff>314325</xdr:colOff>
      <xdr:row>105</xdr:row>
      <xdr:rowOff>209550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bwMode="auto">
        <a:xfrm>
          <a:off x="2752724" y="31556324"/>
          <a:ext cx="600076" cy="180976"/>
        </a:xfrm>
        <a:prstGeom prst="rightArrow">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lang="fr-FR" sz="1100"/>
        </a:p>
      </xdr:txBody>
    </xdr:sp>
    <xdr:clientData/>
  </xdr:twoCellAnchor>
  <mc:AlternateContent xmlns:mc="http://schemas.openxmlformats.org/markup-compatibility/2006">
    <mc:Choice xmlns:a14="http://schemas.microsoft.com/office/drawing/2010/main" Requires="a14">
      <xdr:twoCellAnchor editAs="oneCell">
        <xdr:from>
          <xdr:col>6</xdr:col>
          <xdr:colOff>525780</xdr:colOff>
          <xdr:row>35</xdr:row>
          <xdr:rowOff>0</xdr:rowOff>
        </xdr:from>
        <xdr:to>
          <xdr:col>7</xdr:col>
          <xdr:colOff>83820</xdr:colOff>
          <xdr:row>35</xdr:row>
          <xdr:rowOff>220980</xdr:rowOff>
        </xdr:to>
        <xdr:sp macro="" textlink="">
          <xdr:nvSpPr>
            <xdr:cNvPr id="19457" name="Check Box 1025"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36</xdr:row>
          <xdr:rowOff>0</xdr:rowOff>
        </xdr:from>
        <xdr:to>
          <xdr:col>7</xdr:col>
          <xdr:colOff>83820</xdr:colOff>
          <xdr:row>36</xdr:row>
          <xdr:rowOff>220980</xdr:rowOff>
        </xdr:to>
        <xdr:sp macro="" textlink="">
          <xdr:nvSpPr>
            <xdr:cNvPr id="19458" name="Check Box 1026"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502920</xdr:colOff>
          <xdr:row>37</xdr:row>
          <xdr:rowOff>0</xdr:rowOff>
        </xdr:from>
        <xdr:to>
          <xdr:col>7</xdr:col>
          <xdr:colOff>76200</xdr:colOff>
          <xdr:row>37</xdr:row>
          <xdr:rowOff>220980</xdr:rowOff>
        </xdr:to>
        <xdr:sp macro="" textlink="">
          <xdr:nvSpPr>
            <xdr:cNvPr id="19459" name="Check Box 1027"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13</xdr:row>
          <xdr:rowOff>0</xdr:rowOff>
        </xdr:from>
        <xdr:to>
          <xdr:col>11</xdr:col>
          <xdr:colOff>144780</xdr:colOff>
          <xdr:row>13</xdr:row>
          <xdr:rowOff>220980</xdr:rowOff>
        </xdr:to>
        <xdr:sp macro="" textlink="">
          <xdr:nvSpPr>
            <xdr:cNvPr id="19463" name="Check Box 1031"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20</xdr:row>
          <xdr:rowOff>0</xdr:rowOff>
        </xdr:from>
        <xdr:to>
          <xdr:col>11</xdr:col>
          <xdr:colOff>144780</xdr:colOff>
          <xdr:row>20</xdr:row>
          <xdr:rowOff>220980</xdr:rowOff>
        </xdr:to>
        <xdr:sp macro="" textlink="">
          <xdr:nvSpPr>
            <xdr:cNvPr id="19464" name="Check Box 1032"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21</xdr:row>
          <xdr:rowOff>0</xdr:rowOff>
        </xdr:from>
        <xdr:to>
          <xdr:col>11</xdr:col>
          <xdr:colOff>144780</xdr:colOff>
          <xdr:row>21</xdr:row>
          <xdr:rowOff>220980</xdr:rowOff>
        </xdr:to>
        <xdr:sp macro="" textlink="">
          <xdr:nvSpPr>
            <xdr:cNvPr id="19465" name="Check Box 1033"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22</xdr:row>
          <xdr:rowOff>0</xdr:rowOff>
        </xdr:from>
        <xdr:to>
          <xdr:col>11</xdr:col>
          <xdr:colOff>144780</xdr:colOff>
          <xdr:row>22</xdr:row>
          <xdr:rowOff>220980</xdr:rowOff>
        </xdr:to>
        <xdr:sp macro="" textlink="">
          <xdr:nvSpPr>
            <xdr:cNvPr id="19469" name="Check Box 1037"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14</xdr:row>
          <xdr:rowOff>0</xdr:rowOff>
        </xdr:from>
        <xdr:to>
          <xdr:col>11</xdr:col>
          <xdr:colOff>144780</xdr:colOff>
          <xdr:row>14</xdr:row>
          <xdr:rowOff>220980</xdr:rowOff>
        </xdr:to>
        <xdr:sp macro="" textlink="">
          <xdr:nvSpPr>
            <xdr:cNvPr id="19474" name="Check Box 1042"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16</xdr:row>
          <xdr:rowOff>0</xdr:rowOff>
        </xdr:from>
        <xdr:to>
          <xdr:col>11</xdr:col>
          <xdr:colOff>144780</xdr:colOff>
          <xdr:row>16</xdr:row>
          <xdr:rowOff>220980</xdr:rowOff>
        </xdr:to>
        <xdr:sp macro="" textlink="">
          <xdr:nvSpPr>
            <xdr:cNvPr id="19487" name="Check Box 1055"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23</xdr:row>
          <xdr:rowOff>0</xdr:rowOff>
        </xdr:from>
        <xdr:to>
          <xdr:col>11</xdr:col>
          <xdr:colOff>144780</xdr:colOff>
          <xdr:row>23</xdr:row>
          <xdr:rowOff>220980</xdr:rowOff>
        </xdr:to>
        <xdr:sp macro="" textlink="">
          <xdr:nvSpPr>
            <xdr:cNvPr id="19491" name="Check Box 1059"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25</xdr:row>
          <xdr:rowOff>0</xdr:rowOff>
        </xdr:from>
        <xdr:to>
          <xdr:col>11</xdr:col>
          <xdr:colOff>144780</xdr:colOff>
          <xdr:row>25</xdr:row>
          <xdr:rowOff>220980</xdr:rowOff>
        </xdr:to>
        <xdr:sp macro="" textlink="">
          <xdr:nvSpPr>
            <xdr:cNvPr id="19493" name="Check Box 1061"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17</xdr:row>
          <xdr:rowOff>0</xdr:rowOff>
        </xdr:from>
        <xdr:to>
          <xdr:col>11</xdr:col>
          <xdr:colOff>144780</xdr:colOff>
          <xdr:row>17</xdr:row>
          <xdr:rowOff>220980</xdr:rowOff>
        </xdr:to>
        <xdr:sp macro="" textlink="">
          <xdr:nvSpPr>
            <xdr:cNvPr id="19498" name="Check Box 1066"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17</xdr:row>
          <xdr:rowOff>0</xdr:rowOff>
        </xdr:from>
        <xdr:to>
          <xdr:col>11</xdr:col>
          <xdr:colOff>144780</xdr:colOff>
          <xdr:row>17</xdr:row>
          <xdr:rowOff>220980</xdr:rowOff>
        </xdr:to>
        <xdr:sp macro="" textlink="">
          <xdr:nvSpPr>
            <xdr:cNvPr id="19502" name="Check Box 1070"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19</xdr:row>
          <xdr:rowOff>0</xdr:rowOff>
        </xdr:from>
        <xdr:to>
          <xdr:col>11</xdr:col>
          <xdr:colOff>144780</xdr:colOff>
          <xdr:row>19</xdr:row>
          <xdr:rowOff>220980</xdr:rowOff>
        </xdr:to>
        <xdr:sp macro="" textlink="">
          <xdr:nvSpPr>
            <xdr:cNvPr id="19503" name="Check Box 1071"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26</xdr:row>
          <xdr:rowOff>0</xdr:rowOff>
        </xdr:from>
        <xdr:to>
          <xdr:col>11</xdr:col>
          <xdr:colOff>144780</xdr:colOff>
          <xdr:row>26</xdr:row>
          <xdr:rowOff>220980</xdr:rowOff>
        </xdr:to>
        <xdr:sp macro="" textlink="">
          <xdr:nvSpPr>
            <xdr:cNvPr id="20058" name="Check Box 1626" hidden="1">
              <a:extLst>
                <a:ext uri="{63B3BB69-23CF-44E3-9099-C40C66FF867C}">
                  <a14:compatExt spid="_x0000_s20058"/>
                </a:ext>
                <a:ext uri="{FF2B5EF4-FFF2-40B4-BE49-F238E27FC236}">
                  <a16:creationId xmlns:a16="http://schemas.microsoft.com/office/drawing/2014/main" id="{00000000-0008-0000-0100-00005A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27</xdr:row>
          <xdr:rowOff>0</xdr:rowOff>
        </xdr:from>
        <xdr:to>
          <xdr:col>11</xdr:col>
          <xdr:colOff>144780</xdr:colOff>
          <xdr:row>27</xdr:row>
          <xdr:rowOff>220980</xdr:rowOff>
        </xdr:to>
        <xdr:sp macro="" textlink="">
          <xdr:nvSpPr>
            <xdr:cNvPr id="20059" name="Check Box 1627" hidden="1">
              <a:extLst>
                <a:ext uri="{63B3BB69-23CF-44E3-9099-C40C66FF867C}">
                  <a14:compatExt spid="_x0000_s20059"/>
                </a:ext>
                <a:ext uri="{FF2B5EF4-FFF2-40B4-BE49-F238E27FC236}">
                  <a16:creationId xmlns:a16="http://schemas.microsoft.com/office/drawing/2014/main" id="{00000000-0008-0000-0100-00005B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28</xdr:row>
          <xdr:rowOff>0</xdr:rowOff>
        </xdr:from>
        <xdr:to>
          <xdr:col>11</xdr:col>
          <xdr:colOff>144780</xdr:colOff>
          <xdr:row>28</xdr:row>
          <xdr:rowOff>220980</xdr:rowOff>
        </xdr:to>
        <xdr:sp macro="" textlink="">
          <xdr:nvSpPr>
            <xdr:cNvPr id="20060" name="Check Box 1628" hidden="1">
              <a:extLst>
                <a:ext uri="{63B3BB69-23CF-44E3-9099-C40C66FF867C}">
                  <a14:compatExt spid="_x0000_s20060"/>
                </a:ext>
                <a:ext uri="{FF2B5EF4-FFF2-40B4-BE49-F238E27FC236}">
                  <a16:creationId xmlns:a16="http://schemas.microsoft.com/office/drawing/2014/main" id="{00000000-0008-0000-0100-00005C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29</xdr:row>
          <xdr:rowOff>0</xdr:rowOff>
        </xdr:from>
        <xdr:to>
          <xdr:col>11</xdr:col>
          <xdr:colOff>144780</xdr:colOff>
          <xdr:row>29</xdr:row>
          <xdr:rowOff>220980</xdr:rowOff>
        </xdr:to>
        <xdr:sp macro="" textlink="">
          <xdr:nvSpPr>
            <xdr:cNvPr id="20061" name="Check Box 1629" hidden="1">
              <a:extLst>
                <a:ext uri="{63B3BB69-23CF-44E3-9099-C40C66FF867C}">
                  <a14:compatExt spid="_x0000_s20061"/>
                </a:ext>
                <a:ext uri="{FF2B5EF4-FFF2-40B4-BE49-F238E27FC236}">
                  <a16:creationId xmlns:a16="http://schemas.microsoft.com/office/drawing/2014/main" id="{00000000-0008-0000-0100-00005D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30</xdr:row>
          <xdr:rowOff>0</xdr:rowOff>
        </xdr:from>
        <xdr:to>
          <xdr:col>11</xdr:col>
          <xdr:colOff>144780</xdr:colOff>
          <xdr:row>30</xdr:row>
          <xdr:rowOff>220980</xdr:rowOff>
        </xdr:to>
        <xdr:sp macro="" textlink="">
          <xdr:nvSpPr>
            <xdr:cNvPr id="20062" name="Check Box 1630" hidden="1">
              <a:extLst>
                <a:ext uri="{63B3BB69-23CF-44E3-9099-C40C66FF867C}">
                  <a14:compatExt spid="_x0000_s20062"/>
                </a:ext>
                <a:ext uri="{FF2B5EF4-FFF2-40B4-BE49-F238E27FC236}">
                  <a16:creationId xmlns:a16="http://schemas.microsoft.com/office/drawing/2014/main" id="{00000000-0008-0000-0100-00005E4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15</xdr:row>
          <xdr:rowOff>0</xdr:rowOff>
        </xdr:from>
        <xdr:to>
          <xdr:col>11</xdr:col>
          <xdr:colOff>144780</xdr:colOff>
          <xdr:row>15</xdr:row>
          <xdr:rowOff>220980</xdr:rowOff>
        </xdr:to>
        <xdr:sp macro="" textlink="">
          <xdr:nvSpPr>
            <xdr:cNvPr id="14207863" name="Check Box 10103" hidden="1">
              <a:extLst>
                <a:ext uri="{63B3BB69-23CF-44E3-9099-C40C66FF867C}">
                  <a14:compatExt spid="_x0000_s14207863"/>
                </a:ext>
                <a:ext uri="{FF2B5EF4-FFF2-40B4-BE49-F238E27FC236}">
                  <a16:creationId xmlns:a16="http://schemas.microsoft.com/office/drawing/2014/main" id="{00000000-0008-0000-0100-000077CBD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24</xdr:row>
          <xdr:rowOff>0</xdr:rowOff>
        </xdr:from>
        <xdr:to>
          <xdr:col>11</xdr:col>
          <xdr:colOff>144780</xdr:colOff>
          <xdr:row>24</xdr:row>
          <xdr:rowOff>220980</xdr:rowOff>
        </xdr:to>
        <xdr:sp macro="" textlink="">
          <xdr:nvSpPr>
            <xdr:cNvPr id="14207864" name="Check Box 10104" hidden="1">
              <a:extLst>
                <a:ext uri="{63B3BB69-23CF-44E3-9099-C40C66FF867C}">
                  <a14:compatExt spid="_x0000_s14207864"/>
                </a:ext>
                <a:ext uri="{FF2B5EF4-FFF2-40B4-BE49-F238E27FC236}">
                  <a16:creationId xmlns:a16="http://schemas.microsoft.com/office/drawing/2014/main" id="{00000000-0008-0000-0100-000078CBD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18</xdr:row>
          <xdr:rowOff>0</xdr:rowOff>
        </xdr:from>
        <xdr:to>
          <xdr:col>11</xdr:col>
          <xdr:colOff>144780</xdr:colOff>
          <xdr:row>18</xdr:row>
          <xdr:rowOff>220980</xdr:rowOff>
        </xdr:to>
        <xdr:sp macro="" textlink="">
          <xdr:nvSpPr>
            <xdr:cNvPr id="34652468" name="Check Box 10548" hidden="1">
              <a:extLst>
                <a:ext uri="{63B3BB69-23CF-44E3-9099-C40C66FF867C}">
                  <a14:compatExt spid="_x0000_s34652468"/>
                </a:ext>
                <a:ext uri="{FF2B5EF4-FFF2-40B4-BE49-F238E27FC236}">
                  <a16:creationId xmlns:a16="http://schemas.microsoft.com/office/drawing/2014/main" id="{00000000-0008-0000-0100-000034C110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18</xdr:row>
          <xdr:rowOff>0</xdr:rowOff>
        </xdr:from>
        <xdr:to>
          <xdr:col>11</xdr:col>
          <xdr:colOff>144780</xdr:colOff>
          <xdr:row>18</xdr:row>
          <xdr:rowOff>220980</xdr:rowOff>
        </xdr:to>
        <xdr:sp macro="" textlink="">
          <xdr:nvSpPr>
            <xdr:cNvPr id="34652469" name="Check Box 10549" hidden="1">
              <a:extLst>
                <a:ext uri="{63B3BB69-23CF-44E3-9099-C40C66FF867C}">
                  <a14:compatExt spid="_x0000_s34652469"/>
                </a:ext>
                <a:ext uri="{FF2B5EF4-FFF2-40B4-BE49-F238E27FC236}">
                  <a16:creationId xmlns:a16="http://schemas.microsoft.com/office/drawing/2014/main" id="{00000000-0008-0000-0100-000035C110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438150</xdr:colOff>
      <xdr:row>96</xdr:row>
      <xdr:rowOff>114300</xdr:rowOff>
    </xdr:from>
    <xdr:to>
      <xdr:col>2</xdr:col>
      <xdr:colOff>514350</xdr:colOff>
      <xdr:row>97</xdr:row>
      <xdr:rowOff>66675</xdr:rowOff>
    </xdr:to>
    <xdr:sp macro="" textlink="">
      <xdr:nvSpPr>
        <xdr:cNvPr id="40520827" name="Text Box 98">
          <a:extLst>
            <a:ext uri="{FF2B5EF4-FFF2-40B4-BE49-F238E27FC236}">
              <a16:creationId xmlns:a16="http://schemas.microsoft.com/office/drawing/2014/main" id="{00000000-0008-0000-0200-00007B4C6A02}"/>
            </a:ext>
          </a:extLst>
        </xdr:cNvPr>
        <xdr:cNvSpPr txBox="1">
          <a:spLocks noChangeArrowheads="1"/>
        </xdr:cNvSpPr>
      </xdr:nvSpPr>
      <xdr:spPr bwMode="auto">
        <a:xfrm>
          <a:off x="2047875" y="2024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14</xdr:col>
      <xdr:colOff>0</xdr:colOff>
      <xdr:row>42</xdr:row>
      <xdr:rowOff>19050</xdr:rowOff>
    </xdr:to>
    <xdr:sp macro="" textlink="">
      <xdr:nvSpPr>
        <xdr:cNvPr id="12" name="ZoneTexte 11">
          <a:extLst>
            <a:ext uri="{FF2B5EF4-FFF2-40B4-BE49-F238E27FC236}">
              <a16:creationId xmlns:a16="http://schemas.microsoft.com/office/drawing/2014/main" id="{00000000-0008-0000-0200-00000C000000}"/>
            </a:ext>
          </a:extLst>
        </xdr:cNvPr>
        <xdr:cNvSpPr txBox="1"/>
      </xdr:nvSpPr>
      <xdr:spPr>
        <a:xfrm>
          <a:off x="104775" y="7848600"/>
          <a:ext cx="9877425" cy="27622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46</xdr:row>
      <xdr:rowOff>0</xdr:rowOff>
    </xdr:from>
    <xdr:to>
      <xdr:col>14</xdr:col>
      <xdr:colOff>0</xdr:colOff>
      <xdr:row>53</xdr:row>
      <xdr:rowOff>0</xdr:rowOff>
    </xdr:to>
    <xdr:sp macro="" textlink="">
      <xdr:nvSpPr>
        <xdr:cNvPr id="13" name="ZoneTexte 12">
          <a:extLst>
            <a:ext uri="{FF2B5EF4-FFF2-40B4-BE49-F238E27FC236}">
              <a16:creationId xmlns:a16="http://schemas.microsoft.com/office/drawing/2014/main" id="{00000000-0008-0000-0200-00000D000000}"/>
            </a:ext>
          </a:extLst>
        </xdr:cNvPr>
        <xdr:cNvSpPr txBox="1"/>
      </xdr:nvSpPr>
      <xdr:spPr>
        <a:xfrm>
          <a:off x="104775" y="11563350"/>
          <a:ext cx="9877425" cy="25336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56</xdr:row>
      <xdr:rowOff>0</xdr:rowOff>
    </xdr:from>
    <xdr:to>
      <xdr:col>7</xdr:col>
      <xdr:colOff>495300</xdr:colOff>
      <xdr:row>63</xdr:row>
      <xdr:rowOff>0</xdr:rowOff>
    </xdr:to>
    <xdr:sp macro="" textlink="">
      <xdr:nvSpPr>
        <xdr:cNvPr id="14" name="ZoneTexte 13">
          <a:extLst>
            <a:ext uri="{FF2B5EF4-FFF2-40B4-BE49-F238E27FC236}">
              <a16:creationId xmlns:a16="http://schemas.microsoft.com/office/drawing/2014/main" id="{00000000-0008-0000-0200-00000E000000}"/>
            </a:ext>
          </a:extLst>
        </xdr:cNvPr>
        <xdr:cNvSpPr txBox="1"/>
      </xdr:nvSpPr>
      <xdr:spPr>
        <a:xfrm>
          <a:off x="104775" y="12449175"/>
          <a:ext cx="5048250"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73</xdr:row>
      <xdr:rowOff>0</xdr:rowOff>
    </xdr:from>
    <xdr:to>
      <xdr:col>7</xdr:col>
      <xdr:colOff>619125</xdr:colOff>
      <xdr:row>80</xdr:row>
      <xdr:rowOff>0</xdr:rowOff>
    </xdr:to>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04775" y="17545050"/>
          <a:ext cx="5000625"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93</xdr:row>
      <xdr:rowOff>0</xdr:rowOff>
    </xdr:from>
    <xdr:to>
      <xdr:col>7</xdr:col>
      <xdr:colOff>600075</xdr:colOff>
      <xdr:row>100</xdr:row>
      <xdr:rowOff>0</xdr:rowOff>
    </xdr:to>
    <xdr:sp macro="" textlink="">
      <xdr:nvSpPr>
        <xdr:cNvPr id="16" name="ZoneTexte 15">
          <a:extLst>
            <a:ext uri="{FF2B5EF4-FFF2-40B4-BE49-F238E27FC236}">
              <a16:creationId xmlns:a16="http://schemas.microsoft.com/office/drawing/2014/main" id="{00000000-0008-0000-0200-000010000000}"/>
            </a:ext>
          </a:extLst>
        </xdr:cNvPr>
        <xdr:cNvSpPr txBox="1"/>
      </xdr:nvSpPr>
      <xdr:spPr>
        <a:xfrm>
          <a:off x="104775" y="20278725"/>
          <a:ext cx="4981575"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101</xdr:row>
      <xdr:rowOff>247649</xdr:rowOff>
    </xdr:from>
    <xdr:to>
      <xdr:col>7</xdr:col>
      <xdr:colOff>571500</xdr:colOff>
      <xdr:row>109</xdr:row>
      <xdr:rowOff>9524</xdr:rowOff>
    </xdr:to>
    <xdr:sp macro="" textlink="">
      <xdr:nvSpPr>
        <xdr:cNvPr id="17" name="ZoneTexte 16">
          <a:extLst>
            <a:ext uri="{FF2B5EF4-FFF2-40B4-BE49-F238E27FC236}">
              <a16:creationId xmlns:a16="http://schemas.microsoft.com/office/drawing/2014/main" id="{00000000-0008-0000-0200-000011000000}"/>
            </a:ext>
          </a:extLst>
        </xdr:cNvPr>
        <xdr:cNvSpPr txBox="1"/>
      </xdr:nvSpPr>
      <xdr:spPr>
        <a:xfrm>
          <a:off x="104775" y="22507574"/>
          <a:ext cx="4953000" cy="174307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8</xdr:col>
      <xdr:colOff>19050</xdr:colOff>
      <xdr:row>102</xdr:row>
      <xdr:rowOff>0</xdr:rowOff>
    </xdr:from>
    <xdr:to>
      <xdr:col>13</xdr:col>
      <xdr:colOff>695325</xdr:colOff>
      <xdr:row>109</xdr:row>
      <xdr:rowOff>9525</xdr:rowOff>
    </xdr:to>
    <xdr:sp macro="" textlink="">
      <xdr:nvSpPr>
        <xdr:cNvPr id="18" name="ZoneTexte 17">
          <a:extLst>
            <a:ext uri="{FF2B5EF4-FFF2-40B4-BE49-F238E27FC236}">
              <a16:creationId xmlns:a16="http://schemas.microsoft.com/office/drawing/2014/main" id="{00000000-0008-0000-0200-000012000000}"/>
            </a:ext>
          </a:extLst>
        </xdr:cNvPr>
        <xdr:cNvSpPr txBox="1"/>
      </xdr:nvSpPr>
      <xdr:spPr>
        <a:xfrm>
          <a:off x="6096000" y="23736300"/>
          <a:ext cx="4772025" cy="174307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8</xdr:col>
      <xdr:colOff>9525</xdr:colOff>
      <xdr:row>93</xdr:row>
      <xdr:rowOff>0</xdr:rowOff>
    </xdr:from>
    <xdr:to>
      <xdr:col>13</xdr:col>
      <xdr:colOff>695325</xdr:colOff>
      <xdr:row>100</xdr:row>
      <xdr:rowOff>9525</xdr:rowOff>
    </xdr:to>
    <xdr:sp macro="" textlink="">
      <xdr:nvSpPr>
        <xdr:cNvPr id="19" name="ZoneTexte 18">
          <a:extLst>
            <a:ext uri="{FF2B5EF4-FFF2-40B4-BE49-F238E27FC236}">
              <a16:creationId xmlns:a16="http://schemas.microsoft.com/office/drawing/2014/main" id="{00000000-0008-0000-0200-000013000000}"/>
            </a:ext>
          </a:extLst>
        </xdr:cNvPr>
        <xdr:cNvSpPr txBox="1"/>
      </xdr:nvSpPr>
      <xdr:spPr>
        <a:xfrm>
          <a:off x="6086475" y="21631275"/>
          <a:ext cx="4781550" cy="174307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8</xdr:col>
      <xdr:colOff>9525</xdr:colOff>
      <xdr:row>73</xdr:row>
      <xdr:rowOff>0</xdr:rowOff>
    </xdr:from>
    <xdr:to>
      <xdr:col>13</xdr:col>
      <xdr:colOff>695325</xdr:colOff>
      <xdr:row>80</xdr:row>
      <xdr:rowOff>0</xdr:rowOff>
    </xdr:to>
    <xdr:sp macro="" textlink="">
      <xdr:nvSpPr>
        <xdr:cNvPr id="20" name="ZoneTexte 19">
          <a:extLst>
            <a:ext uri="{FF2B5EF4-FFF2-40B4-BE49-F238E27FC236}">
              <a16:creationId xmlns:a16="http://schemas.microsoft.com/office/drawing/2014/main" id="{00000000-0008-0000-0200-000014000000}"/>
            </a:ext>
          </a:extLst>
        </xdr:cNvPr>
        <xdr:cNvSpPr txBox="1"/>
      </xdr:nvSpPr>
      <xdr:spPr>
        <a:xfrm>
          <a:off x="6086475" y="16725900"/>
          <a:ext cx="4781550"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7</xdr:col>
      <xdr:colOff>838201</xdr:colOff>
      <xdr:row>56</xdr:row>
      <xdr:rowOff>1</xdr:rowOff>
    </xdr:from>
    <xdr:to>
      <xdr:col>13</xdr:col>
      <xdr:colOff>695325</xdr:colOff>
      <xdr:row>63</xdr:row>
      <xdr:rowOff>9525</xdr:rowOff>
    </xdr:to>
    <xdr:sp macro="" textlink="">
      <xdr:nvSpPr>
        <xdr:cNvPr id="21" name="ZoneTexte 20">
          <a:extLst>
            <a:ext uri="{FF2B5EF4-FFF2-40B4-BE49-F238E27FC236}">
              <a16:creationId xmlns:a16="http://schemas.microsoft.com/office/drawing/2014/main" id="{00000000-0008-0000-0200-000015000000}"/>
            </a:ext>
          </a:extLst>
        </xdr:cNvPr>
        <xdr:cNvSpPr txBox="1"/>
      </xdr:nvSpPr>
      <xdr:spPr>
        <a:xfrm>
          <a:off x="6067426" y="12696826"/>
          <a:ext cx="4800599" cy="174307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1</xdr:col>
      <xdr:colOff>0</xdr:colOff>
      <xdr:row>82</xdr:row>
      <xdr:rowOff>0</xdr:rowOff>
    </xdr:from>
    <xdr:to>
      <xdr:col>7</xdr:col>
      <xdr:colOff>619125</xdr:colOff>
      <xdr:row>89</xdr:row>
      <xdr:rowOff>0</xdr:rowOff>
    </xdr:to>
    <xdr:sp macro="" textlink="">
      <xdr:nvSpPr>
        <xdr:cNvPr id="22" name="ZoneTexte 21">
          <a:extLst>
            <a:ext uri="{FF2B5EF4-FFF2-40B4-BE49-F238E27FC236}">
              <a16:creationId xmlns:a16="http://schemas.microsoft.com/office/drawing/2014/main" id="{00000000-0008-0000-0200-000016000000}"/>
            </a:ext>
          </a:extLst>
        </xdr:cNvPr>
        <xdr:cNvSpPr txBox="1"/>
      </xdr:nvSpPr>
      <xdr:spPr>
        <a:xfrm>
          <a:off x="104775" y="16592550"/>
          <a:ext cx="5000625"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7</xdr:col>
      <xdr:colOff>847724</xdr:colOff>
      <xdr:row>82</xdr:row>
      <xdr:rowOff>0</xdr:rowOff>
    </xdr:from>
    <xdr:to>
      <xdr:col>13</xdr:col>
      <xdr:colOff>695324</xdr:colOff>
      <xdr:row>89</xdr:row>
      <xdr:rowOff>0</xdr:rowOff>
    </xdr:to>
    <xdr:sp macro="" textlink="">
      <xdr:nvSpPr>
        <xdr:cNvPr id="23" name="ZoneTexte 22">
          <a:extLst>
            <a:ext uri="{FF2B5EF4-FFF2-40B4-BE49-F238E27FC236}">
              <a16:creationId xmlns:a16="http://schemas.microsoft.com/office/drawing/2014/main" id="{00000000-0008-0000-0200-000017000000}"/>
            </a:ext>
          </a:extLst>
        </xdr:cNvPr>
        <xdr:cNvSpPr txBox="1"/>
      </xdr:nvSpPr>
      <xdr:spPr>
        <a:xfrm>
          <a:off x="6076949" y="18830925"/>
          <a:ext cx="4791075" cy="173355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mc:AlternateContent xmlns:mc="http://schemas.openxmlformats.org/markup-compatibility/2006">
    <mc:Choice xmlns:a14="http://schemas.microsoft.com/office/drawing/2010/main" Requires="a14">
      <xdr:twoCellAnchor editAs="oneCell">
        <xdr:from>
          <xdr:col>1</xdr:col>
          <xdr:colOff>312420</xdr:colOff>
          <xdr:row>65</xdr:row>
          <xdr:rowOff>144780</xdr:rowOff>
        </xdr:from>
        <xdr:to>
          <xdr:col>1</xdr:col>
          <xdr:colOff>1249680</xdr:colOff>
          <xdr:row>66</xdr:row>
          <xdr:rowOff>114300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Local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65</xdr:row>
          <xdr:rowOff>152400</xdr:rowOff>
        </xdr:from>
        <xdr:to>
          <xdr:col>3</xdr:col>
          <xdr:colOff>487680</xdr:colOff>
          <xdr:row>67</xdr:row>
          <xdr:rowOff>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Régional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68</xdr:row>
          <xdr:rowOff>106680</xdr:rowOff>
        </xdr:from>
        <xdr:to>
          <xdr:col>1</xdr:col>
          <xdr:colOff>1287780</xdr:colOff>
          <xdr:row>69</xdr:row>
          <xdr:rowOff>76200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National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68</xdr:row>
          <xdr:rowOff>114300</xdr:rowOff>
        </xdr:from>
        <xdr:to>
          <xdr:col>3</xdr:col>
          <xdr:colOff>487680</xdr:colOff>
          <xdr:row>69</xdr:row>
          <xdr:rowOff>83820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International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78</xdr:row>
          <xdr:rowOff>0</xdr:rowOff>
        </xdr:from>
        <xdr:to>
          <xdr:col>14</xdr:col>
          <xdr:colOff>0</xdr:colOff>
          <xdr:row>78</xdr:row>
          <xdr:rowOff>0</xdr:rowOff>
        </xdr:to>
        <xdr:sp macro="" textlink="">
          <xdr:nvSpPr>
            <xdr:cNvPr id="12311" name="Button 23"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900" b="0" i="0" u="none" strike="noStrike" baseline="0">
                  <a:solidFill>
                    <a:srgbClr val="0000FF"/>
                  </a:solidFill>
                  <a:latin typeface="Times New Roman"/>
                  <a:cs typeface="Times New Roman"/>
                </a:rPr>
                <a:t>Retour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0</xdr:colOff>
          <xdr:row>78</xdr:row>
          <xdr:rowOff>0</xdr:rowOff>
        </xdr:from>
        <xdr:to>
          <xdr:col>14</xdr:col>
          <xdr:colOff>0</xdr:colOff>
          <xdr:row>78</xdr:row>
          <xdr:rowOff>0</xdr:rowOff>
        </xdr:to>
        <xdr:sp macro="" textlink="">
          <xdr:nvSpPr>
            <xdr:cNvPr id="12312" name="Button 24"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900" b="0" i="0" u="none" strike="noStrike" baseline="0">
                  <a:solidFill>
                    <a:srgbClr val="0000FF"/>
                  </a:solidFill>
                  <a:latin typeface="Times New Roman"/>
                  <a:cs typeface="Times New Roman"/>
                </a:rPr>
                <a:t>Retour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0</xdr:colOff>
          <xdr:row>78</xdr:row>
          <xdr:rowOff>0</xdr:rowOff>
        </xdr:from>
        <xdr:to>
          <xdr:col>14</xdr:col>
          <xdr:colOff>0</xdr:colOff>
          <xdr:row>78</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900" b="0" i="0" u="none" strike="noStrike" baseline="0">
                  <a:solidFill>
                    <a:srgbClr val="0000FF"/>
                  </a:solidFill>
                  <a:latin typeface="Times New Roman"/>
                  <a:cs typeface="Times New Roman"/>
                </a:rPr>
                <a:t>Retour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0</xdr:colOff>
          <xdr:row>78</xdr:row>
          <xdr:rowOff>0</xdr:rowOff>
        </xdr:from>
        <xdr:to>
          <xdr:col>14</xdr:col>
          <xdr:colOff>0</xdr:colOff>
          <xdr:row>78</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900" b="0" i="0" u="none" strike="noStrike" baseline="0">
                  <a:solidFill>
                    <a:srgbClr val="0000FF"/>
                  </a:solidFill>
                  <a:latin typeface="Times New Roman"/>
                  <a:cs typeface="Times New Roman"/>
                </a:rPr>
                <a:t>Retour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180975</xdr:colOff>
      <xdr:row>53</xdr:row>
      <xdr:rowOff>28575</xdr:rowOff>
    </xdr:from>
    <xdr:to>
      <xdr:col>5</xdr:col>
      <xdr:colOff>476250</xdr:colOff>
      <xdr:row>65</xdr:row>
      <xdr:rowOff>180975</xdr:rowOff>
    </xdr:to>
    <xdr:graphicFrame macro="">
      <xdr:nvGraphicFramePr>
        <xdr:cNvPr id="23443" name="Graphique 1">
          <a:extLst>
            <a:ext uri="{FF2B5EF4-FFF2-40B4-BE49-F238E27FC236}">
              <a16:creationId xmlns:a16="http://schemas.microsoft.com/office/drawing/2014/main" id="{00000000-0008-0000-0500-0000935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53</xdr:row>
      <xdr:rowOff>19050</xdr:rowOff>
    </xdr:from>
    <xdr:to>
      <xdr:col>15</xdr:col>
      <xdr:colOff>390525</xdr:colOff>
      <xdr:row>66</xdr:row>
      <xdr:rowOff>9525</xdr:rowOff>
    </xdr:to>
    <xdr:graphicFrame macro="">
      <xdr:nvGraphicFramePr>
        <xdr:cNvPr id="23444" name="Graphique 2">
          <a:extLst>
            <a:ext uri="{FF2B5EF4-FFF2-40B4-BE49-F238E27FC236}">
              <a16:creationId xmlns:a16="http://schemas.microsoft.com/office/drawing/2014/main" id="{00000000-0008-0000-0500-0000945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76200</xdr:colOff>
      <xdr:row>11</xdr:row>
      <xdr:rowOff>190500</xdr:rowOff>
    </xdr:to>
    <xdr:sp macro="" textlink="">
      <xdr:nvSpPr>
        <xdr:cNvPr id="2" name="Text Box 140">
          <a:extLst>
            <a:ext uri="{FF2B5EF4-FFF2-40B4-BE49-F238E27FC236}">
              <a16:creationId xmlns:a16="http://schemas.microsoft.com/office/drawing/2014/main" id="{00000000-0008-0000-0700-000002000000}"/>
            </a:ext>
          </a:extLst>
        </xdr:cNvPr>
        <xdr:cNvSpPr txBox="1">
          <a:spLocks noChangeArrowheads="1"/>
        </xdr:cNvSpPr>
      </xdr:nvSpPr>
      <xdr:spPr bwMode="auto">
        <a:xfrm>
          <a:off x="219075" y="990600"/>
          <a:ext cx="76200" cy="190500"/>
        </a:xfrm>
        <a:prstGeom prst="rect">
          <a:avLst/>
        </a:prstGeom>
        <a:noFill/>
        <a:ln w="9525" algn="ctr">
          <a:noFill/>
          <a:miter lim="800000"/>
          <a:headEnd/>
          <a:tailEnd/>
        </a:ln>
      </xdr:spPr>
    </xdr:sp>
    <xdr:clientData/>
  </xdr:twoCellAnchor>
  <xdr:twoCellAnchor editAs="oneCell">
    <xdr:from>
      <xdr:col>1</xdr:col>
      <xdr:colOff>0</xdr:colOff>
      <xdr:row>12</xdr:row>
      <xdr:rowOff>0</xdr:rowOff>
    </xdr:from>
    <xdr:to>
      <xdr:col>1</xdr:col>
      <xdr:colOff>76200</xdr:colOff>
      <xdr:row>12</xdr:row>
      <xdr:rowOff>238125</xdr:rowOff>
    </xdr:to>
    <xdr:sp macro="" textlink="">
      <xdr:nvSpPr>
        <xdr:cNvPr id="3" name="Text Box 140">
          <a:extLst>
            <a:ext uri="{FF2B5EF4-FFF2-40B4-BE49-F238E27FC236}">
              <a16:creationId xmlns:a16="http://schemas.microsoft.com/office/drawing/2014/main" id="{00000000-0008-0000-0700-000003000000}"/>
            </a:ext>
          </a:extLst>
        </xdr:cNvPr>
        <xdr:cNvSpPr txBox="1">
          <a:spLocks noChangeArrowheads="1"/>
        </xdr:cNvSpPr>
      </xdr:nvSpPr>
      <xdr:spPr bwMode="auto">
        <a:xfrm>
          <a:off x="219075" y="1304925"/>
          <a:ext cx="76200" cy="238125"/>
        </a:xfrm>
        <a:prstGeom prst="rect">
          <a:avLst/>
        </a:prstGeom>
        <a:noFill/>
        <a:ln w="9525" algn="ctr">
          <a:noFill/>
          <a:miter lim="800000"/>
          <a:headEnd/>
          <a:tailEnd/>
        </a:ln>
      </xdr:spPr>
    </xdr:sp>
    <xdr:clientData/>
  </xdr:twoCellAnchor>
  <xdr:oneCellAnchor>
    <xdr:from>
      <xdr:col>1</xdr:col>
      <xdr:colOff>0</xdr:colOff>
      <xdr:row>17</xdr:row>
      <xdr:rowOff>0</xdr:rowOff>
    </xdr:from>
    <xdr:ext cx="76200" cy="238125"/>
    <xdr:sp macro="" textlink="">
      <xdr:nvSpPr>
        <xdr:cNvPr id="4" name="Text Box 140">
          <a:extLst>
            <a:ext uri="{FF2B5EF4-FFF2-40B4-BE49-F238E27FC236}">
              <a16:creationId xmlns:a16="http://schemas.microsoft.com/office/drawing/2014/main" id="{00000000-0008-0000-0700-000004000000}"/>
            </a:ext>
          </a:extLst>
        </xdr:cNvPr>
        <xdr:cNvSpPr txBox="1">
          <a:spLocks noChangeArrowheads="1"/>
        </xdr:cNvSpPr>
      </xdr:nvSpPr>
      <xdr:spPr bwMode="auto">
        <a:xfrm>
          <a:off x="219075" y="2876550"/>
          <a:ext cx="76200" cy="238125"/>
        </a:xfrm>
        <a:prstGeom prst="rect">
          <a:avLst/>
        </a:prstGeom>
        <a:noFill/>
        <a:ln w="9525" algn="ctr">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17</xdr:col>
      <xdr:colOff>111897</xdr:colOff>
      <xdr:row>50</xdr:row>
      <xdr:rowOff>195713</xdr:rowOff>
    </xdr:from>
    <xdr:to>
      <xdr:col>21</xdr:col>
      <xdr:colOff>1050758</xdr:colOff>
      <xdr:row>63</xdr:row>
      <xdr:rowOff>168442</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5716</xdr:colOff>
      <xdr:row>22</xdr:row>
      <xdr:rowOff>1</xdr:rowOff>
    </xdr:from>
    <xdr:to>
      <xdr:col>21</xdr:col>
      <xdr:colOff>1066800</xdr:colOff>
      <xdr:row>36</xdr:row>
      <xdr:rowOff>0</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120315</xdr:colOff>
      <xdr:row>7</xdr:row>
      <xdr:rowOff>240631</xdr:rowOff>
    </xdr:from>
    <xdr:to>
      <xdr:col>21</xdr:col>
      <xdr:colOff>1074419</xdr:colOff>
      <xdr:row>20</xdr:row>
      <xdr:rowOff>224589</xdr:rowOff>
    </xdr:to>
    <xdr:graphicFrame macro="">
      <xdr:nvGraphicFramePr>
        <xdr:cNvPr id="8" name="Graphique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111896</xdr:colOff>
      <xdr:row>36</xdr:row>
      <xdr:rowOff>73392</xdr:rowOff>
    </xdr:from>
    <xdr:to>
      <xdr:col>21</xdr:col>
      <xdr:colOff>1050760</xdr:colOff>
      <xdr:row>50</xdr:row>
      <xdr:rowOff>120315</xdr:rowOff>
    </xdr:to>
    <xdr:graphicFrame macro="">
      <xdr:nvGraphicFramePr>
        <xdr:cNvPr id="10" name="Graphique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111894</xdr:colOff>
      <xdr:row>64</xdr:row>
      <xdr:rowOff>2406</xdr:rowOff>
    </xdr:from>
    <xdr:to>
      <xdr:col>21</xdr:col>
      <xdr:colOff>1050758</xdr:colOff>
      <xdr:row>77</xdr:row>
      <xdr:rowOff>79809</xdr:rowOff>
    </xdr:to>
    <xdr:graphicFrame macro="">
      <xdr:nvGraphicFramePr>
        <xdr:cNvPr id="11" name="Graphique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20954</xdr:colOff>
      <xdr:row>5</xdr:row>
      <xdr:rowOff>243838</xdr:rowOff>
    </xdr:from>
    <xdr:to>
      <xdr:col>23</xdr:col>
      <xdr:colOff>11430</xdr:colOff>
      <xdr:row>17</xdr:row>
      <xdr:rowOff>19050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127635</xdr:colOff>
      <xdr:row>31</xdr:row>
      <xdr:rowOff>114299</xdr:rowOff>
    </xdr:from>
    <xdr:to>
      <xdr:col>22</xdr:col>
      <xdr:colOff>878704</xdr:colOff>
      <xdr:row>45</xdr:row>
      <xdr:rowOff>9524</xdr:rowOff>
    </xdr:to>
    <xdr:graphicFrame macro="">
      <xdr:nvGraphicFramePr>
        <xdr:cNvPr id="7" name="Graphique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46</xdr:row>
      <xdr:rowOff>108585</xdr:rowOff>
    </xdr:from>
    <xdr:to>
      <xdr:col>23</xdr:col>
      <xdr:colOff>0</xdr:colOff>
      <xdr:row>56</xdr:row>
      <xdr:rowOff>304800</xdr:rowOff>
    </xdr:to>
    <xdr:graphicFrame macro="">
      <xdr:nvGraphicFramePr>
        <xdr:cNvPr id="8" name="Graphique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9525</xdr:colOff>
      <xdr:row>17</xdr:row>
      <xdr:rowOff>295274</xdr:rowOff>
    </xdr:from>
    <xdr:to>
      <xdr:col>22</xdr:col>
      <xdr:colOff>893944</xdr:colOff>
      <xdr:row>29</xdr:row>
      <xdr:rowOff>114299</xdr:rowOff>
    </xdr:to>
    <xdr:graphicFrame macro="">
      <xdr:nvGraphicFramePr>
        <xdr:cNvPr id="9" name="Graphique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9525</xdr:colOff>
      <xdr:row>58</xdr:row>
      <xdr:rowOff>371475</xdr:rowOff>
    </xdr:from>
    <xdr:to>
      <xdr:col>23</xdr:col>
      <xdr:colOff>5715</xdr:colOff>
      <xdr:row>74</xdr:row>
      <xdr:rowOff>228600</xdr:rowOff>
    </xdr:to>
    <xdr:graphicFrame macro="">
      <xdr:nvGraphicFramePr>
        <xdr:cNvPr id="10" name="Graphique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37</xdr:row>
      <xdr:rowOff>9525</xdr:rowOff>
    </xdr:from>
    <xdr:to>
      <xdr:col>6</xdr:col>
      <xdr:colOff>295276</xdr:colOff>
      <xdr:row>49</xdr:row>
      <xdr:rowOff>238125</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600076</xdr:colOff>
      <xdr:row>37</xdr:row>
      <xdr:rowOff>1</xdr:rowOff>
    </xdr:from>
    <xdr:to>
      <xdr:col>11</xdr:col>
      <xdr:colOff>581026</xdr:colOff>
      <xdr:row>49</xdr:row>
      <xdr:rowOff>228600</xdr:rowOff>
    </xdr:to>
    <xdr:graphicFrame macro="">
      <xdr:nvGraphicFramePr>
        <xdr:cNvPr id="3" name="Graphique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171450</xdr:colOff>
      <xdr:row>37</xdr:row>
      <xdr:rowOff>0</xdr:rowOff>
    </xdr:from>
    <xdr:to>
      <xdr:col>16</xdr:col>
      <xdr:colOff>38099</xdr:colOff>
      <xdr:row>49</xdr:row>
      <xdr:rowOff>238125</xdr:rowOff>
    </xdr:to>
    <xdr:graphicFrame macro="">
      <xdr:nvGraphicFramePr>
        <xdr:cNvPr id="4" name="Graphique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499984740745262"/>
    <pageSetUpPr fitToPage="1"/>
  </sheetPr>
  <dimension ref="A1:M49"/>
  <sheetViews>
    <sheetView tabSelected="1" zoomScaleNormal="100" zoomScalePageLayoutView="75" workbookViewId="0">
      <selection activeCell="C3" sqref="C3:I3"/>
    </sheetView>
  </sheetViews>
  <sheetFormatPr baseColWidth="10" defaultColWidth="10.77734375" defaultRowHeight="13.8" x14ac:dyDescent="0.3"/>
  <cols>
    <col min="1" max="1" width="10.77734375" style="575" customWidth="1"/>
    <col min="2" max="2" width="3.77734375" style="576" customWidth="1"/>
    <col min="3" max="3" width="42.77734375" style="576" customWidth="1"/>
    <col min="4" max="4" width="1.77734375" style="576" customWidth="1"/>
    <col min="5" max="5" width="42.77734375" style="576" customWidth="1"/>
    <col min="6" max="6" width="1.77734375" style="576" customWidth="1"/>
    <col min="7" max="7" width="42.77734375" style="576" customWidth="1"/>
    <col min="8" max="8" width="1.77734375" style="576" customWidth="1"/>
    <col min="9" max="9" width="30.77734375" style="576" customWidth="1"/>
    <col min="10" max="10" width="2.77734375" style="576" customWidth="1"/>
    <col min="11" max="11" width="3.77734375" style="575" customWidth="1"/>
    <col min="12" max="12" width="10.77734375" style="575"/>
    <col min="13" max="13" width="31.33203125" style="575" bestFit="1" customWidth="1"/>
    <col min="14" max="14" width="34" style="575" customWidth="1"/>
    <col min="15" max="16384" width="10.77734375" style="575"/>
  </cols>
  <sheetData>
    <row r="1" spans="1:13" ht="20.100000000000001" customHeight="1" thickBot="1" x14ac:dyDescent="0.35"/>
    <row r="2" spans="1:13" ht="20.100000000000001" customHeight="1" thickBot="1" x14ac:dyDescent="0.35">
      <c r="B2" s="577"/>
      <c r="C2" s="578"/>
      <c r="D2" s="578"/>
      <c r="E2" s="578"/>
      <c r="F2" s="578"/>
      <c r="G2" s="578"/>
      <c r="H2" s="578"/>
      <c r="I2" s="578"/>
      <c r="J2" s="579"/>
    </row>
    <row r="3" spans="1:13" ht="35.1" customHeight="1" thickBot="1" x14ac:dyDescent="0.35">
      <c r="A3" s="841">
        <v>43556</v>
      </c>
      <c r="B3" s="580"/>
      <c r="C3" s="3342" t="s">
        <v>909</v>
      </c>
      <c r="D3" s="3343"/>
      <c r="E3" s="3343"/>
      <c r="F3" s="3343"/>
      <c r="G3" s="3343"/>
      <c r="H3" s="3343"/>
      <c r="I3" s="3344"/>
      <c r="J3" s="581"/>
    </row>
    <row r="4" spans="1:13" ht="50.1" customHeight="1" thickBot="1" x14ac:dyDescent="0.35">
      <c r="B4" s="580"/>
      <c r="C4" s="599" t="s">
        <v>1106</v>
      </c>
      <c r="D4" s="582"/>
      <c r="E4" s="599" t="s">
        <v>24</v>
      </c>
      <c r="F4" s="582"/>
      <c r="G4" s="582"/>
      <c r="H4" s="582"/>
      <c r="I4" s="582"/>
      <c r="J4" s="581"/>
    </row>
    <row r="5" spans="1:13" ht="30" customHeight="1" thickBot="1" x14ac:dyDescent="0.35">
      <c r="B5" s="580"/>
      <c r="C5" s="850"/>
      <c r="D5" s="582"/>
      <c r="E5" s="839"/>
      <c r="F5" s="582"/>
      <c r="G5" s="582"/>
      <c r="H5" s="582"/>
      <c r="J5" s="581"/>
      <c r="M5" s="600" t="s">
        <v>653</v>
      </c>
    </row>
    <row r="6" spans="1:13" ht="35.1" customHeight="1" x14ac:dyDescent="0.3">
      <c r="B6" s="580"/>
      <c r="J6" s="581"/>
      <c r="M6" s="600" t="s">
        <v>1315</v>
      </c>
    </row>
    <row r="7" spans="1:13" s="594" customFormat="1" ht="20.100000000000001" customHeight="1" x14ac:dyDescent="0.3">
      <c r="B7" s="590"/>
      <c r="C7" s="3351" t="s">
        <v>651</v>
      </c>
      <c r="D7" s="591"/>
      <c r="E7" s="598" t="s">
        <v>658</v>
      </c>
      <c r="F7" s="591"/>
      <c r="G7" s="3351" t="s">
        <v>998</v>
      </c>
      <c r="H7" s="592"/>
      <c r="I7" s="3351" t="s">
        <v>999</v>
      </c>
      <c r="J7" s="593"/>
      <c r="M7" s="601" t="s">
        <v>1105</v>
      </c>
    </row>
    <row r="8" spans="1:13" ht="20.100000000000001" customHeight="1" x14ac:dyDescent="0.3">
      <c r="B8" s="580"/>
      <c r="C8" s="3352"/>
      <c r="E8" s="603" t="s">
        <v>669</v>
      </c>
      <c r="G8" s="3352"/>
      <c r="H8" s="583"/>
      <c r="I8" s="3352"/>
      <c r="J8" s="581"/>
      <c r="M8" s="600" t="s">
        <v>654</v>
      </c>
    </row>
    <row r="9" spans="1:13" ht="20.100000000000001" customHeight="1" x14ac:dyDescent="0.3">
      <c r="B9" s="580"/>
      <c r="C9" s="3351" t="s">
        <v>655</v>
      </c>
      <c r="E9" s="3357" t="s">
        <v>650</v>
      </c>
      <c r="G9" s="598" t="s">
        <v>660</v>
      </c>
      <c r="H9" s="583"/>
      <c r="I9" s="598" t="s">
        <v>1001</v>
      </c>
      <c r="J9" s="581"/>
      <c r="M9" s="600"/>
    </row>
    <row r="10" spans="1:13" ht="20.100000000000001" customHeight="1" x14ac:dyDescent="0.3">
      <c r="B10" s="580"/>
      <c r="C10" s="3356"/>
      <c r="E10" s="3358"/>
      <c r="G10" s="603" t="s">
        <v>661</v>
      </c>
      <c r="H10" s="583"/>
      <c r="I10" s="1013" t="s">
        <v>1000</v>
      </c>
      <c r="J10" s="581"/>
      <c r="M10" s="600"/>
    </row>
    <row r="11" spans="1:13" s="594" customFormat="1" ht="30" customHeight="1" x14ac:dyDescent="0.3">
      <c r="B11" s="590"/>
      <c r="C11" s="1147" t="s">
        <v>656</v>
      </c>
      <c r="D11" s="591"/>
      <c r="E11" s="837" t="s">
        <v>659</v>
      </c>
      <c r="F11" s="591"/>
      <c r="G11" s="837" t="s">
        <v>662</v>
      </c>
      <c r="H11" s="592"/>
      <c r="I11" s="1526" t="s">
        <v>667</v>
      </c>
      <c r="J11" s="593"/>
    </row>
    <row r="12" spans="1:13" s="594" customFormat="1" ht="20.100000000000001" customHeight="1" x14ac:dyDescent="0.3">
      <c r="B12" s="590"/>
      <c r="C12" s="598" t="s">
        <v>657</v>
      </c>
      <c r="D12" s="591"/>
      <c r="E12" s="3351" t="s">
        <v>652</v>
      </c>
      <c r="F12" s="591"/>
      <c r="G12" s="3351" t="s">
        <v>997</v>
      </c>
      <c r="H12" s="592"/>
      <c r="I12" s="1527" t="s">
        <v>1274</v>
      </c>
      <c r="J12" s="593"/>
    </row>
    <row r="13" spans="1:13" ht="20.100000000000001" customHeight="1" x14ac:dyDescent="0.3">
      <c r="B13" s="580"/>
      <c r="C13" s="603" t="s">
        <v>669</v>
      </c>
      <c r="E13" s="3352"/>
      <c r="G13" s="3352"/>
      <c r="H13" s="583"/>
      <c r="I13" s="1474" t="s">
        <v>1273</v>
      </c>
      <c r="J13" s="581"/>
    </row>
    <row r="14" spans="1:13" ht="60" customHeight="1" x14ac:dyDescent="0.3">
      <c r="B14" s="580"/>
      <c r="C14" s="575"/>
      <c r="G14" s="575"/>
      <c r="H14" s="583"/>
      <c r="J14" s="581"/>
    </row>
    <row r="15" spans="1:13" ht="24.9" customHeight="1" x14ac:dyDescent="0.3">
      <c r="B15" s="580"/>
      <c r="C15" s="606"/>
      <c r="D15" s="607"/>
      <c r="E15" s="607"/>
      <c r="F15" s="607"/>
      <c r="G15" s="608"/>
      <c r="H15" s="609"/>
      <c r="I15" s="610"/>
      <c r="J15" s="581"/>
    </row>
    <row r="16" spans="1:13" ht="24.9" customHeight="1" x14ac:dyDescent="0.3">
      <c r="B16" s="580"/>
      <c r="C16" s="611"/>
      <c r="D16" s="612"/>
      <c r="E16" s="612"/>
      <c r="F16" s="612"/>
      <c r="G16" s="612"/>
      <c r="H16" s="612"/>
      <c r="I16" s="613"/>
      <c r="J16" s="581"/>
    </row>
    <row r="17" spans="2:11" ht="24.9" customHeight="1" x14ac:dyDescent="0.3">
      <c r="B17" s="580"/>
      <c r="C17" s="611"/>
      <c r="D17" s="612"/>
      <c r="E17" s="612"/>
      <c r="F17" s="612"/>
      <c r="G17" s="612"/>
      <c r="H17" s="612"/>
      <c r="I17" s="613"/>
      <c r="J17" s="581"/>
    </row>
    <row r="18" spans="2:11" ht="24.9" customHeight="1" x14ac:dyDescent="0.3">
      <c r="B18" s="580"/>
      <c r="C18" s="611"/>
      <c r="D18" s="612"/>
      <c r="E18" s="612"/>
      <c r="F18" s="612"/>
      <c r="G18" s="612"/>
      <c r="H18" s="612"/>
      <c r="I18" s="613"/>
      <c r="J18" s="581"/>
    </row>
    <row r="19" spans="2:11" ht="24.9" customHeight="1" x14ac:dyDescent="0.3">
      <c r="B19" s="580"/>
      <c r="C19" s="611"/>
      <c r="D19" s="612"/>
      <c r="E19" s="612"/>
      <c r="F19" s="612"/>
      <c r="G19" s="612"/>
      <c r="H19" s="612"/>
      <c r="I19" s="613"/>
      <c r="J19" s="581"/>
    </row>
    <row r="20" spans="2:11" ht="24.9" customHeight="1" x14ac:dyDescent="0.3">
      <c r="B20" s="580"/>
      <c r="C20" s="611"/>
      <c r="D20" s="612"/>
      <c r="E20" s="612"/>
      <c r="F20" s="612"/>
      <c r="G20" s="612"/>
      <c r="H20" s="612"/>
      <c r="I20" s="613"/>
      <c r="J20" s="581"/>
    </row>
    <row r="21" spans="2:11" ht="20.100000000000001" customHeight="1" x14ac:dyDescent="0.3">
      <c r="B21" s="580"/>
      <c r="C21" s="614"/>
      <c r="D21" s="612"/>
      <c r="E21" s="612"/>
      <c r="F21" s="612"/>
      <c r="G21" s="612"/>
      <c r="H21" s="612"/>
      <c r="I21" s="613"/>
      <c r="J21" s="581"/>
    </row>
    <row r="22" spans="2:11" s="1008" customFormat="1" ht="30" customHeight="1" x14ac:dyDescent="0.5">
      <c r="B22" s="1009"/>
      <c r="C22" s="3353" t="s">
        <v>0</v>
      </c>
      <c r="D22" s="3354"/>
      <c r="E22" s="3354"/>
      <c r="F22" s="3354"/>
      <c r="G22" s="3354"/>
      <c r="H22" s="3354"/>
      <c r="I22" s="3355"/>
      <c r="J22" s="1010"/>
    </row>
    <row r="23" spans="2:11" s="1011" customFormat="1" ht="30" customHeight="1" x14ac:dyDescent="0.3">
      <c r="B23" s="1012"/>
      <c r="C23" s="3345" t="s">
        <v>996</v>
      </c>
      <c r="D23" s="3346"/>
      <c r="E23" s="3346"/>
      <c r="F23" s="3346"/>
      <c r="G23" s="3346"/>
      <c r="H23" s="3346"/>
      <c r="I23" s="3347"/>
      <c r="J23" s="1010"/>
      <c r="K23" s="1008"/>
    </row>
    <row r="24" spans="2:11" s="1011" customFormat="1" ht="24.9" customHeight="1" x14ac:dyDescent="0.3">
      <c r="B24" s="1012"/>
      <c r="C24" s="1021"/>
      <c r="D24" s="1022"/>
      <c r="E24" s="1022"/>
      <c r="F24" s="1022"/>
      <c r="G24" s="1022"/>
      <c r="H24" s="1022"/>
      <c r="I24" s="1023"/>
      <c r="J24" s="1010"/>
      <c r="K24" s="1008"/>
    </row>
    <row r="25" spans="2:11" s="584" customFormat="1" ht="50.1" customHeight="1" thickBot="1" x14ac:dyDescent="0.35">
      <c r="B25" s="585"/>
      <c r="C25" s="602"/>
      <c r="D25" s="602"/>
      <c r="E25" s="602"/>
      <c r="F25" s="602"/>
      <c r="G25" s="602"/>
      <c r="H25" s="602"/>
      <c r="I25" s="602"/>
      <c r="J25" s="581"/>
      <c r="K25" s="575"/>
    </row>
    <row r="26" spans="2:11" s="584" customFormat="1" ht="30" customHeight="1" thickBot="1" x14ac:dyDescent="0.35">
      <c r="B26" s="585"/>
      <c r="C26" s="3348" t="s">
        <v>668</v>
      </c>
      <c r="D26" s="3349"/>
      <c r="E26" s="3349"/>
      <c r="F26" s="3349"/>
      <c r="G26" s="3349"/>
      <c r="H26" s="3349"/>
      <c r="I26" s="3350"/>
      <c r="J26" s="581"/>
      <c r="K26" s="575"/>
    </row>
    <row r="27" spans="2:11" ht="50.1" customHeight="1" thickBot="1" x14ac:dyDescent="0.35">
      <c r="B27" s="586"/>
      <c r="C27" s="587"/>
      <c r="D27" s="587"/>
      <c r="E27" s="587"/>
      <c r="F27" s="587"/>
      <c r="G27" s="587"/>
      <c r="H27" s="587"/>
      <c r="I27" s="587"/>
      <c r="J27" s="588"/>
    </row>
    <row r="28" spans="2:11" ht="35.1" customHeight="1" x14ac:dyDescent="0.3"/>
    <row r="29" spans="2:11" ht="15" customHeight="1" x14ac:dyDescent="0.3"/>
    <row r="30" spans="2:11" s="589" customFormat="1" ht="24.9" customHeight="1" x14ac:dyDescent="0.35">
      <c r="B30" s="605"/>
      <c r="C30" s="605"/>
      <c r="D30" s="605"/>
      <c r="E30" s="605"/>
      <c r="F30" s="605"/>
      <c r="G30" s="605"/>
      <c r="H30" s="605"/>
      <c r="I30" s="605"/>
      <c r="J30" s="605"/>
    </row>
    <row r="31" spans="2:11" s="589" customFormat="1" ht="15" customHeight="1" x14ac:dyDescent="0.35">
      <c r="B31" s="605"/>
      <c r="C31" s="605"/>
      <c r="D31" s="605"/>
      <c r="E31" s="605"/>
      <c r="F31" s="605"/>
      <c r="G31" s="605"/>
      <c r="H31" s="605"/>
      <c r="I31" s="605"/>
      <c r="J31" s="605"/>
    </row>
    <row r="32" spans="2:11" s="589" customFormat="1" ht="24.9" customHeight="1" x14ac:dyDescent="0.35">
      <c r="B32" s="605"/>
      <c r="C32" s="605"/>
      <c r="D32" s="605"/>
      <c r="E32" s="605"/>
      <c r="F32" s="605"/>
      <c r="G32" s="605"/>
      <c r="H32" s="605"/>
      <c r="I32" s="605"/>
      <c r="J32" s="605"/>
    </row>
    <row r="33" spans="2:10" s="589" customFormat="1" ht="15" customHeight="1" x14ac:dyDescent="0.35">
      <c r="B33" s="605"/>
      <c r="C33" s="605"/>
      <c r="D33" s="605"/>
      <c r="E33" s="605"/>
      <c r="F33" s="605"/>
      <c r="G33" s="605"/>
      <c r="H33" s="605"/>
      <c r="I33" s="605"/>
      <c r="J33" s="605"/>
    </row>
    <row r="34" spans="2:10" s="589" customFormat="1" ht="35.1" customHeight="1" x14ac:dyDescent="0.35">
      <c r="B34" s="605"/>
      <c r="C34" s="605"/>
      <c r="D34" s="605"/>
      <c r="E34" s="605"/>
      <c r="F34" s="605"/>
      <c r="G34" s="605"/>
      <c r="H34" s="605"/>
      <c r="I34" s="605"/>
      <c r="J34" s="605"/>
    </row>
    <row r="35" spans="2:10" s="589" customFormat="1" ht="15" customHeight="1" x14ac:dyDescent="0.35">
      <c r="B35" s="605"/>
      <c r="C35" s="605"/>
      <c r="D35" s="605"/>
      <c r="E35" s="605"/>
      <c r="F35" s="605"/>
      <c r="G35" s="605"/>
      <c r="H35" s="605"/>
      <c r="I35" s="605"/>
      <c r="J35" s="605"/>
    </row>
    <row r="36" spans="2:10" s="589" customFormat="1" ht="35.1" customHeight="1" x14ac:dyDescent="0.35">
      <c r="B36" s="605"/>
      <c r="C36" s="605"/>
      <c r="D36" s="605"/>
      <c r="E36" s="605"/>
      <c r="F36" s="605"/>
      <c r="G36" s="605"/>
      <c r="H36" s="605"/>
      <c r="I36" s="605"/>
      <c r="J36" s="605"/>
    </row>
    <row r="37" spans="2:10" s="589" customFormat="1" ht="15" customHeight="1" x14ac:dyDescent="0.35">
      <c r="B37" s="604"/>
      <c r="C37" s="604"/>
      <c r="D37" s="604"/>
      <c r="E37" s="604"/>
      <c r="F37" s="604"/>
      <c r="G37" s="604"/>
      <c r="H37" s="604"/>
      <c r="I37" s="604"/>
      <c r="J37" s="604"/>
    </row>
    <row r="38" spans="2:10" s="589" customFormat="1" ht="35.1" customHeight="1" x14ac:dyDescent="0.35">
      <c r="B38" s="604"/>
      <c r="C38" s="604"/>
      <c r="D38" s="604"/>
      <c r="E38" s="604"/>
      <c r="F38" s="604"/>
      <c r="G38" s="604"/>
      <c r="H38" s="604"/>
      <c r="I38" s="604"/>
      <c r="J38" s="604"/>
    </row>
    <row r="39" spans="2:10" ht="15" customHeight="1" x14ac:dyDescent="0.3"/>
    <row r="40" spans="2:10" ht="35.1" customHeight="1" x14ac:dyDescent="0.3"/>
    <row r="41" spans="2:10" ht="15" customHeight="1" x14ac:dyDescent="0.3"/>
    <row r="42" spans="2:10" ht="35.1" customHeight="1" x14ac:dyDescent="0.3"/>
    <row r="43" spans="2:10" ht="15" customHeight="1" x14ac:dyDescent="0.3"/>
    <row r="44" spans="2:10" ht="35.1" customHeight="1" x14ac:dyDescent="0.3"/>
    <row r="45" spans="2:10" ht="30" customHeight="1" x14ac:dyDescent="0.3"/>
    <row r="46" spans="2:10" ht="32.1" customHeight="1" x14ac:dyDescent="0.3"/>
    <row r="47" spans="2:10" ht="15" customHeight="1" x14ac:dyDescent="0.3"/>
    <row r="48" spans="2:10" ht="24.9" customHeight="1" x14ac:dyDescent="0.3"/>
    <row r="49" ht="30" customHeight="1" x14ac:dyDescent="0.3"/>
  </sheetData>
  <sheetProtection algorithmName="SHA-512" hashValue="wvF1JKEBfmubDI/ghChRo718n/liTK5WJGwXXLbJa1pyoZlL7FnaNDlBrS0qB742CAk7h7CzuyFharfWefMztQ==" saltValue="2rEbWQpUUlFal9HDlAT+lQ==" spinCount="100000" sheet="1" objects="1" scenarios="1"/>
  <mergeCells count="11">
    <mergeCell ref="C3:I3"/>
    <mergeCell ref="C23:I23"/>
    <mergeCell ref="C26:I26"/>
    <mergeCell ref="C7:C8"/>
    <mergeCell ref="E12:E13"/>
    <mergeCell ref="C22:I22"/>
    <mergeCell ref="G12:G13"/>
    <mergeCell ref="C9:C10"/>
    <mergeCell ref="E9:E10"/>
    <mergeCell ref="G7:G8"/>
    <mergeCell ref="I7:I8"/>
  </mergeCells>
  <phoneticPr fontId="0" type="noConversion"/>
  <dataValidations count="1">
    <dataValidation type="list" allowBlank="1" showInputMessage="1" showErrorMessage="1" sqref="C5" xr:uid="{00000000-0002-0000-0000-000000000000}">
      <formula1>$M$5:$M$8</formula1>
    </dataValidation>
  </dataValidations>
  <hyperlinks>
    <hyperlink ref="C7" location="Préambule!A1" display="Préambule" xr:uid="{00000000-0004-0000-0000-000000000000}"/>
    <hyperlink ref="C9" location="'Entreprise cible'!B1" display="Identification de l'entreprise" xr:uid="{00000000-0004-0000-0000-000001000000}"/>
    <hyperlink ref="C11" location="'Entreprise cible'!B121" display="Identité du chef d'entreprise" xr:uid="{00000000-0004-0000-0000-000002000000}"/>
    <hyperlink ref="C12" location="'Rachat ou reprise'!B1" display="Identité du repreneur" xr:uid="{00000000-0004-0000-0000-000003000000}"/>
    <hyperlink ref="E11" location="Investissements!B1" display="Programme d'investissements" xr:uid="{00000000-0004-0000-0000-000004000000}"/>
    <hyperlink ref="E12" location="'Moyens d''exploitation'!B1" display="Moyens d'exploitation" xr:uid="{00000000-0004-0000-0000-000005000000}"/>
    <hyperlink ref="E7" location="'Rachat ou reprise'!B83" display="Modalités de la transmission" xr:uid="{00000000-0004-0000-0000-000006000000}"/>
    <hyperlink ref="E9" location="'Cpte de résultat prévisionnel'!B1" display="Compte de résultat prévisionnel" xr:uid="{00000000-0004-0000-0000-000007000000}"/>
    <hyperlink ref="G9" location="'Holding-prévisionnel'!B1" display="Prévisionnel de la société holding" xr:uid="{00000000-0004-0000-0000-000008000000}"/>
    <hyperlink ref="G11" location="'Holding-plan de financement'!B1" display="Plan de financement de la holding" xr:uid="{00000000-0004-0000-0000-000009000000}"/>
    <hyperlink ref="I11" location="Cotation!B1" display="Cotation" xr:uid="{00000000-0004-0000-0000-00000A000000}"/>
    <hyperlink ref="E12:E13" location="'Plan de financement'!B1" display="Plan de financement" xr:uid="{00000000-0004-0000-0000-00000B000000}"/>
    <hyperlink ref="G12" location="'Tableaux d''emprunts'!B1" display="Tabbleaux d'emprunts" xr:uid="{00000000-0004-0000-0000-00000C000000}"/>
    <hyperlink ref="C7:C8" location="Projet!B1" display="Nature du projet" xr:uid="{00000000-0004-0000-0000-00000D000000}"/>
    <hyperlink ref="G12:G13" location="'Tableaux d''emprunts'!B1" display="Tableaux d'emprunts" xr:uid="{00000000-0004-0000-0000-00000E000000}"/>
    <hyperlink ref="G7" location="Préambule!A1" display="Préambule" xr:uid="{00000000-0004-0000-0000-00000F000000}"/>
    <hyperlink ref="G7:G8" location="Simulations!B1" display="Simulations" xr:uid="{00000000-0004-0000-0000-000010000000}"/>
    <hyperlink ref="I7" location="Préambule!A1" display="Préambule" xr:uid="{00000000-0004-0000-0000-000011000000}"/>
    <hyperlink ref="I7:I8" location="'Synthèse exploitation'!B1" display="Synthèse exploitation" xr:uid="{00000000-0004-0000-0000-000012000000}"/>
    <hyperlink ref="I9" location="'Synthèse structure financière'!B1" display="Synthèse" xr:uid="{00000000-0004-0000-0000-000013000000}"/>
    <hyperlink ref="I12" location="Valorisation!B2" display="Valorisation" xr:uid="{00000000-0004-0000-0000-000014000000}"/>
  </hyperlinks>
  <pageMargins left="0" right="0" top="0" bottom="0" header="0" footer="0"/>
  <pageSetup paperSize="9" scale="62"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499984740745262"/>
    <pageSetUpPr fitToPage="1"/>
  </sheetPr>
  <dimension ref="A1:AE110"/>
  <sheetViews>
    <sheetView showGridLines="0" showRowColHeaders="0" zoomScaleNormal="100" workbookViewId="0">
      <pane ySplit="8" topLeftCell="A9" activePane="bottomLeft" state="frozenSplit"/>
      <selection activeCell="G7" sqref="G7:G8"/>
      <selection pane="bottomLeft" activeCell="B2" sqref="B2:C2"/>
    </sheetView>
  </sheetViews>
  <sheetFormatPr baseColWidth="10" defaultColWidth="12" defaultRowHeight="13.8" x14ac:dyDescent="0.25"/>
  <cols>
    <col min="1" max="1" width="1.77734375" style="618" customWidth="1"/>
    <col min="2" max="2" width="32.77734375" style="618" customWidth="1"/>
    <col min="3" max="3" width="13.33203125" style="618" customWidth="1"/>
    <col min="4" max="4" width="4.77734375" style="629" customWidth="1"/>
    <col min="5" max="5" width="6.77734375" style="629" customWidth="1"/>
    <col min="6" max="6" width="0.6640625" style="618" customWidth="1"/>
    <col min="7" max="7" width="16.77734375" style="618" customWidth="1"/>
    <col min="8" max="8" width="0.6640625" style="697" customWidth="1"/>
    <col min="9" max="9" width="16.77734375" style="618" customWidth="1"/>
    <col min="10" max="10" width="0.6640625" style="623" customWidth="1"/>
    <col min="11" max="11" width="16.77734375" style="618" customWidth="1"/>
    <col min="12" max="12" width="1.77734375" style="623" customWidth="1"/>
    <col min="13" max="13" width="16.77734375" style="618" customWidth="1"/>
    <col min="14" max="14" width="0.6640625" style="702" customWidth="1"/>
    <col min="15" max="15" width="16.77734375" style="618" customWidth="1"/>
    <col min="16" max="16" width="0.6640625" style="702" customWidth="1"/>
    <col min="17" max="17" width="16.77734375" style="618" customWidth="1"/>
    <col min="18" max="18" width="1.77734375" style="702" customWidth="1"/>
    <col min="19" max="19" width="2.33203125" style="702" customWidth="1"/>
    <col min="20" max="23" width="15.77734375" style="618" customWidth="1"/>
    <col min="24" max="24" width="2.77734375" style="618" customWidth="1"/>
    <col min="25" max="27" width="12.44140625" style="618" customWidth="1"/>
    <col min="28" max="16384" width="12" style="618"/>
  </cols>
  <sheetData>
    <row r="1" spans="1:22" ht="10.199999999999999" customHeight="1" x14ac:dyDescent="0.25">
      <c r="A1" s="3211"/>
      <c r="B1" s="3212"/>
      <c r="C1" s="3212"/>
      <c r="D1" s="3213"/>
      <c r="E1" s="3213"/>
      <c r="F1" s="3212"/>
      <c r="G1" s="3212"/>
      <c r="H1" s="3214"/>
      <c r="I1" s="3212"/>
      <c r="J1" s="3215"/>
      <c r="K1" s="3212"/>
      <c r="L1" s="3215"/>
      <c r="M1" s="3212"/>
      <c r="N1" s="3216"/>
      <c r="O1" s="3212"/>
      <c r="P1" s="3216"/>
      <c r="Q1" s="3212"/>
      <c r="R1" s="3217"/>
    </row>
    <row r="2" spans="1:22" ht="21.9" customHeight="1" x14ac:dyDescent="0.25">
      <c r="A2" s="3218"/>
      <c r="B2" s="4435" t="str">
        <f>IF(ISBLANK(nom)," ",nom)</f>
        <v xml:space="preserve"> </v>
      </c>
      <c r="C2" s="4436"/>
      <c r="D2" s="4437" t="s">
        <v>941</v>
      </c>
      <c r="E2" s="4437"/>
      <c r="F2" s="4437"/>
      <c r="G2" s="4437"/>
      <c r="H2" s="4437"/>
      <c r="I2" s="4437"/>
      <c r="J2" s="4437"/>
      <c r="K2" s="4437"/>
      <c r="L2" s="4437"/>
      <c r="M2" s="4437"/>
      <c r="N2" s="4437"/>
      <c r="O2" s="4437"/>
      <c r="P2" s="4437"/>
      <c r="Q2" s="4438"/>
      <c r="R2" s="3219"/>
    </row>
    <row r="3" spans="1:22" ht="15" customHeight="1" x14ac:dyDescent="0.25">
      <c r="A3" s="3218"/>
      <c r="G3" s="630"/>
      <c r="I3" s="630"/>
      <c r="K3" s="630"/>
      <c r="R3" s="3219"/>
      <c r="T3" s="630"/>
      <c r="U3" s="630"/>
      <c r="V3" s="630"/>
    </row>
    <row r="4" spans="1:22" s="1229" customFormat="1" ht="20.100000000000001" customHeight="1" x14ac:dyDescent="0.25">
      <c r="A4" s="3220"/>
      <c r="B4" s="4369" t="str">
        <f>" "&amp;stade</f>
        <v xml:space="preserve"> </v>
      </c>
      <c r="C4" s="4458"/>
      <c r="D4" s="4461"/>
      <c r="E4" s="4462"/>
      <c r="F4" s="4463"/>
      <c r="G4" s="4346" t="str">
        <f>IF(ISBLANK(activité)," ",activité)</f>
        <v xml:space="preserve"> </v>
      </c>
      <c r="H4" s="4347"/>
      <c r="I4" s="4348"/>
      <c r="J4" s="1231"/>
      <c r="K4" s="4342" t="str">
        <f>IF(stade="transmission d'entreprise","Création d'une nouvelle société  d'exploitation ?"," ")</f>
        <v xml:space="preserve"> </v>
      </c>
      <c r="L4" s="4343"/>
      <c r="M4" s="4343"/>
      <c r="N4" s="4343"/>
      <c r="O4" s="4343"/>
      <c r="P4" s="1232"/>
      <c r="Q4" s="1228" t="str">
        <f>IF(AND(stade="transmission d'entreprise",ISBLANK(sté_exploitation)),"Non",IF(AND(stade="transmission d'entreprise",sté_exploitation="non"),"Non",IF(AND(stade="transmission d'entreprise",sté_exploitation="oui"),"Oui"," ")))</f>
        <v xml:space="preserve"> </v>
      </c>
      <c r="R4" s="3219"/>
      <c r="S4" s="702"/>
      <c r="T4" s="1230"/>
      <c r="U4" s="1230"/>
      <c r="V4" s="1230"/>
    </row>
    <row r="5" spans="1:22" ht="6" customHeight="1" x14ac:dyDescent="0.25">
      <c r="A5" s="3218"/>
      <c r="G5" s="630"/>
      <c r="I5" s="630"/>
      <c r="K5" s="1149"/>
      <c r="L5" s="1149"/>
      <c r="N5" s="618"/>
      <c r="P5" s="618"/>
      <c r="R5" s="3221"/>
      <c r="S5" s="618"/>
      <c r="T5" s="630"/>
      <c r="U5" s="630"/>
      <c r="V5" s="630"/>
    </row>
    <row r="6" spans="1:22" ht="20.100000000000001" customHeight="1" x14ac:dyDescent="0.25">
      <c r="A6" s="3218"/>
      <c r="D6" s="618"/>
      <c r="E6" s="618"/>
      <c r="F6" s="754"/>
      <c r="G6" s="4344" t="s">
        <v>766</v>
      </c>
      <c r="H6" s="4344"/>
      <c r="I6" s="4344"/>
      <c r="J6" s="4344"/>
      <c r="K6" s="4344"/>
      <c r="M6" s="4345" t="s">
        <v>767</v>
      </c>
      <c r="N6" s="4345"/>
      <c r="O6" s="4345"/>
      <c r="P6" s="4345"/>
      <c r="Q6" s="4345"/>
      <c r="R6" s="3219"/>
      <c r="T6" s="770"/>
      <c r="U6" s="770"/>
      <c r="V6" s="630"/>
    </row>
    <row r="7" spans="1:22" ht="24.9" customHeight="1" x14ac:dyDescent="0.25">
      <c r="A7" s="3218"/>
      <c r="B7" s="4439" t="s">
        <v>771</v>
      </c>
      <c r="C7" s="4440"/>
      <c r="D7" s="4459" t="s">
        <v>671</v>
      </c>
      <c r="E7" s="4460"/>
      <c r="G7" s="1762" t="str">
        <f>IF(ISBLANK(An)," ",An-3)</f>
        <v xml:space="preserve"> </v>
      </c>
      <c r="I7" s="1762" t="str">
        <f>IF(ISBLANK(An)," ",An-2)</f>
        <v xml:space="preserve"> </v>
      </c>
      <c r="K7" s="1762" t="str">
        <f>IF(ISBLANK(An)," ",An-1)</f>
        <v xml:space="preserve"> </v>
      </c>
      <c r="M7" s="1763" t="str">
        <f>IF(ISBLANK(An)," ",An)</f>
        <v xml:space="preserve"> </v>
      </c>
      <c r="N7" s="1761"/>
      <c r="O7" s="1763" t="str">
        <f>IF(ISBLANK(An)," ",An+1)</f>
        <v xml:space="preserve"> </v>
      </c>
      <c r="P7" s="1761"/>
      <c r="Q7" s="1763" t="str">
        <f>IF(ISBLANK(An)," ",An+2)</f>
        <v xml:space="preserve"> </v>
      </c>
      <c r="R7" s="3222"/>
      <c r="S7" s="698"/>
      <c r="T7" s="770"/>
      <c r="V7" s="630"/>
    </row>
    <row r="8" spans="1:22" ht="15" customHeight="1" x14ac:dyDescent="0.25">
      <c r="A8" s="3218"/>
      <c r="D8" s="618"/>
      <c r="R8" s="3219"/>
    </row>
    <row r="9" spans="1:22" ht="20.100000000000001" customHeight="1" x14ac:dyDescent="0.25">
      <c r="A9" s="3218"/>
      <c r="B9" s="3184" t="s">
        <v>1321</v>
      </c>
      <c r="C9" s="3164" t="s">
        <v>570</v>
      </c>
      <c r="D9" s="4464" t="s">
        <v>176</v>
      </c>
      <c r="E9" s="4465"/>
      <c r="G9" s="1760">
        <f>IF(ISERROR(IF(NE="oui"," ",dl_3))," ",IF(NE="oui"," ",dl_3))</f>
        <v>0</v>
      </c>
      <c r="H9" s="771"/>
      <c r="I9" s="1760">
        <f>IF(ISERROR(IF(NE="oui"," ",dl_2))," ",IF(NE="oui"," ",dl_2))</f>
        <v>0</v>
      </c>
      <c r="J9" s="707"/>
      <c r="K9" s="1760">
        <f>IF(ISERROR(IF(NE="oui"," ",dl_1))," ",IF(NE="oui"," ",dl_1))</f>
        <v>0</v>
      </c>
      <c r="L9" s="707"/>
      <c r="M9" s="1760">
        <f ca="1">IF(NE="oui",r_5+apport_K_5+prime1-dividende_5-quote_part_subv_5,dl_1+r_5+apport_K_5+prime1-dividende_5-quote_part_subv_5)</f>
        <v>0</v>
      </c>
      <c r="N9" s="708"/>
      <c r="O9" s="1760">
        <f ca="1">M9+r_6+apport_K_6+prime2-dividende_6-quote_part_subv_6</f>
        <v>0</v>
      </c>
      <c r="P9" s="708"/>
      <c r="Q9" s="1760">
        <f ca="1">O9+r_7+apport_K_7+prime3-dividende_7-quote_part_subv_7</f>
        <v>0</v>
      </c>
      <c r="R9" s="3219"/>
    </row>
    <row r="10" spans="1:22" ht="3" customHeight="1" x14ac:dyDescent="0.25">
      <c r="A10" s="3218"/>
      <c r="R10" s="3219"/>
    </row>
    <row r="11" spans="1:22" ht="15" customHeight="1" x14ac:dyDescent="0.25">
      <c r="A11" s="3218"/>
      <c r="G11" s="4467" t="str">
        <f>IF(NE="oui"," ",IF(K9&gt;=da_1," ",IF(AND(K9&lt;da_1,K9&gt;=(da_1/2)),"Capitaux propres &lt; au capital social de :","Capitaux propres &lt; à la moitié du capital social --&gt; augmentation ou réduction de capital à réaliser :")))</f>
        <v xml:space="preserve"> </v>
      </c>
      <c r="H11" s="4467"/>
      <c r="I11" s="4467"/>
      <c r="K11" s="758" t="str">
        <f>IF(NE="oui"," ",IF(K9&gt;=da_1," ",IF(AND(K9&lt;da_1,K9&gt;=(da_1/2)),da_1-K9,da_1-(K9*2))))</f>
        <v xml:space="preserve"> </v>
      </c>
      <c r="M11" s="4457" t="str">
        <f>IF(NE="oui"," ",IF(K9&gt;=da_1," "," coup d'accordéon prévu ?"))</f>
        <v xml:space="preserve"> </v>
      </c>
      <c r="N11" s="4457"/>
      <c r="O11" s="4457"/>
      <c r="Q11" s="3175"/>
      <c r="R11" s="3219"/>
    </row>
    <row r="12" spans="1:22" ht="6" customHeight="1" x14ac:dyDescent="0.25">
      <c r="A12" s="3218"/>
      <c r="R12" s="3219"/>
    </row>
    <row r="13" spans="1:22" ht="22.2" customHeight="1" x14ac:dyDescent="0.25">
      <c r="A13" s="3218"/>
      <c r="B13" s="3204" t="s">
        <v>1322</v>
      </c>
      <c r="C13" s="1766"/>
      <c r="D13" s="4449" t="s">
        <v>176</v>
      </c>
      <c r="E13" s="4450"/>
      <c r="F13" s="622"/>
      <c r="G13" s="1698">
        <f>IF(ISERROR(IF(NE="oui"," ",rp_3))," ",IF(NE="oui"," ",rp_3))</f>
        <v>0</v>
      </c>
      <c r="H13" s="771"/>
      <c r="I13" s="1698">
        <f>IF(ISERROR(IF(NE="oui"," ",rp_2))," ",IF(NE="oui"," ",rp_2))</f>
        <v>0</v>
      </c>
      <c r="J13" s="707"/>
      <c r="K13" s="1698">
        <f>IF(ISERROR(IF(NE="oui"," ",rp_1))," ",IF(NE="oui"," ",rp_1))</f>
        <v>0</v>
      </c>
      <c r="L13" s="707"/>
      <c r="M13" s="1698">
        <f ca="1">IF(ISERROR(rp_5)," ",rp_5)</f>
        <v>0</v>
      </c>
      <c r="N13" s="708"/>
      <c r="O13" s="1698">
        <f ca="1">IF(ISERROR(rp_6)," ",rp_6)</f>
        <v>0</v>
      </c>
      <c r="P13" s="708"/>
      <c r="Q13" s="1698">
        <f ca="1">IF(ISERROR(rp_7)," ",rp_7)</f>
        <v>0</v>
      </c>
      <c r="R13" s="3219"/>
    </row>
    <row r="14" spans="1:22" ht="20.100000000000001" customHeight="1" x14ac:dyDescent="0.25">
      <c r="A14" s="3218"/>
      <c r="B14" s="3185" t="s">
        <v>1323</v>
      </c>
      <c r="C14" s="3161" t="s">
        <v>570</v>
      </c>
      <c r="D14" s="4441" t="s">
        <v>176</v>
      </c>
      <c r="E14" s="4442"/>
      <c r="G14" s="1764">
        <f>IF(ISERROR(IF(NE="oui"," ",dettes_financières_3))," ",IF(NE="oui"," ",dettes_financières_3))</f>
        <v>0</v>
      </c>
      <c r="H14" s="771"/>
      <c r="I14" s="1764">
        <f>IF(ISERROR(IF(NE="oui"," ",dettes_financières_2))," ",IF(NE="oui"," ",dettes_financières_2))</f>
        <v>0</v>
      </c>
      <c r="J14" s="707"/>
      <c r="K14" s="1764">
        <f>IF(ISERROR(IF(NE="oui"," ",dettes_financières_1))," ",IF(NE="oui"," ",dettes_financières_1))</f>
        <v>0</v>
      </c>
      <c r="L14" s="707"/>
      <c r="M14" s="1764">
        <f ca="1">IF(ISERROR(emp_elargi_5)," ",emp_elargi_5)</f>
        <v>0</v>
      </c>
      <c r="N14" s="708"/>
      <c r="O14" s="1764">
        <f ca="1">IF(ISERROR(emp_elargi_6)," ",emp_elargi_6)</f>
        <v>0</v>
      </c>
      <c r="P14" s="708"/>
      <c r="Q14" s="1764">
        <f ca="1">IF(ISERROR(emp_elargi_7)," ",emp_elargi_7)</f>
        <v>0</v>
      </c>
      <c r="R14" s="3219"/>
    </row>
    <row r="15" spans="1:22" s="628" customFormat="1" ht="20.100000000000001" customHeight="1" x14ac:dyDescent="0.25">
      <c r="A15" s="3223"/>
      <c r="B15" s="3186" t="s">
        <v>1324</v>
      </c>
      <c r="C15" s="3162" t="s">
        <v>570</v>
      </c>
      <c r="D15" s="4443" t="s">
        <v>176</v>
      </c>
      <c r="E15" s="4444"/>
      <c r="F15" s="618"/>
      <c r="G15" s="1765">
        <f>IF(ISERROR(IF(NE="oui"," ",endettement_3))," ",IF(NE="oui"," ",endettement_3))</f>
        <v>0</v>
      </c>
      <c r="H15" s="771"/>
      <c r="I15" s="1765">
        <f>IF(ISERROR(IF(NE="oui"," ",endettement_2))," ",IF(NE="oui"," ",endettement_2))</f>
        <v>0</v>
      </c>
      <c r="J15" s="707"/>
      <c r="K15" s="1765">
        <f>IF(ISERROR(IF(NE="oui"," ",endettement_1))," ",IF(NE="oui"," ",endettement_1))</f>
        <v>0</v>
      </c>
      <c r="L15" s="707"/>
      <c r="M15" s="1765">
        <f ca="1">IF(ISERROR(endettement_5)," ",endettement_5)</f>
        <v>0</v>
      </c>
      <c r="N15" s="708"/>
      <c r="O15" s="1765">
        <f ca="1">IF(ISERROR(endettement_6)," ",endettement_6)</f>
        <v>0</v>
      </c>
      <c r="P15" s="708"/>
      <c r="Q15" s="1765">
        <f ca="1">IF(ISERROR(endettement_7)," ",endettement_7)</f>
        <v>0</v>
      </c>
      <c r="R15" s="3219"/>
      <c r="S15" s="702"/>
    </row>
    <row r="16" spans="1:22" ht="10.199999999999999" customHeight="1" x14ac:dyDescent="0.25">
      <c r="A16" s="3218"/>
      <c r="G16" s="3182">
        <f>$E$18</f>
        <v>0.2</v>
      </c>
      <c r="H16" s="3236"/>
      <c r="I16" s="3182">
        <f>$E$18</f>
        <v>0.2</v>
      </c>
      <c r="J16" s="1500"/>
      <c r="K16" s="3182">
        <f>$E$18</f>
        <v>0.2</v>
      </c>
      <c r="L16" s="1500"/>
      <c r="M16" s="3182">
        <f>$E$18</f>
        <v>0.2</v>
      </c>
      <c r="N16" s="3207"/>
      <c r="O16" s="3182">
        <f>$E$18</f>
        <v>0.2</v>
      </c>
      <c r="P16" s="3207"/>
      <c r="Q16" s="3182">
        <f>$E$18</f>
        <v>0.2</v>
      </c>
      <c r="R16" s="3219"/>
    </row>
    <row r="17" spans="1:31" ht="25.2" customHeight="1" x14ac:dyDescent="0.25">
      <c r="A17" s="3218"/>
      <c r="B17" s="4446" t="s">
        <v>1350</v>
      </c>
      <c r="C17" s="4446"/>
      <c r="D17" s="4446"/>
      <c r="G17" s="725" t="str">
        <f>IF(ISERROR(100%-G18)," ",100%-G18)</f>
        <v xml:space="preserve"> </v>
      </c>
      <c r="I17" s="725" t="str">
        <f>IF(ISERROR(100%-I18)," ",100%-I18)</f>
        <v xml:space="preserve"> </v>
      </c>
      <c r="K17" s="725" t="str">
        <f>IF(ISERROR(100%-K18)," ",100%-K18)</f>
        <v xml:space="preserve"> </v>
      </c>
      <c r="M17" s="725" t="str">
        <f>IF(ISERROR(100%-M18)," ",100%-M18)</f>
        <v xml:space="preserve"> </v>
      </c>
      <c r="O17" s="725" t="str">
        <f>IF(ISERROR(100%-O18)," ",100%-O18)</f>
        <v xml:space="preserve"> </v>
      </c>
      <c r="Q17" s="725" t="str">
        <f>IF(ISERROR(100%-Q18)," ",100%-Q18)</f>
        <v xml:space="preserve"> </v>
      </c>
      <c r="R17" s="3219"/>
      <c r="T17" s="768"/>
      <c r="U17" s="768"/>
      <c r="V17" s="768"/>
      <c r="Y17" s="953"/>
    </row>
    <row r="18" spans="1:31" ht="24.9" customHeight="1" x14ac:dyDescent="0.25">
      <c r="A18" s="3218"/>
      <c r="B18" s="3187" t="s">
        <v>1325</v>
      </c>
      <c r="C18" s="3163" t="s">
        <v>570</v>
      </c>
      <c r="D18" s="1767" t="s">
        <v>673</v>
      </c>
      <c r="E18" s="1768">
        <f>IF(activité="Production de biens",25%,20%)</f>
        <v>0.2</v>
      </c>
      <c r="F18" s="750"/>
      <c r="G18" s="1769" t="str">
        <f>IF(ISERROR(IF(OR(NE="oui",ca_3=0)," ",dl_3/bilanréévalué_3))," ",IF(OR(NE="oui",ca_3=0)," ",dl_3/bilanréévalué_3))</f>
        <v xml:space="preserve"> </v>
      </c>
      <c r="H18" s="736"/>
      <c r="I18" s="1769" t="str">
        <f>IF(ISERROR(IF(OR(NE="oui",ca_2=0)," ",dl_2/bilanréévalué_2))," ",IF(OR(NE="oui",ca_2=0)," ",dl_2/bilanréévalué_2))</f>
        <v xml:space="preserve"> </v>
      </c>
      <c r="J18" s="751"/>
      <c r="K18" s="1769" t="str">
        <f>IF(ISERROR(IF(OR(NE="oui",ca_1=0)," ",dl_1/bilanréévalué_1))," ",IF(OR(NE="oui",ca_1=0)," ",dl_1/bilanréévalué_1))</f>
        <v xml:space="preserve"> </v>
      </c>
      <c r="L18" s="705"/>
      <c r="M18" s="1769" t="str">
        <f>IF(ISERROR(IF(ca_5=0," ",dl_5/bilanrrévalué_5))," ",IF(ca_5=0," ",dl_5/bilanrrévalué_5))</f>
        <v xml:space="preserve"> </v>
      </c>
      <c r="N18" s="737"/>
      <c r="O18" s="1769" t="str">
        <f>IF(ISERROR(IF(ca_6=0," ",dl_6/bilanrrévalué_6))," ",IF(ca_6=0," ",dl_6/bilanrrévalué_6))</f>
        <v xml:space="preserve"> </v>
      </c>
      <c r="P18" s="737"/>
      <c r="Q18" s="1769" t="str">
        <f>IF(ISERROR(IF(ca_7=0," ",dl_7/bilanréévalué_7))," ",IF(ca_7=0," ",dl_7/bilanréévalué_7))</f>
        <v xml:space="preserve"> </v>
      </c>
      <c r="R18" s="3219"/>
    </row>
    <row r="19" spans="1:31" ht="3" customHeight="1" x14ac:dyDescent="0.25">
      <c r="A19" s="3218"/>
      <c r="R19" s="3219"/>
    </row>
    <row r="20" spans="1:31" ht="20.100000000000001" customHeight="1" x14ac:dyDescent="0.25">
      <c r="A20" s="3218"/>
      <c r="B20" s="633"/>
      <c r="C20" s="3208"/>
      <c r="D20" s="634"/>
      <c r="E20" s="634"/>
      <c r="F20" s="627"/>
      <c r="G20" s="778" t="str">
        <f>IF(G18=" "," ",IF(G18&gt;=$E$18,"ok","Insuffisant"))</f>
        <v xml:space="preserve"> </v>
      </c>
      <c r="H20" s="703"/>
      <c r="I20" s="778" t="str">
        <f>IF(I18=" "," ",IF(I18&gt;=$E$18,"ok","Insuffisant"))</f>
        <v xml:space="preserve"> </v>
      </c>
      <c r="J20" s="704"/>
      <c r="K20" s="778" t="str">
        <f>IF(K18=" "," ",IF(K18&gt;=$E$18,"ok","Insuffisant"))</f>
        <v xml:space="preserve"> </v>
      </c>
      <c r="L20" s="705"/>
      <c r="M20" s="778" t="str">
        <f>IF(M18=" "," ",IF(M18&gt;=$E$18,"ok","Insuffisant"))</f>
        <v xml:space="preserve"> </v>
      </c>
      <c r="O20" s="778" t="str">
        <f>IF(O18=" "," ",IF(O18&gt;=$E$18,"ok","Insuffisant"))</f>
        <v xml:space="preserve"> </v>
      </c>
      <c r="Q20" s="778" t="str">
        <f>IF(Q18=" "," ",IF(Q18&gt;=$E$18,"ok","Insuffisant"))</f>
        <v xml:space="preserve"> </v>
      </c>
      <c r="R20" s="3219"/>
      <c r="Y20" s="626"/>
    </row>
    <row r="21" spans="1:31" s="622" customFormat="1" ht="12" customHeight="1" x14ac:dyDescent="0.25">
      <c r="A21" s="3224"/>
      <c r="B21" s="618"/>
      <c r="C21" s="4466" t="s">
        <v>570</v>
      </c>
      <c r="D21" s="4466"/>
      <c r="E21" s="4466"/>
      <c r="F21" s="618"/>
      <c r="G21" s="618"/>
      <c r="H21" s="697"/>
      <c r="I21" s="618"/>
      <c r="J21" s="623"/>
      <c r="K21" s="618"/>
      <c r="L21" s="623"/>
      <c r="M21" s="618"/>
      <c r="N21" s="702"/>
      <c r="O21" s="618"/>
      <c r="P21" s="702"/>
      <c r="Q21" s="618"/>
      <c r="R21" s="3219"/>
      <c r="S21" s="702"/>
      <c r="Z21" s="3210"/>
      <c r="AA21" s="3210"/>
      <c r="AB21" s="3210"/>
      <c r="AC21" s="3210"/>
      <c r="AD21" s="3210"/>
      <c r="AE21" s="3210"/>
    </row>
    <row r="22" spans="1:31" ht="24.9" customHeight="1" x14ac:dyDescent="0.25">
      <c r="A22" s="3218"/>
      <c r="B22" s="4400" t="s">
        <v>1326</v>
      </c>
      <c r="C22" s="4177"/>
      <c r="D22" s="1772" t="s">
        <v>672</v>
      </c>
      <c r="E22" s="1773">
        <v>1</v>
      </c>
      <c r="G22" s="1771">
        <f>IF(ISERROR(IF(OR(NE="oui",ca_3=0),0,emp_élargi_3/rp_3)),0,IF(OR(NE="oui",ca_3=0),0,emp_élargi_3/rp_3))</f>
        <v>0</v>
      </c>
      <c r="H22" s="771">
        <f>IF(G22&lt;50%,1,0)</f>
        <v>1</v>
      </c>
      <c r="I22" s="1771">
        <f>IF(ISERROR(IF(OR(NE="oui",ca_2=0),0,emp_élargi_2/rp_2)),0,IF(OR(NE="oui",ca_2=0),0,emp_élargi_2/rp_2))</f>
        <v>0</v>
      </c>
      <c r="J22" s="771">
        <f>IF(I22&lt;50%,1,0)</f>
        <v>1</v>
      </c>
      <c r="K22" s="1771">
        <f>IF(ISERROR(IF(OR(NE="oui",ca_1=0),0,emp_élargi_1/rp_1)),0,IF(OR(NE="oui",ca_1=0),0,emp_élargi_1/rp_1))</f>
        <v>0</v>
      </c>
      <c r="L22" s="771">
        <f>IF(K22&lt;50%,1,0)</f>
        <v>1</v>
      </c>
      <c r="M22" s="1770">
        <f>IF(ISERROR(IF(ca_5=0,0,emp_elargi_5/fonds_propres_5)),0,IF(ca_5=0,0,emp_elargi_5/fonds_propres_5))</f>
        <v>0</v>
      </c>
      <c r="N22" s="771">
        <f>IF(M22&lt;50%,1,0)</f>
        <v>1</v>
      </c>
      <c r="O22" s="1770">
        <f>IF(ISERROR(IF(ca_6=0,0,emp_elargi_6/fonds_propres_6)),0,IF(ca_6=0,0,emp_elargi_6/fonds_propres_6))</f>
        <v>0</v>
      </c>
      <c r="P22" s="771">
        <f>IF(O22&lt;50%,1,0)</f>
        <v>1</v>
      </c>
      <c r="Q22" s="1770">
        <f>IF(ISERROR(IF(ca_7=0,0,emp_elargi_7/fonds_propres_7)),0,IF(ca_7=0,0,emp_elargi_7/fonds_propres_7))</f>
        <v>0</v>
      </c>
      <c r="R22" s="3225">
        <f>IF(Q22&lt;50%,1,0)</f>
        <v>1</v>
      </c>
      <c r="S22" s="771"/>
      <c r="Z22" s="3209"/>
      <c r="AA22" s="3209"/>
      <c r="AB22" s="3209"/>
      <c r="AC22" s="3209"/>
      <c r="AD22" s="3209"/>
      <c r="AE22" s="3209"/>
    </row>
    <row r="23" spans="1:31" ht="3" customHeight="1" x14ac:dyDescent="0.25">
      <c r="A23" s="3218"/>
      <c r="D23" s="619"/>
      <c r="E23" s="714"/>
      <c r="N23" s="623"/>
      <c r="P23" s="623"/>
      <c r="R23" s="3226"/>
      <c r="S23" s="623"/>
    </row>
    <row r="24" spans="1:31" ht="30" customHeight="1" x14ac:dyDescent="0.25">
      <c r="A24" s="3218"/>
      <c r="D24" s="3200">
        <v>1.2</v>
      </c>
      <c r="E24" s="725">
        <f>E22*D24</f>
        <v>1.2</v>
      </c>
      <c r="G24" s="3148" t="str">
        <f>IF(OR(NE="oui",ca_3=0)," ",IF(emp_élargi_3=0,"Endettement nul",IF(G22&lt;$E$22,"Capacité disponible",IF(G22&lt;$E$24,"Capacité saturée",IF(G22&gt;=$E$24,"Endettement
 très élevé"," ")))))</f>
        <v xml:space="preserve"> </v>
      </c>
      <c r="I24" s="3148" t="str">
        <f>IF(OR(NE="oui",ca_2=0)," ",IF(emp_élargi_2=0,"Endettement nul",IF(I22&lt;$E$22,"Capacité disponible",IF(I22&lt;$E$24,"Capacité saturée",IF(I22&gt;=$E$24,"Endettement
 très élevé"," ")))))</f>
        <v xml:space="preserve"> </v>
      </c>
      <c r="K24" s="3148" t="str">
        <f>IF(OR(NE="oui",ca_1=0)," ",IF(emp_élargi_1=0,"Endettement nul",IF(K22&lt;$E$22,"Capacité disponible",IF(K22&lt;$E$24,"Capacité saturée",IF(K22&gt;=$E$24,"Endettement
 très élevé"," ")))))</f>
        <v xml:space="preserve"> </v>
      </c>
      <c r="M24" s="3148" t="str">
        <f>IF(ca_5=0," ",IF(emp_elargi_5=0,"Endettement nul",IF(M22&lt;$E$22,"Capacité disponible",IF(M22&lt;$E$24,"Capacité saturée",IF(M22&gt;=$E$24,"Endettement
 très élevé"," ")))))</f>
        <v xml:space="preserve"> </v>
      </c>
      <c r="N24" s="623"/>
      <c r="O24" s="3148" t="str">
        <f>IF(ca_6=0," ",IF(emp_elargi_6=0,"Endettement nul",IF(O22&lt;$E$22,"Capacité disponible",IF(O22&lt;$E$24,"Capacité saturée",IF(O22&gt;=$E$24,"Endettement
 très élevé"," ")))))</f>
        <v xml:space="preserve"> </v>
      </c>
      <c r="P24" s="623"/>
      <c r="Q24" s="3148" t="str">
        <f>IF(ca_7=0," ",IF(emp_elargi_7=0,"Endettement nul",IF(Q22&lt;$E$22,"Capacité disponible",IF(Q22&lt;$E$24,"Capacité saturée",IF(Q22&gt;=$E$24,"Endettement
 très élevé"," ")))))</f>
        <v xml:space="preserve"> </v>
      </c>
      <c r="R24" s="3226"/>
      <c r="S24" s="623"/>
      <c r="Z24" s="3209"/>
      <c r="AA24" s="3209"/>
      <c r="AB24" s="3209"/>
      <c r="AC24" s="3209"/>
      <c r="AD24" s="3209"/>
      <c r="AE24" s="3209"/>
    </row>
    <row r="25" spans="1:31" ht="3" customHeight="1" x14ac:dyDescent="0.25">
      <c r="A25" s="3218"/>
      <c r="D25" s="618"/>
      <c r="E25" s="618"/>
      <c r="H25" s="618"/>
      <c r="J25" s="618"/>
      <c r="L25" s="618"/>
      <c r="N25" s="618"/>
      <c r="P25" s="618"/>
      <c r="R25" s="3226"/>
      <c r="S25" s="623"/>
    </row>
    <row r="26" spans="1:31" ht="16.95" customHeight="1" x14ac:dyDescent="0.25">
      <c r="A26" s="3218"/>
      <c r="G26" s="755" t="str">
        <f>IF(G22=0," ",IF(G22&lt;$E$22,"J",IF(G22&gt;$E$22,"L","K")))</f>
        <v xml:space="preserve"> </v>
      </c>
      <c r="H26" s="744"/>
      <c r="I26" s="755" t="str">
        <f>IF(I22=0," ",IF(I22&lt;$E$22,"J",IF(I22&gt;$E$22,"L","K")))</f>
        <v xml:space="preserve"> </v>
      </c>
      <c r="J26" s="745"/>
      <c r="K26" s="755" t="str">
        <f>IF(K22=0," ",IF(K22&lt;$E$22,"J",IF(K22&gt;$E$22,"L","K")))</f>
        <v xml:space="preserve"> </v>
      </c>
      <c r="L26" s="744"/>
      <c r="M26" s="755" t="str">
        <f>IF(M22=0," ",IF(M22&lt;$E$22,"J",IF(M22&gt;$E$22,"L","K")))</f>
        <v xml:space="preserve"> </v>
      </c>
      <c r="N26" s="744"/>
      <c r="O26" s="755" t="str">
        <f>IF(O22=0," ",IF(O22&lt;$E$22,"J",IF(O22&gt;$E$22,"L","K")))</f>
        <v xml:space="preserve"> </v>
      </c>
      <c r="P26" s="745"/>
      <c r="Q26" s="755" t="str">
        <f>IF(Q22=0," ",IF(Q22&lt;$E$22,"J",IF(Q22&gt;$E$22,"L","K")))</f>
        <v xml:space="preserve"> </v>
      </c>
      <c r="R26" s="3219"/>
    </row>
    <row r="27" spans="1:31" ht="25.2" customHeight="1" x14ac:dyDescent="0.25">
      <c r="A27" s="3218"/>
      <c r="B27" s="4446" t="s">
        <v>1318</v>
      </c>
      <c r="C27" s="4446"/>
      <c r="N27" s="623"/>
      <c r="P27" s="623"/>
      <c r="R27" s="3226"/>
      <c r="S27" s="623"/>
    </row>
    <row r="28" spans="1:31" ht="24.9" customHeight="1" x14ac:dyDescent="0.25">
      <c r="A28" s="3218"/>
      <c r="B28" s="4400" t="s">
        <v>1327</v>
      </c>
      <c r="C28" s="4445"/>
      <c r="D28" s="4451">
        <v>4</v>
      </c>
      <c r="E28" s="4452"/>
      <c r="G28" s="1774">
        <f>IF(ISERROR(IF(OR(NE="oui",emp_élargi_3=0),0,IF(caf_retraitée_3&lt;0,"CAF nulle",emp_élargi_3/caf_retraitée_3))),0,IF(OR(NE="oui",emp_élargi_3=0),0,IF(caf_retraitée_3&lt;0,"CAF nulle",emp_élargi_3/caf_retraitée_3)))</f>
        <v>0</v>
      </c>
      <c r="H28" s="771">
        <f>IF(G28&lt;4,1,0)</f>
        <v>1</v>
      </c>
      <c r="I28" s="1774">
        <f>IF(ISERROR(IF(OR(NE="oui",emp_élargi_2=0),0,IF(caf_retraitée_2&lt;0,"CAF nulle",emp_élargi_2/caf_retraitée_2))),0,IF(OR(NE="oui",emp_élargi_2=0),0,IF(caf_retraitée_2&lt;0,"CAF nulle",emp_élargi_2/caf_retraitée_2)))</f>
        <v>0</v>
      </c>
      <c r="J28" s="771">
        <f>IF(I28&lt;4,1,0)</f>
        <v>1</v>
      </c>
      <c r="K28" s="1774">
        <f>IF(ISERROR(IF(OR(NE="oui",emp_élargi_1=0),0,IF(caf_retraitée_1&lt;0,"CAF nulle",emp_élargi_1/caf_retraitée_1))),0,IF(OR(NE="oui",emp_élargi_1=0),0,IF(caf_retraitée_1&lt;0,"CAF nulle",emp_élargi_1/caf_retraitée_1)))</f>
        <v>0</v>
      </c>
      <c r="L28" s="771">
        <f>IF(K28&lt;4,1,0)</f>
        <v>1</v>
      </c>
      <c r="M28" s="1774">
        <f ca="1">IF(ISERROR(IF(emp_elargi_5=0,0,IF(caf_retraitée_5&lt;0,"CAF nulle",emp_elargi_5/caf_retraitée_5))),0,IF(emp_elargi_5=0,0,IF(caf_retraitée_5&lt;0,"CAF nulle",emp_elargi_5/caf_retraitée_5)))</f>
        <v>0</v>
      </c>
      <c r="N28" s="771">
        <f ca="1">IF(M28&lt;4,1,0)</f>
        <v>1</v>
      </c>
      <c r="O28" s="1774">
        <f ca="1">IF(ISERROR(IF(emp_elargi_6=0,0,IF(caf_retraitée_6&lt;0,"CAF nulle",emp_elargi_6/caf_retraitée_6))),0,IF(emp_elargi_6=0,0,IF(caf_retraitée_6&lt;0,"CAF nulle",emp_elargi_6/caf_retraitée_6)))</f>
        <v>0</v>
      </c>
      <c r="P28" s="771">
        <f ca="1">IF(O28&lt;4,1,0)</f>
        <v>1</v>
      </c>
      <c r="Q28" s="1774">
        <f ca="1">IF(ISERROR(IF(emp_elargi_7=0,0,IF(caf_retraitée_7&lt;0,"CAF nulle",emp_elargi_7/caf_retraitée_7))),0,IF(emp_elargi_7=0,0,IF(caf_retraitée_7&lt;0,"CAF nulle",emp_elargi_7/caf_retraitée_7)))</f>
        <v>0</v>
      </c>
      <c r="R28" s="3225">
        <f ca="1">IF(Q28&lt;4,1,0)</f>
        <v>1</v>
      </c>
      <c r="S28" s="771"/>
    </row>
    <row r="29" spans="1:31" ht="3" customHeight="1" x14ac:dyDescent="0.25">
      <c r="A29" s="3218"/>
      <c r="B29" s="631"/>
      <c r="C29" s="625"/>
      <c r="D29" s="714"/>
      <c r="E29" s="714"/>
      <c r="N29" s="623"/>
      <c r="P29" s="623"/>
      <c r="R29" s="3226"/>
      <c r="S29" s="623"/>
    </row>
    <row r="30" spans="1:31" s="622" customFormat="1" ht="20.100000000000001" customHeight="1" x14ac:dyDescent="0.25">
      <c r="A30" s="3224"/>
      <c r="B30" s="618"/>
      <c r="C30" s="4420" t="s">
        <v>570</v>
      </c>
      <c r="D30" s="4420"/>
      <c r="E30" s="4420"/>
      <c r="F30" s="618"/>
      <c r="G30" s="3148" t="str">
        <f>IF(ca_3=0," ",IF(emp_élargi_3=0," ",IF(G28=0," ",IF(G28&gt;D28,"Insuffisant","ok "))))</f>
        <v xml:space="preserve"> </v>
      </c>
      <c r="H30" s="697"/>
      <c r="I30" s="3148" t="str">
        <f>IF(ca_2=0," ",IF(emp_élargi_2=0," ",IF(I28=0," ",IF(I28&gt;D28,"Insuffisant","ok "))))</f>
        <v xml:space="preserve"> </v>
      </c>
      <c r="J30" s="623"/>
      <c r="K30" s="3148" t="str">
        <f>IF(ca_1=0," ",IF(emp_élargi_1=0," ",IF(K28=0," ",IF(K28&gt;D28,"insuffisant","ok"))))</f>
        <v xml:space="preserve"> </v>
      </c>
      <c r="L30" s="623"/>
      <c r="M30" s="3148" t="str">
        <f>IF(ca_5=0," ",IF(emp_elargi_5=0," ",IF(M28=0," ",IF(M28&gt;D28,"insuffisant","ok"))))</f>
        <v xml:space="preserve"> </v>
      </c>
      <c r="N30" s="623"/>
      <c r="O30" s="3148" t="str">
        <f>IF(ca_6=0," ",IF(emp_elargi_6=0," ",IF(O28=0," ",IF(O28&gt;D28,"insuffisant","ok"))))</f>
        <v xml:space="preserve"> </v>
      </c>
      <c r="P30" s="623"/>
      <c r="Q30" s="3148" t="str">
        <f>IF(ca_7=0," ",IF(emp_elargi_7=0," ",IF(Q28=0," ",IF(Q28&gt;D28,"insuffisant","ok"))))</f>
        <v xml:space="preserve"> </v>
      </c>
      <c r="R30" s="3226"/>
      <c r="S30" s="623"/>
    </row>
    <row r="31" spans="1:31" s="622" customFormat="1" ht="3" customHeight="1" x14ac:dyDescent="0.25">
      <c r="A31" s="3224"/>
      <c r="B31" s="618"/>
      <c r="C31" s="625"/>
      <c r="D31" s="625"/>
      <c r="E31" s="625"/>
      <c r="F31" s="625"/>
      <c r="G31" s="625"/>
      <c r="H31" s="625"/>
      <c r="I31" s="625"/>
      <c r="J31" s="625"/>
      <c r="K31" s="625"/>
      <c r="L31" s="625"/>
      <c r="M31" s="625"/>
      <c r="N31" s="625"/>
      <c r="O31" s="625"/>
      <c r="P31" s="625"/>
      <c r="Q31" s="625"/>
      <c r="R31" s="3226"/>
      <c r="S31" s="623"/>
    </row>
    <row r="32" spans="1:31" s="37" customFormat="1" ht="16.95" customHeight="1" x14ac:dyDescent="0.25">
      <c r="A32" s="3227"/>
      <c r="G32" s="755" t="str">
        <f>IF(G28=0," ",IF(G28&lt;$D$28,"J",IF(G28&gt;$D$28,"L","K")))</f>
        <v xml:space="preserve"> </v>
      </c>
      <c r="H32" s="744"/>
      <c r="I32" s="755" t="str">
        <f>IF(I28=0," ",IF(I28&lt;$D$28,"J",IF(I28&gt;$D$28,"L","K")))</f>
        <v xml:space="preserve"> </v>
      </c>
      <c r="J32" s="745"/>
      <c r="K32" s="755" t="str">
        <f>IF(K28=0," ",IF(K28&lt;$D$28,"J",IF(K28&gt;$D$28,"L","K")))</f>
        <v xml:space="preserve"> </v>
      </c>
      <c r="L32" s="744"/>
      <c r="M32" s="755" t="str">
        <f ca="1">IF(M28=0," ",IF(M28&lt;$D$28,"J",IF(M28&gt;$D$28,"L","K")))</f>
        <v xml:space="preserve"> </v>
      </c>
      <c r="N32" s="744"/>
      <c r="O32" s="755" t="str">
        <f ca="1">IF(O28=0," ",IF(O28&lt;$D$28,"J",IF(O28&gt;$D$28,"L","K")))</f>
        <v xml:space="preserve"> </v>
      </c>
      <c r="P32" s="745"/>
      <c r="Q32" s="755" t="str">
        <f ca="1">IF(Q28=0," ",IF(Q28&lt;$D$28,"J",IF(Q28&gt;$D$28,"L","K")))</f>
        <v xml:space="preserve"> </v>
      </c>
      <c r="R32" s="3228"/>
      <c r="T32" s="655"/>
    </row>
    <row r="33" spans="1:20" s="622" customFormat="1" ht="12" customHeight="1" x14ac:dyDescent="0.25">
      <c r="A33" s="3224"/>
      <c r="B33" s="631"/>
      <c r="C33" s="4466" t="s">
        <v>570</v>
      </c>
      <c r="D33" s="4466"/>
      <c r="E33" s="4466"/>
      <c r="F33" s="618"/>
      <c r="G33" s="3182">
        <f>D34</f>
        <v>0.33333333333333337</v>
      </c>
      <c r="H33" s="697"/>
      <c r="I33" s="3182">
        <f>D34</f>
        <v>0.33333333333333337</v>
      </c>
      <c r="J33" s="3160"/>
      <c r="K33" s="3182">
        <f>D34</f>
        <v>0.33333333333333337</v>
      </c>
      <c r="L33" s="3160"/>
      <c r="M33" s="3182">
        <f>D34</f>
        <v>0.33333333333333337</v>
      </c>
      <c r="N33" s="3160"/>
      <c r="O33" s="3182">
        <f>D34</f>
        <v>0.33333333333333337</v>
      </c>
      <c r="P33" s="3160"/>
      <c r="Q33" s="3182">
        <f>D34</f>
        <v>0.33333333333333337</v>
      </c>
      <c r="R33" s="3226"/>
      <c r="S33" s="623"/>
    </row>
    <row r="34" spans="1:20" s="622" customFormat="1" ht="24.9" customHeight="1" x14ac:dyDescent="0.25">
      <c r="A34" s="3224"/>
      <c r="B34" s="4400" t="s">
        <v>1328</v>
      </c>
      <c r="C34" s="4445"/>
      <c r="D34" s="4453">
        <v>0.33333333333333337</v>
      </c>
      <c r="E34" s="4454"/>
      <c r="F34" s="618"/>
      <c r="G34" s="1775">
        <f>IF(OR(NE="oui",ca_3=0,i_3&lt;0),0,IF(ebe_3&lt;0,"EBE négatif",i_3/ebe_3))</f>
        <v>0</v>
      </c>
      <c r="H34" s="771">
        <f>IF(G34&lt;50%,1,0)</f>
        <v>1</v>
      </c>
      <c r="I34" s="1775">
        <f>IF(OR(NE="oui",ca_2=0,i_2&lt;0),0,IF(ebe_2&lt;0,"EBE négatif",i_2/ebe_2))</f>
        <v>0</v>
      </c>
      <c r="J34" s="771">
        <f>IF(I34&lt;50%,1,0)</f>
        <v>1</v>
      </c>
      <c r="K34" s="1775">
        <f>IF(OR(NE="oui",ca_1=0,i_1&lt;0),0,IF(ebe_1&lt;0,"EBE négatif",i_1/ebe_1))</f>
        <v>0</v>
      </c>
      <c r="L34" s="771">
        <f>IF(K34&lt;50%,1,0)</f>
        <v>1</v>
      </c>
      <c r="M34" s="1775">
        <f>IF(ca_5=0,0,IF(i_5&lt;0,0,IF(ebe_5&lt;0,"EBE négatif",i_5/ebe_5)))</f>
        <v>0</v>
      </c>
      <c r="N34" s="771">
        <f>IF(M34&lt;50%,1,0)</f>
        <v>1</v>
      </c>
      <c r="O34" s="1775">
        <f>IF(ca_6=0,0,IF(i_6&lt;0,0,IF(ebe_6&lt;0,"EBE négatif",i_6/ebe_6)))</f>
        <v>0</v>
      </c>
      <c r="P34" s="771">
        <f>IF(O34&lt;50%,1,0)</f>
        <v>1</v>
      </c>
      <c r="Q34" s="1775">
        <f>IF(ca_7=0,0,IF(i_7&lt;0,0,IF(ebe_7&lt;0,"EBE négatif",i_7/ebe_7)))</f>
        <v>0</v>
      </c>
      <c r="R34" s="3225">
        <f>IF(Q34&lt;50%,1,0)</f>
        <v>1</v>
      </c>
      <c r="S34" s="771"/>
    </row>
    <row r="35" spans="1:20" s="622" customFormat="1" ht="3" customHeight="1" x14ac:dyDescent="0.25">
      <c r="A35" s="3224"/>
      <c r="B35" s="618"/>
      <c r="C35" s="618"/>
      <c r="D35" s="618"/>
      <c r="E35" s="618"/>
      <c r="F35" s="618"/>
      <c r="G35" s="3182">
        <f>IF(OR(NE="oui",ca_3=0,i_3&lt;0),0,IF(AND(ebe_3&lt;0,i_3&gt;0),100%,i_3/ebe_3))</f>
        <v>0</v>
      </c>
      <c r="H35" s="3167">
        <f>IF(G35&lt;50%,1,0)</f>
        <v>1</v>
      </c>
      <c r="I35" s="3182">
        <f>IF(OR(NE="oui",ca_2=0,i_2&lt;0),0,IF(AND(ebe_2&lt;0,i_2&gt;0),100%,i_2/ebe_2))</f>
        <v>0</v>
      </c>
      <c r="J35" s="3167">
        <f>IF(I35&lt;50%,1,0)</f>
        <v>1</v>
      </c>
      <c r="K35" s="3182">
        <f>IF(OR(NE="oui",ca_1=0,i_1&lt;0),0,IF(AND(ebe_1&lt;0,i_1&gt;0),100%,i_1/ebe_1))</f>
        <v>0</v>
      </c>
      <c r="L35" s="3167">
        <f>IF(K35&lt;50%,1,0)</f>
        <v>1</v>
      </c>
      <c r="M35" s="3182">
        <f>IF(ca_5=0,0,IF(i_5&lt;0,0,IF(AND(ebe_5&lt;0,i_5&gt;0),100%,i_5/ebe_5)))</f>
        <v>0</v>
      </c>
      <c r="N35" s="3168">
        <f>IF(M35&lt;50%,1,0)</f>
        <v>1</v>
      </c>
      <c r="O35" s="3182">
        <f>IF(ca_6=0,0,IF(i_6&lt;0,0,IF(AND(ebe_6&lt;0,i_6&gt;0),100%,i_6/ebe_6)))</f>
        <v>0</v>
      </c>
      <c r="P35" s="3168">
        <f>IF(O35&lt;50%,1,0)</f>
        <v>1</v>
      </c>
      <c r="Q35" s="3182">
        <f>IF(ca_7=0,0,IF(i_7&lt;0,0,IF(AND(ebe_7&lt;0,i_7&gt;0),100%,i_7/ebe_7)))</f>
        <v>0</v>
      </c>
      <c r="R35" s="3219"/>
      <c r="S35" s="702"/>
    </row>
    <row r="36" spans="1:20" s="622" customFormat="1" ht="19.95" customHeight="1" x14ac:dyDescent="0.25">
      <c r="A36" s="3224"/>
      <c r="B36" s="618"/>
      <c r="C36" s="618"/>
      <c r="D36" s="619"/>
      <c r="E36" s="632"/>
      <c r="F36" s="618"/>
      <c r="G36" s="3169" t="str">
        <f>IF(OR(NE="oui",ca_3=0,G34=0)," ",IF(G34="EBE négatif","Situation critique",IF(G34&lt;$D$34,"Risque faible",IF(G34&lt;=($D$34*2),"A surveiller","Situation critique"))))</f>
        <v xml:space="preserve"> </v>
      </c>
      <c r="H36" s="697"/>
      <c r="I36" s="3169" t="str">
        <f>IF(OR(NE="oui",ca_2=0,I34=0)," ",IF(I34="EBE négatif","Situation critique",IF(I34&lt;$D$34,"Risque faible",IF(I34&lt;=($D$34*2),"A surveiller","Situation critique"))))</f>
        <v xml:space="preserve"> </v>
      </c>
      <c r="J36" s="623"/>
      <c r="K36" s="3169" t="str">
        <f>IF(OR(NE="oui",ca_1=0,K34=0)," ",IF(K34="EBE négatif","Situation critique",IF(K34&lt;$D$34,"Risque faible",IF(K34&lt;=($D$34*2),"A surveiller","Situation critique"))))</f>
        <v xml:space="preserve"> </v>
      </c>
      <c r="L36" s="623"/>
      <c r="M36" s="3169" t="str">
        <f>IF(ca_5=0," ",IF(M34=0," ",IF(M34="EBE négatif","Situation critique",IF(M34&lt;$D$34,"Risque faible",IF(M34&lt;=($D$34*2),"A surveiller","Situation critique")))))</f>
        <v xml:space="preserve"> </v>
      </c>
      <c r="N36" s="702"/>
      <c r="O36" s="3169" t="str">
        <f>IF(ca_6=0," ",IF(O34=0," ",IF(O34="EBE négatif","Situation critique",IF(O34&lt;$D$34,"Risque faible",IF(O34&lt;=($D$34*2),"A surveiller","Situation critique")))))</f>
        <v xml:space="preserve"> </v>
      </c>
      <c r="P36" s="702"/>
      <c r="Q36" s="3169" t="str">
        <f>IF(ca_6=0," ",IF(Q34=0," ",IF(Q34="EBE négatif","Situation critique",IF(Q34&lt;$D$34,"Risque faible",IF(Q34&lt;=($D$34*2),"A surveiller","Situation critique")))))</f>
        <v xml:space="preserve"> </v>
      </c>
      <c r="R36" s="3219"/>
      <c r="S36" s="702"/>
    </row>
    <row r="37" spans="1:20" s="622" customFormat="1" ht="3" customHeight="1" x14ac:dyDescent="0.25">
      <c r="A37" s="3224"/>
      <c r="B37" s="618"/>
      <c r="C37" s="618"/>
      <c r="D37" s="618"/>
      <c r="E37" s="618"/>
      <c r="F37" s="618"/>
      <c r="G37" s="618"/>
      <c r="H37" s="618"/>
      <c r="I37" s="618"/>
      <c r="J37" s="618"/>
      <c r="K37" s="618"/>
      <c r="L37" s="618"/>
      <c r="M37" s="618"/>
      <c r="N37" s="618"/>
      <c r="O37" s="618"/>
      <c r="P37" s="618"/>
      <c r="Q37" s="618"/>
      <c r="R37" s="3219"/>
      <c r="S37" s="702"/>
    </row>
    <row r="38" spans="1:20" s="37" customFormat="1" ht="16.95" customHeight="1" x14ac:dyDescent="0.25">
      <c r="A38" s="3227"/>
      <c r="G38" s="755" t="str">
        <f>IF(G34=0," ",IF(G34&lt;$D$34,"J",IF(G34&gt;$D$34,"L","K")))</f>
        <v xml:space="preserve"> </v>
      </c>
      <c r="H38" s="744"/>
      <c r="I38" s="755" t="str">
        <f>IF(I34=0," ",IF(I34&lt;$D$34,"J",IF(I34&gt;$D$34,"L","K")))</f>
        <v xml:space="preserve"> </v>
      </c>
      <c r="J38" s="745"/>
      <c r="K38" s="755" t="str">
        <f>IF(K34=0," ",IF(K34&lt;$D$34,"J",IF(K34&gt;$D$34,"L","K")))</f>
        <v xml:space="preserve"> </v>
      </c>
      <c r="L38" s="744"/>
      <c r="M38" s="755" t="str">
        <f>IF(ca_5=0," ",IF(M34&lt;$D$34,"J",IF(M34&gt;$D$34,"L","K")))</f>
        <v xml:space="preserve"> </v>
      </c>
      <c r="N38" s="744"/>
      <c r="O38" s="755" t="str">
        <f>IF(ca_6=0," ",IF(O34&lt;$D$34,"J",IF(O34&gt;$D$34,"L","K")))</f>
        <v xml:space="preserve"> </v>
      </c>
      <c r="P38" s="745"/>
      <c r="Q38" s="755" t="str">
        <f>IF(ca_7=0," ",IF(Q34&lt;$D$34,"J",IF(Q34&gt;$D$34,"L","K")))</f>
        <v xml:space="preserve"> </v>
      </c>
      <c r="R38" s="3228"/>
      <c r="T38" s="655"/>
    </row>
    <row r="39" spans="1:20" s="37" customFormat="1" ht="6" customHeight="1" x14ac:dyDescent="0.25">
      <c r="A39" s="3227"/>
      <c r="G39" s="3182">
        <f>D47</f>
        <v>0.5</v>
      </c>
      <c r="I39" s="3182">
        <f>D47</f>
        <v>0.5</v>
      </c>
      <c r="J39" s="3167"/>
      <c r="K39" s="3182">
        <f>D47</f>
        <v>0.5</v>
      </c>
      <c r="L39" s="3167"/>
      <c r="M39" s="3182">
        <f>D47</f>
        <v>0.5</v>
      </c>
      <c r="N39" s="3168"/>
      <c r="O39" s="3182">
        <f>D47</f>
        <v>0.5</v>
      </c>
      <c r="P39" s="3168"/>
      <c r="Q39" s="3182">
        <f>D47</f>
        <v>0.5</v>
      </c>
      <c r="R39" s="3228"/>
      <c r="T39" s="655"/>
    </row>
    <row r="40" spans="1:20" ht="25.2" customHeight="1" x14ac:dyDescent="0.25">
      <c r="A40" s="3218"/>
      <c r="B40" s="3205" t="s">
        <v>1319</v>
      </c>
      <c r="C40" s="3205"/>
      <c r="D40" s="3205"/>
      <c r="E40" s="3205"/>
      <c r="F40" s="3205"/>
      <c r="G40" s="3205"/>
      <c r="R40" s="3219"/>
    </row>
    <row r="41" spans="1:20" ht="20.100000000000001" customHeight="1" x14ac:dyDescent="0.25">
      <c r="A41" s="3218"/>
      <c r="B41" s="4410" t="s">
        <v>1329</v>
      </c>
      <c r="C41" s="4411"/>
      <c r="D41" s="4396" t="s">
        <v>176</v>
      </c>
      <c r="E41" s="4397"/>
      <c r="G41" s="1778" t="str">
        <f>IF(OR(NE="oui",ca_3=0)," ", fr_3)</f>
        <v xml:space="preserve"> </v>
      </c>
      <c r="I41" s="1778" t="str">
        <f>IF(OR(NE="oui",ca_2=0)," ", fr_2)</f>
        <v xml:space="preserve"> </v>
      </c>
      <c r="K41" s="1778" t="str">
        <f>IF(OR(NE="oui",ca_1=0)," ", fr_1)</f>
        <v xml:space="preserve"> </v>
      </c>
      <c r="M41" s="1778" t="str">
        <f>IF(ca_5=0," ", fr_5)</f>
        <v xml:space="preserve"> </v>
      </c>
      <c r="O41" s="1778" t="str">
        <f>IF(ca_6=0," ", fr_6)</f>
        <v xml:space="preserve"> </v>
      </c>
      <c r="Q41" s="1778" t="str">
        <f>IF(ca_7=0," ", fr_7)</f>
        <v xml:space="preserve"> </v>
      </c>
      <c r="R41" s="3219"/>
    </row>
    <row r="42" spans="1:20" ht="20.100000000000001" hidden="1" customHeight="1" x14ac:dyDescent="0.25">
      <c r="A42" s="3218"/>
      <c r="B42" s="4412"/>
      <c r="C42" s="4407"/>
      <c r="D42" s="767" t="s">
        <v>814</v>
      </c>
      <c r="E42" s="1776"/>
      <c r="G42" s="1779">
        <f>IF(ISBLANK(D44),0,IF(OR(NE="oui",ca_3=0),0,G44-D44))</f>
        <v>0</v>
      </c>
      <c r="H42" s="763"/>
      <c r="I42" s="1779">
        <f>IF(ISBLANK(D44),0,IF(OR(NE="oui",ca_2=0),0,I44-D44))</f>
        <v>0</v>
      </c>
      <c r="J42" s="763"/>
      <c r="K42" s="1779">
        <f>IF(ISBLANK(D44),0,IF(OR(NE="oui",ca_1=0),0,K44-D44))</f>
        <v>0</v>
      </c>
      <c r="L42" s="764"/>
      <c r="M42" s="1780">
        <f>IF(ISBLANK(D44),0,IF(ca_5=0,0,M44-D44))</f>
        <v>0</v>
      </c>
      <c r="N42" s="763"/>
      <c r="O42" s="1780">
        <f>IF(ISBLANK(D44),0,IF(ca_6=0,0,O44-D44))</f>
        <v>0</v>
      </c>
      <c r="P42" s="763"/>
      <c r="Q42" s="1780">
        <f>IF(ISBLANK(D44),0,IF(ca_7=0,0,Q44-D44))</f>
        <v>0</v>
      </c>
      <c r="R42" s="3219"/>
    </row>
    <row r="43" spans="1:20" ht="20.100000000000001" hidden="1" customHeight="1" x14ac:dyDescent="0.25">
      <c r="A43" s="3218"/>
      <c r="B43" s="4412"/>
      <c r="C43" s="4407"/>
      <c r="D43" s="769" t="s">
        <v>815</v>
      </c>
      <c r="E43" s="1777" t="str">
        <f>IF(OR(NE="oui",ca_4=0)," ",fr_4*durée_4*30/ca_4)</f>
        <v xml:space="preserve"> </v>
      </c>
      <c r="G43" s="1779">
        <f>IF(OR(NE="oui",ca_4=0,ca_3=0),0,G44-E43)</f>
        <v>0</v>
      </c>
      <c r="H43" s="763"/>
      <c r="I43" s="1779">
        <f>IF(OR(NE="oui",ca_3=0,ca_2=0),0,I44-G44)</f>
        <v>0</v>
      </c>
      <c r="J43" s="763"/>
      <c r="K43" s="1779">
        <f>IF(OR(NE="oui",ca_2=0,ca_1=0),0,K44-I44)</f>
        <v>0</v>
      </c>
      <c r="L43" s="764"/>
      <c r="M43" s="1780">
        <f>IF(OR(ca_1=0,ca_5=0,NE="oui"),0,M44-K44)</f>
        <v>0</v>
      </c>
      <c r="N43" s="763"/>
      <c r="O43" s="1780">
        <f>IF(OR(ca_5=0,ca_6=0),0,O44-M44)</f>
        <v>0</v>
      </c>
      <c r="P43" s="763"/>
      <c r="Q43" s="1780">
        <f>IF(OR(ca_6=0,ca_7=0),0,Q44-O44)</f>
        <v>0</v>
      </c>
      <c r="R43" s="3219"/>
    </row>
    <row r="44" spans="1:20" ht="20.100000000000001" customHeight="1" x14ac:dyDescent="0.25">
      <c r="A44" s="3218"/>
      <c r="B44" s="4406"/>
      <c r="C44" s="4407"/>
      <c r="D44" s="4398"/>
      <c r="E44" s="4399"/>
      <c r="G44" s="1781" t="str">
        <f>IF(OR(NE="oui",ca_3=0)," ",G41*durée_3*30/ca_3)</f>
        <v xml:space="preserve"> </v>
      </c>
      <c r="I44" s="1781" t="str">
        <f>IF(OR(NE="oui",ca_2=0)," ",I41*durée_2*30/ca_2)</f>
        <v xml:space="preserve"> </v>
      </c>
      <c r="K44" s="1781" t="str">
        <f>IF(OR(NE="oui",ca_1=0)," ",K41*durée_1*30/ca_1)</f>
        <v xml:space="preserve"> </v>
      </c>
      <c r="M44" s="1781" t="str">
        <f>IF(ISERROR(IF(ca_5=0," ",M41*durée_5*30/ca_5))," ",IF(ca_5=0," ",M41*durée_5*30/ca_5))</f>
        <v xml:space="preserve"> </v>
      </c>
      <c r="O44" s="1781" t="str">
        <f>IF(ISERROR(IF(ca_6=0," ",O41*durée_6*30/ca_6))," ",IF(ca_6=0," ",O41*durée_6*30/ca_6))</f>
        <v xml:space="preserve"> </v>
      </c>
      <c r="Q44" s="1781" t="str">
        <f>IF(ISERROR(IF(ca_7=0," ",Q41*durée_7*30/ca_7))," ",IF(ca_7=0," ",Q41*durée_7*30/ca_7))</f>
        <v xml:space="preserve"> </v>
      </c>
      <c r="R44" s="3219"/>
    </row>
    <row r="45" spans="1:20" s="622" customFormat="1" ht="20.100000000000001" customHeight="1" x14ac:dyDescent="0.25">
      <c r="A45" s="3224"/>
      <c r="B45" s="4404" t="s">
        <v>1330</v>
      </c>
      <c r="C45" s="4405"/>
      <c r="D45" s="4447" t="s">
        <v>176</v>
      </c>
      <c r="E45" s="4448"/>
      <c r="F45" s="618"/>
      <c r="G45" s="1927" t="str">
        <f>IF(OR(NE="oui",ca_3=0)," ", bfr_3)</f>
        <v xml:space="preserve"> </v>
      </c>
      <c r="H45" s="697"/>
      <c r="I45" s="1927" t="str">
        <f>IF(OR(NE="oui",ca_2=0)," ",bfr_2)</f>
        <v xml:space="preserve"> </v>
      </c>
      <c r="J45" s="623"/>
      <c r="K45" s="1927" t="str">
        <f>IF(OR(NE="oui",ca_1=0)," ", bfr_1)</f>
        <v xml:space="preserve"> </v>
      </c>
      <c r="L45" s="623"/>
      <c r="M45" s="1927" t="str">
        <f>IF(ca_5=0," ", bfr_5)</f>
        <v xml:space="preserve"> </v>
      </c>
      <c r="N45" s="702"/>
      <c r="O45" s="1927" t="str">
        <f>IF(ca_6=0," ", bfr_6)</f>
        <v xml:space="preserve"> </v>
      </c>
      <c r="P45" s="702"/>
      <c r="Q45" s="1927" t="str">
        <f>IF(ca_7=0," ", bfr_7)</f>
        <v xml:space="preserve"> </v>
      </c>
      <c r="R45" s="3219"/>
      <c r="S45" s="702"/>
    </row>
    <row r="46" spans="1:20" ht="18.75" customHeight="1" x14ac:dyDescent="0.25">
      <c r="A46" s="3218"/>
      <c r="B46" s="4406"/>
      <c r="C46" s="4407"/>
      <c r="D46" s="4398"/>
      <c r="E46" s="4399"/>
      <c r="G46" s="1781" t="str">
        <f>IF(OR(NE="oui",ca_3=0)," ",G45*durée_3*30/ca_3)</f>
        <v xml:space="preserve"> </v>
      </c>
      <c r="I46" s="1781" t="str">
        <f>IF(OR(NE="oui",ca_2=0)," ",I45*durée_2*30/ca_2)</f>
        <v xml:space="preserve"> </v>
      </c>
      <c r="K46" s="1781" t="str">
        <f>IF(OR(NE="oui",ca_1=0)," ",K45*durée_1*30/ca_1)</f>
        <v xml:space="preserve"> </v>
      </c>
      <c r="M46" s="1782" t="str">
        <f>IF(ca_5=0," ",M45*durée_5*30/ca_5)</f>
        <v xml:space="preserve"> </v>
      </c>
      <c r="N46" s="757"/>
      <c r="O46" s="1782" t="str">
        <f>IF(ca_6=0," ",O45*durée_6*30/ca_6)</f>
        <v xml:space="preserve"> </v>
      </c>
      <c r="P46" s="757"/>
      <c r="Q46" s="1782" t="str">
        <f>IF(ca_7=0," ",Q45*durée_7*30/ca_7)</f>
        <v xml:space="preserve"> </v>
      </c>
      <c r="R46" s="3219"/>
    </row>
    <row r="47" spans="1:20" ht="24.9" customHeight="1" x14ac:dyDescent="0.25">
      <c r="A47" s="3218"/>
      <c r="B47" s="4408" t="s">
        <v>1331</v>
      </c>
      <c r="C47" s="4409"/>
      <c r="D47" s="4455">
        <v>0.5</v>
      </c>
      <c r="E47" s="4456"/>
      <c r="F47" s="620"/>
      <c r="G47" s="1783" t="str">
        <f>IF(ISERROR(IF(ca_3=0," ",IF(AND(G41&lt;0,G45&lt;0)," ",IF(AND(G41&gt;0,G45&lt;0)," ",IF(AND(G41&lt;0,G45&gt;0),0,G41/G45)))))," ",IF(ca_3=0," ",IF(AND(G41&lt;0,G45&lt;0)," ",IF(AND(G41&gt;0,G45&lt;0)," ",IF(AND(G41&lt;0,G45&gt;0),0,G41/G45)))))</f>
        <v xml:space="preserve"> </v>
      </c>
      <c r="H47" s="699"/>
      <c r="I47" s="1783" t="str">
        <f>IF(ISERROR(IF(ca_2=0," ",IF(AND(I41&lt;0,I45&lt;0)," ",IF(AND(I41&gt;0,I45&lt;0)," ",IF(AND(I41&lt;0,I45&gt;0),0,I41/I45)))))," ",IF(ca_2=0," ",IF(AND(I41&lt;0,I45&lt;0)," ",IF(AND(I41&gt;0,I45&lt;0)," ",IF(AND(I41&lt;0,I45&gt;0),0,I41/I45)))))</f>
        <v xml:space="preserve"> </v>
      </c>
      <c r="J47" s="701"/>
      <c r="K47" s="1783" t="str">
        <f>IF(ISERROR(IF(ca_1=0," ",IF(AND(K41&lt;0,K45&lt;0)," ",IF(AND(K41&gt;0,K45&lt;0)," ",IF(AND(K41&lt;0,K45&gt;0),0,K41/K45)))))," ",IF(ca_1=0," ",IF(AND(K41&lt;0,K45&lt;0)," ",IF(AND(K41&gt;0,K45&lt;0)," ",IF(AND(K41&lt;0,K45&gt;0),0,K41/K45)))))</f>
        <v xml:space="preserve"> </v>
      </c>
      <c r="M47" s="1783" t="str">
        <f>IF(ISERROR(IF(ca_5=0," ",IF(AND(M41&lt;0,M45&lt;0)," ",IF(AND(M41&gt;0,M45&lt;0)," ",IF(AND(M41&lt;0,M45&gt;0),0,M41/M45)))))," ",IF(ca_5=0," ",IF(AND(M41&lt;0,M45&lt;0)," ",IF(AND(M41&gt;0,M45&lt;0)," ",IF(AND(M41&lt;0,M45&gt;0),0,M41/M45)))))</f>
        <v xml:space="preserve"> </v>
      </c>
      <c r="O47" s="1783" t="str">
        <f>IF(ISERROR(IF(ca_6=0," ",IF(AND(O41&lt;0,O45&lt;0)," ",IF(AND(O41&gt;0,O45&lt;0)," ",IF(AND(O41&lt;0,O45&gt;0),0,O41/O45)))))," ",IF(ca_6=0," ",IF(AND(O41&lt;0,O45&lt;0)," ",IF(AND(O41&gt;0,O45&lt;0)," ",IF(AND(O41&lt;0,O45&gt;0),0,O41/O45)))))</f>
        <v xml:space="preserve"> </v>
      </c>
      <c r="Q47" s="1783" t="str">
        <f>IF(ISERROR(IF(ca_7=0," ",IF(AND(Q41&lt;0,Q45&lt;0)," ",IF(AND(Q41&gt;0,Q45&lt;0)," ",IF(AND(Q41&lt;0,Q45&gt;0),0,Q41/Q45)))))," ",IF(ca_7=0," ",IF(AND(Q41&lt;0,Q45&lt;0)," ",IF(AND(Q41&gt;0,Q45&lt;0)," ",IF(AND(Q41&lt;0,Q45&gt;0),0,Q41/Q45)))))</f>
        <v xml:space="preserve"> </v>
      </c>
      <c r="R47" s="3219"/>
    </row>
    <row r="48" spans="1:20" ht="3" customHeight="1" x14ac:dyDescent="0.25">
      <c r="A48" s="3218"/>
      <c r="R48" s="3219"/>
    </row>
    <row r="49" spans="1:23" ht="20.100000000000001" customHeight="1" x14ac:dyDescent="0.25">
      <c r="A49" s="3218"/>
      <c r="B49" s="664"/>
      <c r="C49" s="4420" t="s">
        <v>570</v>
      </c>
      <c r="D49" s="4420"/>
      <c r="E49" s="4420"/>
      <c r="F49" s="665"/>
      <c r="G49" s="778" t="str">
        <f>IF(OR(NE="oui",ca_3=0,G45&lt;=0)," ",IF(G47&gt;=$D$47,"ok","Insuffisant"))</f>
        <v xml:space="preserve"> </v>
      </c>
      <c r="H49" s="699"/>
      <c r="I49" s="778" t="str">
        <f>IF(OR(NE="oui",ca_2=0,I45&lt;=0)," ",IF(I47&gt;=$D$47,"ok","Insuffisant"))</f>
        <v xml:space="preserve"> </v>
      </c>
      <c r="J49" s="701"/>
      <c r="K49" s="778" t="str">
        <f>IF(OR(NE="oui",ca_1=0,K45&lt;=0)," ",IF(K47&gt;=$D$47,"ok","Insuffisant"))</f>
        <v xml:space="preserve"> </v>
      </c>
      <c r="M49" s="778" t="str">
        <f>IF(OR(ca_5=0,M45&lt;=0)," ",IF(M47&gt;=$D$47,"ok","Insuffisant"))</f>
        <v xml:space="preserve"> </v>
      </c>
      <c r="O49" s="778" t="str">
        <f>IF(OR(ca_6=0,O45&lt;=0)," ",IF(O47&gt;=$D$47,"ok","Insuffisant"))</f>
        <v xml:space="preserve"> </v>
      </c>
      <c r="Q49" s="778" t="str">
        <f>IF(OR(ca_7=0,Q45&lt;=0)," ",IF(Q47&gt;=$D$47,"ok","Insuffisant"))</f>
        <v xml:space="preserve"> </v>
      </c>
      <c r="R49" s="3219"/>
    </row>
    <row r="50" spans="1:23" ht="12" customHeight="1" x14ac:dyDescent="0.25">
      <c r="A50" s="3218"/>
      <c r="B50" s="625"/>
      <c r="D50" s="618"/>
      <c r="E50" s="618"/>
      <c r="G50" s="3183" t="str">
        <f>IF(OR(NE="oui",ca_3=0)," ",bfre_3*(durée_3*30)/ca_3)</f>
        <v xml:space="preserve"> </v>
      </c>
      <c r="H50" s="771"/>
      <c r="I50" s="3183" t="str">
        <f>IF(OR(NE="oui",ca_2=0)," ",bfre_2*(durée_2*30)/ca_2)</f>
        <v xml:space="preserve"> </v>
      </c>
      <c r="J50" s="707"/>
      <c r="K50" s="3183" t="str">
        <f>IF(OR(NE="oui",ca_1=0)," ",bfre_1*(durée_1*30)/ca_1)</f>
        <v xml:space="preserve"> </v>
      </c>
      <c r="L50" s="707"/>
      <c r="M50" s="3183" t="str">
        <f>IF(ca_5=0," ",bfre_5*(durée_5*30)/ca_5)</f>
        <v xml:space="preserve"> </v>
      </c>
      <c r="N50" s="3174"/>
      <c r="O50" s="3183" t="str">
        <f>IF(ca_6=0," ",bfre_6*(durée_6*30)/ca_6)</f>
        <v xml:space="preserve"> </v>
      </c>
      <c r="P50" s="3174"/>
      <c r="Q50" s="3183" t="str">
        <f>IF(ca_7=0," ",bfre_7*(durée_7*30)/ca_7)</f>
        <v xml:space="preserve"> </v>
      </c>
      <c r="R50" s="3219"/>
    </row>
    <row r="51" spans="1:23" ht="24.9" customHeight="1" x14ac:dyDescent="0.25">
      <c r="A51" s="3218"/>
      <c r="B51" s="4400" t="s">
        <v>1332</v>
      </c>
      <c r="C51" s="4401"/>
      <c r="D51" s="4416">
        <v>0</v>
      </c>
      <c r="E51" s="4417"/>
      <c r="F51" s="623"/>
      <c r="G51" s="1784" t="str">
        <f>IF(ISERROR(IF(OR(ca_3=0,NE="oui")," ",caf_3-(bfe_3-bfe_4)))," ",IF(OR(ca_3=0,NE="oui")," ",caf_3-(bfe_3-bfe_4)))</f>
        <v xml:space="preserve"> </v>
      </c>
      <c r="I51" s="1784" t="str">
        <f>IF(ISERROR(IF(OR(ca_2=0,NE="oui")," ",caf_2-(bfe_2-bfe_3)))," ",IF(OR(ca_2=0,NE="oui")," ",caf_2-(bfe_2-bfe_3)))</f>
        <v xml:space="preserve"> </v>
      </c>
      <c r="K51" s="1784" t="str">
        <f>IF(ISERROR(IF(OR(ca_1=0,NE="oui")," ",caf_1-(bfe_1-bfe_2)))," ",IF(OR(ca_1=0,NE="oui")," ",caf_1-(bfe_1-bfe_2)))</f>
        <v xml:space="preserve"> </v>
      </c>
      <c r="M51" s="1785" t="str">
        <f>IF(ISERROR(IF(OR(ca_1=0,ca_5=0)," ",IF(NE="Oui","N/A",caf_5-(bfre_5-bfre_1))))," ",IF(OR(ca_1=0,ca_5=0)," ",IF(NE="Oui","N/A",caf_5-(bfre_5-bfre_1))))</f>
        <v xml:space="preserve"> </v>
      </c>
      <c r="N51" s="757"/>
      <c r="O51" s="1786" t="str">
        <f>IF(ISERROR(IF(ca_6=0," ",caf_6-(bfre_6-bfre_5)))," ",IF(ca_6=0," ",caf_6-(bfre_6-bfre_5)))</f>
        <v xml:space="preserve"> </v>
      </c>
      <c r="P51" s="757"/>
      <c r="Q51" s="1786" t="str">
        <f>IF(ISERROR(IF(ca_7=0," ",caf_7-(bfre_7-bfre_6)))," ",IF(ca_7=0," ",caf_7-(bfre_7-bfre_6)))</f>
        <v xml:space="preserve"> </v>
      </c>
      <c r="R51" s="3219"/>
    </row>
    <row r="52" spans="1:23" ht="3" customHeight="1" x14ac:dyDescent="0.25">
      <c r="A52" s="3218"/>
      <c r="R52" s="3219"/>
    </row>
    <row r="53" spans="1:23" ht="45" customHeight="1" x14ac:dyDescent="0.25">
      <c r="A53" s="3218"/>
      <c r="C53" s="4420" t="s">
        <v>483</v>
      </c>
      <c r="D53" s="4420"/>
      <c r="E53" s="4420"/>
      <c r="F53" s="548"/>
      <c r="G53" s="3177" t="str">
        <f>IF(OR(NE="oui",ca_3=0,G51=0)," ",IF(G51&gt;=$D$51,"ok","l'activité ne dégage pas de trésorerie"))</f>
        <v xml:space="preserve"> </v>
      </c>
      <c r="H53" s="3178"/>
      <c r="I53" s="3177" t="str">
        <f>IF(OR(NE="oui",ca_2=0,I51=0)," ",IF(I51&gt;=$D$51,"ok","l'activité ne dégage pas de trésorerie"))</f>
        <v xml:space="preserve"> </v>
      </c>
      <c r="J53" s="3179"/>
      <c r="K53" s="3177" t="str">
        <f>IF(OR(NE="oui",ca_1=0,K51=0)," ",IF(K51&gt;=$D$51,"ok","l'activité ne dégage pas de trésorerie"))</f>
        <v xml:space="preserve"> </v>
      </c>
      <c r="L53" s="3180"/>
      <c r="M53" s="3177" t="str">
        <f>IF(OR(ca_1=0,ca_5=0,NE="Oui",M51=0)," ",IF(M51&gt;=$D$51,"ok","l'activité ne dégage pas de trésorerie"))</f>
        <v xml:space="preserve"> </v>
      </c>
      <c r="N53" s="3181"/>
      <c r="O53" s="3177" t="str">
        <f>IF(OR(ca_6=0,O51=0)," ",IF(O51&gt;=$D$51,"ok","l'activité ne dégage pas de trésorerie"))</f>
        <v xml:space="preserve"> </v>
      </c>
      <c r="P53" s="3181"/>
      <c r="Q53" s="3177" t="str">
        <f>IF(OR(ca_7=0,Q51=0)," ",IF(Q51&gt;=$D$51,"ok","l'activité ne dégage pas de trésorerie"))</f>
        <v xml:space="preserve"> </v>
      </c>
      <c r="R53" s="3219"/>
      <c r="T53" s="625"/>
      <c r="U53" s="621"/>
    </row>
    <row r="54" spans="1:23" ht="3" customHeight="1" x14ac:dyDescent="0.25">
      <c r="A54" s="3218"/>
      <c r="D54" s="618"/>
      <c r="E54" s="618"/>
      <c r="H54" s="618"/>
      <c r="J54" s="618"/>
      <c r="L54" s="618"/>
      <c r="N54" s="618"/>
      <c r="P54" s="618"/>
      <c r="R54" s="3219"/>
      <c r="T54" s="625"/>
      <c r="U54" s="621"/>
    </row>
    <row r="55" spans="1:23" ht="16.95" customHeight="1" x14ac:dyDescent="0.25">
      <c r="A55" s="3218"/>
      <c r="D55" s="618"/>
      <c r="E55" s="618"/>
      <c r="F55" s="548"/>
      <c r="G55" s="743" t="str">
        <f>IF(G51=" "," ",IF(G51&gt;$D$51,"J",IF(G51&lt;$D$51,"L","K")))</f>
        <v xml:space="preserve"> </v>
      </c>
      <c r="H55" s="733"/>
      <c r="I55" s="743" t="str">
        <f>IF(I51=" "," ",IF(I51&gt;$D$51,"J",IF(I51&lt;$D$51,"L","K")))</f>
        <v xml:space="preserve"> </v>
      </c>
      <c r="J55" s="734"/>
      <c r="K55" s="743" t="str">
        <f>IF(K51=" "," ",IF(K51&gt;$D$51,"J",IF(K51&lt;$D$51,"L","K")))</f>
        <v xml:space="preserve"> </v>
      </c>
      <c r="L55" s="680"/>
      <c r="M55" s="743" t="str">
        <f>IF(OR(ca_1=0,ca_5=0,NE="Oui",M51=" ")," ",IF(M51&gt;$D$51,"J",IF(M51&lt;$D$51,"L","K")))</f>
        <v xml:space="preserve"> </v>
      </c>
      <c r="N55" s="735"/>
      <c r="O55" s="743" t="str">
        <f>IF(O51=" "," ",IF(O51&gt;$D$51,"J",IF(O51&lt;$D$51,"L","K")))</f>
        <v xml:space="preserve"> </v>
      </c>
      <c r="P55" s="735"/>
      <c r="Q55" s="743" t="str">
        <f>IF(Q51=" "," ",IF(Q51&gt;$D$51,"J",IF(Q51&lt;$D$51,"L","K")))</f>
        <v xml:space="preserve"> </v>
      </c>
      <c r="R55" s="3219"/>
      <c r="T55" s="625"/>
      <c r="U55" s="621"/>
    </row>
    <row r="56" spans="1:23" ht="12" customHeight="1" x14ac:dyDescent="0.25">
      <c r="A56" s="3218"/>
      <c r="C56" s="4421" t="s">
        <v>483</v>
      </c>
      <c r="D56" s="4421"/>
      <c r="E56" s="4421"/>
      <c r="G56" s="826">
        <f>IF(OR(ca_3=0,NE="oui"),0,tr_3)</f>
        <v>0</v>
      </c>
      <c r="H56" s="823"/>
      <c r="I56" s="826">
        <f>IF(OR(ca_2=0,NE="oui"),0,tr_2)</f>
        <v>0</v>
      </c>
      <c r="J56" s="824"/>
      <c r="K56" s="826">
        <f>IF(OR(ca_1=0,NE="oui"),0,tr_1)</f>
        <v>0</v>
      </c>
      <c r="L56" s="824"/>
      <c r="M56" s="826">
        <f>IF(ca_5=0,0,tr_5)</f>
        <v>0</v>
      </c>
      <c r="N56" s="825"/>
      <c r="O56" s="826">
        <f>IF(ca_6=0,0,tr_6)</f>
        <v>0</v>
      </c>
      <c r="P56" s="825"/>
      <c r="Q56" s="826">
        <f>IF(ca_7=0,0,tr_7)</f>
        <v>0</v>
      </c>
      <c r="R56" s="3219"/>
    </row>
    <row r="57" spans="1:23" ht="24.9" customHeight="1" x14ac:dyDescent="0.25">
      <c r="A57" s="3218"/>
      <c r="B57" s="4402" t="s">
        <v>1333</v>
      </c>
      <c r="C57" s="4403"/>
      <c r="D57" s="4418">
        <v>0.6</v>
      </c>
      <c r="E57" s="4419"/>
      <c r="G57" s="1787">
        <f>IF(ISERROR(IF(OR(NE="oui",ca_3=0),0,IF(tr_3&gt;0,"Pas de  besoin",(tr_3*-1)/clt_brut_3))),0,IF(OR(NE="oui",ca_3=0),0,IF(tr_3&gt;0,"Pas de  besoin",(tr_3*-1)/clt_brut_3)))</f>
        <v>0</v>
      </c>
      <c r="I57" s="1787">
        <f>IF(ISERROR(IF(OR(NE="oui",ca_2=0),0,IF(tr_2&gt;0,"Pas de  besoin",(tr_2*-1)/clt_brut_2))),0,IF(OR(NE="oui",ca_2=0),0,IF(tr_2&gt;0,"Pas de  besoin",(tr_2*-1)/clt_brut_2)))</f>
        <v>0</v>
      </c>
      <c r="K57" s="1787">
        <f>IF(ISERROR(IF(OR(NE="oui",ca_1=0),0,IF(tr_1&gt;0,"Pas de  besoin",(tr_1*-1)/clt_brut_1))),0,IF(OR(NE="oui",ca_1=0),0,IF(tr_1&gt;0,"Pas de  besoin",(tr_1*-1)/clt_brut_1)))</f>
        <v>0</v>
      </c>
      <c r="M57" s="1787">
        <f>IF(ISERROR(IF(ca_5=0,0,IF(tr_5&gt;0,"Pas de besoin",(tr_5*-1)/clt_5))),0,IF(ca_5=0,0,IF(tr_5&gt;0,"Pas de besoin",(tr_5*-1)/clt_5)))</f>
        <v>0</v>
      </c>
      <c r="O57" s="1787">
        <f>IF(ISERROR(IF(ca_6=0,0,IF(tr_6&gt;0,"Pas de besoin",(tr_6*-1)/clt_6))),0,IF(ca_6=0,0,IF(tr_6&gt;0,"Pas de besoin",(tr_6*-1)/clt_6)))</f>
        <v>0</v>
      </c>
      <c r="Q57" s="1787">
        <f>IF(ISERROR(IF(ca_7=0,0,IF(tr_7&gt;0,"Pas de besoin",(tr_7*-1)/clt_7))),0,IF(ca_7=0,0,IF(tr_7&gt;0,"Pas de besoin",(tr_7*-1)/clt_7)))</f>
        <v>0</v>
      </c>
      <c r="R57" s="3219"/>
    </row>
    <row r="58" spans="1:23" ht="3" customHeight="1" x14ac:dyDescent="0.25">
      <c r="A58" s="3218"/>
      <c r="R58" s="3219"/>
    </row>
    <row r="59" spans="1:23" ht="30" customHeight="1" x14ac:dyDescent="0.3">
      <c r="A59" s="3218"/>
      <c r="G59" s="3149" t="str">
        <f>IF(OR(NE="oui",ca_3=0)," ",IF(G56&gt;0,"ok",IF(G57&gt;$D$57,"Vulnérabilité importante","ok ")))</f>
        <v xml:space="preserve"> </v>
      </c>
      <c r="I59" s="3149" t="str">
        <f>IF(OR(NE="oui",ca_2=0)," ",IF(I56&gt;0,"ok",IF(I57&gt;$D$57,"Vulnérabilité importante","ok ")))</f>
        <v xml:space="preserve"> </v>
      </c>
      <c r="K59" s="3149" t="str">
        <f>IF(OR(NE="oui",ca_1=0)," ",IF(K56&gt;0,"ok",IF(K57&gt;$D$57,"Vulnérabilité importante","ok ")))</f>
        <v xml:space="preserve"> </v>
      </c>
      <c r="M59" s="3149" t="str">
        <f>IF(ca_5=0," ",IF(tr_5&gt;0,"ok",IF(M57&gt;$D$57,"Vulnérabilité importante","ok ")))</f>
        <v xml:space="preserve"> </v>
      </c>
      <c r="O59" s="3149" t="str">
        <f>IF(ca_6=0," ",IF(tr_6&gt;0,"ok",IF(O57&gt;$D$57,"Vulnérabilité importante","ok ")))</f>
        <v xml:space="preserve"> </v>
      </c>
      <c r="Q59" s="3149" t="str">
        <f>IF(ca_7=0," ",IF(tr_7&gt;0,"ok",IF(Q57&gt;$D$57,"Vulnérabilité importante","ok ")))</f>
        <v xml:space="preserve"> </v>
      </c>
      <c r="R59" s="3219"/>
      <c r="T59" s="4434" t="s">
        <v>831</v>
      </c>
      <c r="U59" s="4434"/>
      <c r="V59" s="4434"/>
      <c r="W59" s="804"/>
    </row>
    <row r="60" spans="1:23" ht="3" customHeight="1" x14ac:dyDescent="0.3">
      <c r="A60" s="3218"/>
      <c r="D60" s="618"/>
      <c r="E60" s="618"/>
      <c r="H60" s="618"/>
      <c r="J60" s="618"/>
      <c r="L60" s="618"/>
      <c r="N60" s="618"/>
      <c r="P60" s="618"/>
      <c r="R60" s="3219"/>
      <c r="W60" s="804"/>
    </row>
    <row r="61" spans="1:23" ht="16.95" customHeight="1" x14ac:dyDescent="0.25">
      <c r="A61" s="3218"/>
      <c r="D61" s="618"/>
      <c r="E61" s="618"/>
      <c r="G61" s="755" t="str">
        <f>IF(OR(NE="oui",ca_3=0,G57=" ")," ",IF(OR(G56&gt;0,G57&lt;$D$57),"J",IF(G57&gt;$D$57,"L","K")))</f>
        <v xml:space="preserve"> </v>
      </c>
      <c r="H61" s="744"/>
      <c r="I61" s="755" t="str">
        <f>IF(OR(NE="oui",ca_2=0,I57=" ")," ",IF(OR(I56&gt;0,I57&lt;$D$57),"J",IF(I57&gt;$D$57,"L","K")))</f>
        <v xml:space="preserve"> </v>
      </c>
      <c r="J61" s="745"/>
      <c r="K61" s="755" t="str">
        <f>IF(OR(NE="oui",ca_1=0,K57=" ")," ",IF(OR(K56&gt;0,K57&lt;$D$57),"J",IF(K57&gt;$D$57,"L","K")))</f>
        <v xml:space="preserve"> </v>
      </c>
      <c r="L61" s="744"/>
      <c r="M61" s="755" t="str">
        <f>IF(OR(ca_5=0,M57=" ")," ",IF(OR(M56&gt;0,M57&lt;$D$57),"J",IF(M57&gt;$D$57,"L","K")))</f>
        <v xml:space="preserve"> </v>
      </c>
      <c r="N61" s="744"/>
      <c r="O61" s="755" t="str">
        <f>IF(OR(ca_6=0,O57=" ")," ",IF(OR(O56&gt;0,O57&lt;$D$57),"J",IF(O57&gt;$D$57,"L","K")))</f>
        <v xml:space="preserve"> </v>
      </c>
      <c r="P61" s="745"/>
      <c r="Q61" s="755" t="str">
        <f>IF(OR(ca_7=0,Q57=" ")," ",IF(OR(Q56&gt;0,Q57&lt;$D$57),"J",IF(Q57&gt;$D$57,"L","K")))</f>
        <v xml:space="preserve"> </v>
      </c>
      <c r="R61" s="3219"/>
    </row>
    <row r="62" spans="1:23" ht="25.2" customHeight="1" x14ac:dyDescent="0.25">
      <c r="A62" s="3218"/>
      <c r="B62" s="4413" t="s">
        <v>1320</v>
      </c>
      <c r="C62" s="4413"/>
      <c r="D62" s="623"/>
      <c r="E62" s="779" t="s">
        <v>814</v>
      </c>
      <c r="F62" s="623"/>
      <c r="G62" s="780">
        <f>IF(ISBLANK($D$64), 0,G64-$D$64)</f>
        <v>-25</v>
      </c>
      <c r="H62" s="763"/>
      <c r="I62" s="780">
        <f>IF(ISBLANK($D$64), 0,I64-$D$64)</f>
        <v>-25</v>
      </c>
      <c r="J62" s="764"/>
      <c r="K62" s="780">
        <f>IF(ISBLANK($D$64), 0,K64-$D$64)</f>
        <v>-25</v>
      </c>
      <c r="L62" s="764"/>
      <c r="M62" s="780">
        <f>IF(ISBLANK($D$64), 0,M64-$D$64)</f>
        <v>-25</v>
      </c>
      <c r="N62" s="781"/>
      <c r="O62" s="780">
        <f>IF(ISBLANK($D$64), 0,O64-$D$64)</f>
        <v>-25</v>
      </c>
      <c r="P62" s="781"/>
      <c r="Q62" s="780">
        <f>IF(ISBLANK($D$64), 0,Q64-$D$64)</f>
        <v>-25</v>
      </c>
      <c r="R62" s="3219"/>
    </row>
    <row r="63" spans="1:23" ht="20.100000000000001" hidden="1" customHeight="1" x14ac:dyDescent="0.25">
      <c r="A63" s="3218"/>
      <c r="B63" s="628"/>
      <c r="C63" s="760" t="s">
        <v>813</v>
      </c>
      <c r="D63" s="618"/>
      <c r="E63" s="766">
        <f>IF(ISERROR((clt_brut_4*(durée_4*30))/(ca_4+tvac_3+tvac_3b)),0,(clt_brut_4*(durée_4*30))/(ca_4+tvac_3+tvac_3b))</f>
        <v>0</v>
      </c>
      <c r="F63" s="623"/>
      <c r="G63" s="759">
        <f>IF(OR(ca_4=0,ca_3=0),0,G64-E63)</f>
        <v>0</v>
      </c>
      <c r="H63" s="763"/>
      <c r="I63" s="759">
        <f>IF(OR(ca_3=0,ca_2=0),0,I64-G64)</f>
        <v>0</v>
      </c>
      <c r="J63" s="763"/>
      <c r="K63" s="759">
        <f>IF(OR(ca_2=0,ca_1=0),0,K64-I64)</f>
        <v>0</v>
      </c>
      <c r="L63" s="764"/>
      <c r="M63" s="765">
        <f>IF(OR(ca_1=0,ca_5=0,NE="oui"),0,M64-K64)</f>
        <v>0</v>
      </c>
      <c r="N63" s="763"/>
      <c r="O63" s="765">
        <f>IF(OR(ca_5=0,ca_6=0),0,O64-M64)</f>
        <v>0</v>
      </c>
      <c r="P63" s="763"/>
      <c r="Q63" s="765">
        <f>IF(OR(ca_6=0,ca_7=0),0,Q64-O64)</f>
        <v>0</v>
      </c>
      <c r="R63" s="3219"/>
    </row>
    <row r="64" spans="1:23" ht="20.100000000000001" customHeight="1" x14ac:dyDescent="0.25">
      <c r="A64" s="3218"/>
      <c r="B64" s="3188" t="s">
        <v>1334</v>
      </c>
      <c r="C64" s="3189" t="s">
        <v>570</v>
      </c>
      <c r="D64" s="4414">
        <v>25</v>
      </c>
      <c r="E64" s="4415"/>
      <c r="F64" s="624"/>
      <c r="G64" s="3165">
        <f>IF(ISERROR((clt_brut_3*(durée_3*30))/(ca_3+tvac_3+tvac_3b)),0,(clt_brut_3*(durée_3*30))/(ca_3+tvac_3+tvac_3b))</f>
        <v>0</v>
      </c>
      <c r="I64" s="3165">
        <f>IF(ISERROR((clt_brut_2*(durée_2*30))/(ca_2+tvac_2+tvac_2b)),0,(clt_brut_2*(durée_2*30))/(ca_2+tvac_2+tvac_2b))</f>
        <v>0</v>
      </c>
      <c r="J64" s="700"/>
      <c r="K64" s="3165">
        <f>IF(ISERROR((clt_brut_1*(durée_1*30))/(ca_1+tvac_1+tvac_1b)),0,(clt_brut_1*(durée_1*30))/(ca_1+tvac_1+tvac_1b))</f>
        <v>0</v>
      </c>
      <c r="M64" s="3166">
        <f>IF(ISERROR('Cpte de résultat prévisionnel'!H117)," ",'Cpte de résultat prévisionnel'!H117)</f>
        <v>0</v>
      </c>
      <c r="N64" s="700"/>
      <c r="O64" s="3166">
        <f>IF(ISERROR('Cpte de résultat prévisionnel'!K117)," ",'Cpte de résultat prévisionnel'!K117)</f>
        <v>0</v>
      </c>
      <c r="P64" s="700"/>
      <c r="Q64" s="3166">
        <f>IF(ISERROR('Cpte de résultat prévisionnel'!N117)," ",'Cpte de résultat prévisionnel'!N117)</f>
        <v>0</v>
      </c>
      <c r="R64" s="3219"/>
    </row>
    <row r="65" spans="1:19" ht="20.100000000000001" hidden="1" customHeight="1" x14ac:dyDescent="0.25">
      <c r="A65" s="3218"/>
      <c r="B65" s="3190"/>
      <c r="C65" s="3191" t="s">
        <v>814</v>
      </c>
      <c r="D65" s="1923"/>
      <c r="E65" s="1924"/>
      <c r="F65" s="762"/>
      <c r="G65" s="1925">
        <f>IF(ISBLANK($D$67), 0,G67-$D$67)</f>
        <v>0</v>
      </c>
      <c r="H65" s="763"/>
      <c r="I65" s="1925">
        <f>IF(ISBLANK($D$67), 0,I67-$D$67)</f>
        <v>0</v>
      </c>
      <c r="J65" s="763"/>
      <c r="K65" s="1925">
        <f>IF(ISBLANK($D$67), 0,K67-$D$67)</f>
        <v>0</v>
      </c>
      <c r="L65" s="764"/>
      <c r="M65" s="1926">
        <f>IF(ISBLANK($D$67), 0,M67-$D$67)</f>
        <v>0</v>
      </c>
      <c r="N65" s="763"/>
      <c r="O65" s="1926">
        <f>IF(ISBLANK($D$67), 0,O67-$D$67)</f>
        <v>0</v>
      </c>
      <c r="P65" s="763"/>
      <c r="Q65" s="1926">
        <f>IF(ISBLANK($D$67), 0,Q67-$D$67)</f>
        <v>0</v>
      </c>
      <c r="R65" s="3219"/>
    </row>
    <row r="66" spans="1:19" ht="20.100000000000001" hidden="1" customHeight="1" x14ac:dyDescent="0.25">
      <c r="A66" s="3218"/>
      <c r="B66" s="3206"/>
      <c r="C66" s="3192" t="s">
        <v>813</v>
      </c>
      <c r="D66" s="761"/>
      <c r="E66" s="1788">
        <f>IF(ISERROR(((bt_4+bl_4)*(durée_4*30))/(fu_4+fs_4)),0,((bt_4+bl_4)*(durée_4*30))/(fu_4+fs_4))</f>
        <v>0</v>
      </c>
      <c r="F66" s="762"/>
      <c r="G66" s="1779">
        <f>IF(OR(ca_4=0,ca_3=0),0,G67-E66)</f>
        <v>0</v>
      </c>
      <c r="H66" s="763"/>
      <c r="I66" s="1779">
        <f>IF(OR(ca_3=0,ca_2=0),0,I67-G67)</f>
        <v>0</v>
      </c>
      <c r="J66" s="763"/>
      <c r="K66" s="1779">
        <f>IF(OR(ca_2=0,ca_1=0),0,K67-I67)</f>
        <v>0</v>
      </c>
      <c r="L66" s="764"/>
      <c r="M66" s="1780">
        <f>IF(OR(ca_1=0,ca_5=0,NE="oui"),0,M67-K67)</f>
        <v>0</v>
      </c>
      <c r="N66" s="763"/>
      <c r="O66" s="1780">
        <f>IF(OR(ca_5=0,ca_6=0),0,O67-M67)</f>
        <v>0</v>
      </c>
      <c r="P66" s="763"/>
      <c r="Q66" s="1780">
        <f>IF(OR(ca_6=0,ca_7=0),0,Q67-O67)</f>
        <v>0</v>
      </c>
      <c r="R66" s="3219"/>
    </row>
    <row r="67" spans="1:19" ht="20.100000000000001" customHeight="1" x14ac:dyDescent="0.25">
      <c r="A67" s="3218"/>
      <c r="B67" s="3193" t="s">
        <v>1335</v>
      </c>
      <c r="C67" s="3194" t="s">
        <v>570</v>
      </c>
      <c r="D67" s="4394"/>
      <c r="E67" s="4395"/>
      <c r="F67" s="624"/>
      <c r="G67" s="1915">
        <f>IF(ISERROR(((bt_3+bl_3)*(durée_3*30))/(fu_3+fs_3)),0,((bt_3+bl_3)*(durée_3*30))/(fu_3+fs_3))</f>
        <v>0</v>
      </c>
      <c r="I67" s="1915">
        <f>IF(ISERROR(((bt_2+bl_2)*(durée_2*30))/(fu_2+fs_2)),0,((bt_2+bl_2)*(durée_2*30))/(fu_2+fs_2))</f>
        <v>0</v>
      </c>
      <c r="J67" s="700"/>
      <c r="K67" s="1915">
        <f>IF(ISERROR(((bt_1+bl_1)*(durée_1*30))/(fu_1+fs_1)),0,((bt_1+bl_1)*(durée_1*30))/(fu_1+fs_1))</f>
        <v>0</v>
      </c>
      <c r="M67" s="1918">
        <f>IF(ISERROR(('Cpte de résultat prévisionnel'!H109+'Cpte de résultat prévisionnel'!H107))," ",('Cpte de résultat prévisionnel'!H109+'Cpte de résultat prévisionnel'!H107))</f>
        <v>0</v>
      </c>
      <c r="N67" s="700"/>
      <c r="O67" s="1918">
        <f>IF(ISERROR(('Cpte de résultat prévisionnel'!K109+'Cpte de résultat prévisionnel'!K107))," ",('Cpte de résultat prévisionnel'!K109+'Cpte de résultat prévisionnel'!K107))</f>
        <v>0</v>
      </c>
      <c r="P67" s="700"/>
      <c r="Q67" s="1918">
        <f>IF(ISERROR(('Cpte de résultat prévisionnel'!N109+'Cpte de résultat prévisionnel'!N107))," ",('Cpte de résultat prévisionnel'!N109+'Cpte de résultat prévisionnel'!N107))</f>
        <v>0</v>
      </c>
      <c r="R67" s="3219"/>
    </row>
    <row r="68" spans="1:19" ht="20.100000000000001" hidden="1" customHeight="1" x14ac:dyDescent="0.25">
      <c r="A68" s="3218"/>
      <c r="B68" s="3195"/>
      <c r="C68" s="3196" t="s">
        <v>814</v>
      </c>
      <c r="D68" s="1912"/>
      <c r="E68" s="1913"/>
      <c r="F68" s="762"/>
      <c r="G68" s="1916">
        <f>IF(ISBLANK($D$70), 0,G70-$D$70)</f>
        <v>0</v>
      </c>
      <c r="H68" s="763"/>
      <c r="I68" s="1916">
        <f>IF(ISBLANK($D$70), 0,I70-$D$70)</f>
        <v>0</v>
      </c>
      <c r="J68" s="763"/>
      <c r="K68" s="1916">
        <f>IF(ISBLANK($D$70), 0,K70-$D$70)</f>
        <v>0</v>
      </c>
      <c r="L68" s="764"/>
      <c r="M68" s="1919">
        <f>IF(ISBLANK($D$70), 0,M70-$D$70)</f>
        <v>0</v>
      </c>
      <c r="N68" s="763"/>
      <c r="O68" s="1919">
        <f>IF(ISBLANK($D$70), 0,O70-$D$70)</f>
        <v>0</v>
      </c>
      <c r="P68" s="763"/>
      <c r="Q68" s="1919">
        <f>IF(ISBLANK($D$70), 0,Q70-$D$70)</f>
        <v>0</v>
      </c>
      <c r="R68" s="3219"/>
    </row>
    <row r="69" spans="1:19" ht="20.100000000000001" hidden="1" customHeight="1" x14ac:dyDescent="0.25">
      <c r="A69" s="3218"/>
      <c r="B69" s="3195"/>
      <c r="C69" s="3196" t="s">
        <v>813</v>
      </c>
      <c r="D69" s="1912"/>
      <c r="E69" s="1914" t="str">
        <f>IF(ISERROR(((bn_4+bp_4+br_4)*(durée_4*30))/(pr_4-fc_4))," ",((bn_4+bp_4+br_4)*(durée_4*30))/(pr_4-fc_4))</f>
        <v xml:space="preserve"> </v>
      </c>
      <c r="F69" s="762"/>
      <c r="G69" s="1916">
        <f>IF(OR(ca_4=0,ca_3=0),0,G70-E69)</f>
        <v>0</v>
      </c>
      <c r="H69" s="763"/>
      <c r="I69" s="1916">
        <f>IF(OR(ca_3=0,ca_2=0),0,I70-G70)</f>
        <v>0</v>
      </c>
      <c r="J69" s="763"/>
      <c r="K69" s="1916">
        <f>IF(OR(ca_2=0,ca_1=0),0,K70-I70)</f>
        <v>0</v>
      </c>
      <c r="L69" s="764"/>
      <c r="M69" s="1919">
        <f>IF(OR(ca_1=0,ca_5=0,NE="oui"),0,M70-K70)</f>
        <v>0</v>
      </c>
      <c r="N69" s="763"/>
      <c r="O69" s="1919">
        <f>IF(OR(ca_5=0,ca_6=0),0,O70-M70)</f>
        <v>0</v>
      </c>
      <c r="P69" s="763"/>
      <c r="Q69" s="1919">
        <f>IF(OR(ca_6=0,ca_7=0),0,Q70-O70)</f>
        <v>0</v>
      </c>
      <c r="R69" s="3219"/>
    </row>
    <row r="70" spans="1:19" ht="20.100000000000001" customHeight="1" x14ac:dyDescent="0.25">
      <c r="A70" s="3218"/>
      <c r="B70" s="4432" t="s">
        <v>1338</v>
      </c>
      <c r="C70" s="4433"/>
      <c r="D70" s="4394"/>
      <c r="E70" s="4395"/>
      <c r="F70" s="624"/>
      <c r="G70" s="1917">
        <f>IF(ISERROR(((bn_3+bp_3+br_3)*(durée_3*30))/(pr_3-fc_3)),0,((bn_3+bp_3+br_3)*(durée_3*30))/(pr_3-fc_3))</f>
        <v>0</v>
      </c>
      <c r="I70" s="1917">
        <f>IF(ISERROR(((bn_2+bp_2+br_2)*(durée_2*30))/(pr_2-fc_2)),0,((bn_2+bp_2+br_2)*(durée_2*30))/(pr_2-fc_2))</f>
        <v>0</v>
      </c>
      <c r="J70" s="700"/>
      <c r="K70" s="1917">
        <f>IF(ISERROR(((bn_1+bp_1+br_1)*(durée_1*30))/(pr_1-fc_1)),0,((bn_1+bp_1+br_1)*(durée_1*30))/(pr_1-fc_1))</f>
        <v>0</v>
      </c>
      <c r="M70" s="1920">
        <f>IF(ISERROR('Cpte de résultat prévisionnel'!H111+'Cpte de résultat prévisionnel'!H113+'Cpte de résultat prévisionnel'!H115),0,'Cpte de résultat prévisionnel'!H111+'Cpte de résultat prévisionnel'!H113+'Cpte de résultat prévisionnel'!H115)</f>
        <v>0</v>
      </c>
      <c r="N70" s="700"/>
      <c r="O70" s="1920">
        <f>IF(ISERROR('Cpte de résultat prévisionnel'!K111+'Cpte de résultat prévisionnel'!K113+'Cpte de résultat prévisionnel'!K115),0,'Cpte de résultat prévisionnel'!K111+'Cpte de résultat prévisionnel'!K113+'Cpte de résultat prévisionnel'!K115)</f>
        <v>0</v>
      </c>
      <c r="P70" s="700"/>
      <c r="Q70" s="1920">
        <f>IF(ISERROR('Cpte de résultat prévisionnel'!N111+'Cpte de résultat prévisionnel'!N113+'Cpte de résultat prévisionnel'!N115),0,'Cpte de résultat prévisionnel'!N111+'Cpte de résultat prévisionnel'!N113+'Cpte de résultat prévisionnel'!N115)</f>
        <v>0</v>
      </c>
      <c r="R70" s="3219"/>
    </row>
    <row r="71" spans="1:19" ht="20.100000000000001" hidden="1" customHeight="1" x14ac:dyDescent="0.25">
      <c r="A71" s="3218"/>
      <c r="B71" s="3206"/>
      <c r="C71" s="3197"/>
      <c r="D71" s="756"/>
      <c r="E71" s="1789" t="s">
        <v>814</v>
      </c>
      <c r="F71" s="762"/>
      <c r="G71" s="1779">
        <f>IF(ISBLANK($D$72), 0,G72-$D$72)</f>
        <v>0</v>
      </c>
      <c r="H71" s="763"/>
      <c r="I71" s="1779">
        <f>IF(ISBLANK($D$72), 0,I72-$D$72)</f>
        <v>0</v>
      </c>
      <c r="J71" s="763"/>
      <c r="K71" s="1779">
        <f>IF(ISBLANK($D$72), 0,K72-$D$72)</f>
        <v>0</v>
      </c>
      <c r="L71" s="707"/>
      <c r="M71" s="1790">
        <f>IF(ISBLANK($D$72), 0,M72-$D$72)</f>
        <v>0</v>
      </c>
      <c r="N71" s="725"/>
      <c r="O71" s="1790">
        <f>IF(ISBLANK($D$72), 0,O72-$D$72)</f>
        <v>0</v>
      </c>
      <c r="P71" s="725"/>
      <c r="Q71" s="1790">
        <f>IF(ISBLANK($D$72), 0,Q72-$D$72)</f>
        <v>0</v>
      </c>
      <c r="R71" s="3219"/>
    </row>
    <row r="72" spans="1:19" ht="20.100000000000001" customHeight="1" x14ac:dyDescent="0.25">
      <c r="A72" s="3218"/>
      <c r="B72" s="3198" t="s">
        <v>1336</v>
      </c>
      <c r="C72" s="3199" t="s">
        <v>570</v>
      </c>
      <c r="D72" s="4422"/>
      <c r="E72" s="4423"/>
      <c r="F72" s="624"/>
      <c r="G72" s="1921">
        <f>IF(ISERROR(fournisseurs_3*(durée_3*30)/(fs_3+fu_3+fw_3-hp_3-hq_3+tvad_3+tvad_3b)),0,fournisseurs_3*(durée_3*30)/(fs_3+fu_3+fw_3+tvad_3+tvad_3b))</f>
        <v>0</v>
      </c>
      <c r="I72" s="1921">
        <f>IF(ISERROR(fournisseurs_2*(durée_2*30)/(fs_2+fu_2+fw_2-hp_2-hq_2+tvad_2+tvad_2b)),0,fournisseurs_2*(durée_2*30)/(fs_2+fu_2+fw_2+tvad_2+tvad_2b))</f>
        <v>0</v>
      </c>
      <c r="J72" s="700"/>
      <c r="K72" s="1921">
        <f>IF(ISERROR(fournisseurs_1*(durée_1*30)/(fs_1+fu_1+fw_1-hp_1-hq_1+tvad_1+tvad_1b)),0,fournisseurs_1*(durée_1*30)/(fs_1+fu_1+fw_1+tvad_1+tvad_1b))</f>
        <v>0</v>
      </c>
      <c r="M72" s="1922">
        <f>IF(ISERROR('Cpte de résultat prévisionnel'!H119),0,'Cpte de résultat prévisionnel'!H119)</f>
        <v>0</v>
      </c>
      <c r="N72" s="700"/>
      <c r="O72" s="1922">
        <f>IF(ISERROR('Cpte de résultat prévisionnel'!K119),0,'Cpte de résultat prévisionnel'!K119)</f>
        <v>0</v>
      </c>
      <c r="P72" s="700"/>
      <c r="Q72" s="1922">
        <f>IF(ISERROR('Cpte de résultat prévisionnel'!N119),0,'Cpte de résultat prévisionnel'!N119)</f>
        <v>0</v>
      </c>
      <c r="R72" s="3219"/>
    </row>
    <row r="73" spans="1:19" ht="15" customHeight="1" x14ac:dyDescent="0.25">
      <c r="A73" s="3218"/>
      <c r="B73" s="631"/>
      <c r="C73" s="631"/>
      <c r="D73" s="632"/>
      <c r="E73" s="632"/>
      <c r="R73" s="3219"/>
    </row>
    <row r="74" spans="1:19" ht="22.2" customHeight="1" x14ac:dyDescent="0.25">
      <c r="A74" s="3218"/>
      <c r="B74" s="4430" t="s">
        <v>1337</v>
      </c>
      <c r="C74" s="4427" t="s">
        <v>1317</v>
      </c>
      <c r="D74" s="4428"/>
      <c r="E74" s="4429"/>
      <c r="F74" s="726"/>
      <c r="G74" s="3150" t="str">
        <f>IF(OR(ca_3=0,NE="oui")," ",IF(H74=0,"fragile",IF(H74&lt;3,"correcte","bonne")))</f>
        <v xml:space="preserve"> </v>
      </c>
      <c r="H74" s="1791">
        <f>SUM(H22:H34)</f>
        <v>3</v>
      </c>
      <c r="I74" s="3150" t="str">
        <f>IF(OR(ca_2=0,NE="oui")," ",IF(J74=0,"fragile",IF(J74&lt;3,"correcte","bonne")))</f>
        <v xml:space="preserve"> </v>
      </c>
      <c r="J74" s="1791">
        <f>SUM(J22:J34)</f>
        <v>3</v>
      </c>
      <c r="K74" s="3150" t="str">
        <f>IF(OR(ca_1=0,NE="oui")," ",IF(L74=0,"fragile",IF(L74&lt;3,"correcte","bonne")))</f>
        <v xml:space="preserve"> </v>
      </c>
      <c r="L74" s="1792">
        <f>SUM(L22:L34)</f>
        <v>3</v>
      </c>
      <c r="M74" s="3150" t="str">
        <f>IF(ca_5=0," ",IF(N74=0,"fragile",IF(N74&lt;3,"correcte","bonne")))</f>
        <v xml:space="preserve"> </v>
      </c>
      <c r="N74" s="1791">
        <f ca="1">SUM(N22:N34)</f>
        <v>3</v>
      </c>
      <c r="O74" s="3150" t="str">
        <f>IF(ca_6=0," ",IF(P74=0,"fragile",IF(P74&lt;3,"correcte","bonne")))</f>
        <v xml:space="preserve"> </v>
      </c>
      <c r="P74" s="1791">
        <f ca="1">SUM(P22:P34)</f>
        <v>3</v>
      </c>
      <c r="Q74" s="3150" t="str">
        <f>IF(ca_7=0," ",IF(R74=0,"fragile",IF(R74&lt;3,"correcte","bonne")))</f>
        <v xml:space="preserve"> </v>
      </c>
      <c r="R74" s="3229">
        <f ca="1">SUM(R22:R34)</f>
        <v>3</v>
      </c>
      <c r="S74" s="771"/>
    </row>
    <row r="75" spans="1:19" ht="22.2" customHeight="1" x14ac:dyDescent="0.25">
      <c r="A75" s="3218"/>
      <c r="B75" s="4431"/>
      <c r="C75" s="4424" t="s">
        <v>1316</v>
      </c>
      <c r="D75" s="4425"/>
      <c r="E75" s="4426"/>
      <c r="F75" s="726"/>
      <c r="G75" s="1797" t="str">
        <f>IF(ISERROR(IF(OR(ca_3=0,NE="oui")," ",IF(ISBLANK(r_score_3)," ",r_score_3)))," ",IF(OR(ca_3=0,NE="oui")," ",IF(ISBLANK(r_score_3)," ",r_score_3)))</f>
        <v xml:space="preserve"> </v>
      </c>
      <c r="H75" s="1793"/>
      <c r="I75" s="1797" t="str">
        <f>IF(ISERROR(IF(OR(ca_2=0,NE="oui")," ",IF(ISBLANK(r_score_2)," ",r_score_2)))," ",IF(OR(ca_2=0,NE="oui")," ",IF(ISBLANK(r_score_2)," ",r_score_2)))</f>
        <v xml:space="preserve"> </v>
      </c>
      <c r="J75" s="1794"/>
      <c r="K75" s="1797" t="str">
        <f>IF(ISERROR(IF(OR(ca_1=0,NE="oui")," ",IF(ISBLANK(r_score_1)," ",r_score_1)))," ",IF(OR(ca_1=0,NE="oui")," ",IF(ISBLANK(r_score_1)," ",r_score_1)))</f>
        <v xml:space="preserve"> </v>
      </c>
      <c r="L75" s="1795"/>
      <c r="M75" s="1797" t="str">
        <f>IF(ca_5=0," ",IF(ISBLANK(r_score_5)," ",r_score_5))</f>
        <v xml:space="preserve"> </v>
      </c>
      <c r="N75" s="1796"/>
      <c r="O75" s="1797" t="str">
        <f>IF(ca_6=0," ",IF(ISBLANK(r_score_6)," ",r_score_6))</f>
        <v xml:space="preserve"> </v>
      </c>
      <c r="P75" s="1796"/>
      <c r="Q75" s="1797" t="str">
        <f>IF(ca_7=0," ",IF(ISBLANK(r_score_7)," ",r_score_7))</f>
        <v xml:space="preserve"> </v>
      </c>
      <c r="R75" s="3219"/>
    </row>
    <row r="76" spans="1:19" s="628" customFormat="1" ht="10.199999999999999" customHeight="1" x14ac:dyDescent="0.25">
      <c r="A76" s="3230"/>
      <c r="B76" s="3231"/>
      <c r="C76" s="3231"/>
      <c r="D76" s="3232"/>
      <c r="E76" s="3232"/>
      <c r="F76" s="3231"/>
      <c r="G76" s="3231"/>
      <c r="H76" s="3233"/>
      <c r="I76" s="3231"/>
      <c r="J76" s="3231"/>
      <c r="K76" s="3231"/>
      <c r="L76" s="3231"/>
      <c r="M76" s="3231"/>
      <c r="N76" s="3234"/>
      <c r="O76" s="3231"/>
      <c r="P76" s="3234"/>
      <c r="Q76" s="3231"/>
      <c r="R76" s="3235"/>
      <c r="S76" s="619"/>
    </row>
    <row r="77" spans="1:19" ht="20.100000000000001" customHeight="1" x14ac:dyDescent="0.25">
      <c r="H77" s="847"/>
      <c r="J77" s="618"/>
      <c r="L77" s="618"/>
      <c r="N77" s="619"/>
      <c r="P77" s="619"/>
      <c r="R77" s="619"/>
      <c r="S77" s="619"/>
    </row>
    <row r="78" spans="1:19" ht="20.100000000000001" customHeight="1" x14ac:dyDescent="0.25">
      <c r="H78" s="847"/>
      <c r="J78" s="618"/>
      <c r="L78" s="618"/>
      <c r="N78" s="619"/>
      <c r="P78" s="619"/>
      <c r="R78" s="619"/>
      <c r="S78" s="619"/>
    </row>
    <row r="79" spans="1:19" ht="20.100000000000001" customHeight="1" x14ac:dyDescent="0.25">
      <c r="H79" s="847"/>
      <c r="J79" s="618"/>
      <c r="L79" s="618"/>
      <c r="N79" s="619"/>
      <c r="P79" s="619"/>
      <c r="R79" s="619"/>
      <c r="S79" s="619"/>
    </row>
    <row r="80" spans="1:19" ht="20.100000000000001" customHeight="1" x14ac:dyDescent="0.25">
      <c r="H80" s="847"/>
      <c r="J80" s="618"/>
      <c r="L80" s="618"/>
      <c r="N80" s="619"/>
      <c r="P80" s="619"/>
      <c r="R80" s="619"/>
      <c r="S80" s="619"/>
    </row>
    <row r="81" spans="7:19" ht="20.100000000000001" customHeight="1" x14ac:dyDescent="0.25">
      <c r="H81" s="847"/>
      <c r="J81" s="618"/>
      <c r="L81" s="618"/>
      <c r="N81" s="619"/>
      <c r="P81" s="619"/>
      <c r="R81" s="619"/>
      <c r="S81" s="619"/>
    </row>
    <row r="82" spans="7:19" ht="20.100000000000001" customHeight="1" x14ac:dyDescent="0.25">
      <c r="H82" s="847"/>
      <c r="J82" s="618"/>
      <c r="L82" s="618"/>
      <c r="N82" s="619"/>
      <c r="P82" s="619"/>
      <c r="R82" s="619"/>
      <c r="S82" s="619"/>
    </row>
    <row r="83" spans="7:19" ht="20.100000000000001" customHeight="1" x14ac:dyDescent="0.25">
      <c r="H83" s="847"/>
      <c r="J83" s="618"/>
      <c r="L83" s="618"/>
      <c r="N83" s="619"/>
      <c r="P83" s="619"/>
      <c r="R83" s="619"/>
      <c r="S83" s="619"/>
    </row>
    <row r="84" spans="7:19" ht="20.100000000000001" customHeight="1" x14ac:dyDescent="0.25">
      <c r="H84" s="847"/>
      <c r="J84" s="618"/>
      <c r="L84" s="618"/>
      <c r="N84" s="619"/>
      <c r="P84" s="619"/>
      <c r="R84" s="619"/>
      <c r="S84" s="619"/>
    </row>
    <row r="85" spans="7:19" ht="20.100000000000001" customHeight="1" x14ac:dyDescent="0.25">
      <c r="H85" s="847"/>
      <c r="J85" s="618"/>
      <c r="L85" s="618"/>
      <c r="N85" s="619"/>
      <c r="P85" s="619"/>
      <c r="R85" s="619"/>
      <c r="S85" s="619"/>
    </row>
    <row r="86" spans="7:19" ht="20.100000000000001" customHeight="1" x14ac:dyDescent="0.25">
      <c r="H86" s="847"/>
      <c r="J86" s="618"/>
      <c r="L86" s="618"/>
      <c r="N86" s="619"/>
      <c r="P86" s="619"/>
      <c r="R86" s="619"/>
      <c r="S86" s="619"/>
    </row>
    <row r="87" spans="7:19" ht="20.100000000000001" customHeight="1" x14ac:dyDescent="0.25">
      <c r="H87" s="847"/>
      <c r="J87" s="618"/>
      <c r="L87" s="618"/>
      <c r="N87" s="619"/>
      <c r="P87" s="619"/>
      <c r="R87" s="619"/>
      <c r="S87" s="619"/>
    </row>
    <row r="88" spans="7:19" ht="20.100000000000001" customHeight="1" x14ac:dyDescent="0.25">
      <c r="H88" s="847"/>
      <c r="J88" s="618"/>
      <c r="L88" s="618"/>
      <c r="N88" s="619"/>
      <c r="P88" s="619"/>
      <c r="R88" s="619"/>
      <c r="S88" s="619"/>
    </row>
    <row r="89" spans="7:19" ht="20.100000000000001" customHeight="1" x14ac:dyDescent="0.25">
      <c r="H89" s="847"/>
      <c r="J89" s="618"/>
      <c r="L89" s="618"/>
      <c r="N89" s="619"/>
      <c r="P89" s="619"/>
      <c r="R89" s="619"/>
      <c r="S89" s="619"/>
    </row>
    <row r="90" spans="7:19" ht="20.100000000000001" customHeight="1" x14ac:dyDescent="0.25">
      <c r="H90" s="847"/>
      <c r="J90" s="618"/>
      <c r="L90" s="618"/>
      <c r="N90" s="619"/>
      <c r="P90" s="619"/>
      <c r="R90" s="619"/>
      <c r="S90" s="619"/>
    </row>
    <row r="91" spans="7:19" ht="20.100000000000001" customHeight="1" x14ac:dyDescent="0.25">
      <c r="H91" s="847"/>
      <c r="J91" s="618"/>
      <c r="L91" s="618"/>
      <c r="N91" s="619"/>
      <c r="P91" s="619"/>
      <c r="R91" s="619"/>
      <c r="S91" s="619"/>
    </row>
    <row r="92" spans="7:19" ht="20.100000000000001" customHeight="1" x14ac:dyDescent="0.25">
      <c r="G92" s="630"/>
      <c r="H92" s="847"/>
      <c r="I92" s="630"/>
      <c r="J92" s="618"/>
      <c r="K92" s="630"/>
      <c r="L92" s="618"/>
      <c r="N92" s="619"/>
      <c r="P92" s="619"/>
      <c r="R92" s="619"/>
      <c r="S92" s="619"/>
    </row>
    <row r="93" spans="7:19" ht="20.100000000000001" customHeight="1" x14ac:dyDescent="0.25">
      <c r="H93" s="847"/>
      <c r="J93" s="618"/>
      <c r="L93" s="618"/>
      <c r="N93" s="619"/>
      <c r="P93" s="619"/>
      <c r="R93" s="619"/>
      <c r="S93" s="619"/>
    </row>
    <row r="94" spans="7:19" ht="20.100000000000001" customHeight="1" x14ac:dyDescent="0.25">
      <c r="H94" s="847"/>
      <c r="J94" s="618"/>
      <c r="L94" s="618"/>
      <c r="N94" s="619"/>
      <c r="P94" s="619"/>
      <c r="R94" s="619"/>
      <c r="S94" s="619"/>
    </row>
    <row r="95" spans="7:19" ht="20.100000000000001" customHeight="1" x14ac:dyDescent="0.25">
      <c r="H95" s="847"/>
      <c r="J95" s="618"/>
      <c r="L95" s="618"/>
      <c r="N95" s="619"/>
      <c r="P95" s="619"/>
      <c r="R95" s="619"/>
      <c r="S95" s="619"/>
    </row>
    <row r="96" spans="7:19" ht="20.100000000000001" customHeight="1" x14ac:dyDescent="0.25">
      <c r="H96" s="847"/>
      <c r="J96" s="618"/>
      <c r="L96" s="618"/>
      <c r="N96" s="619"/>
      <c r="P96" s="619"/>
      <c r="R96" s="848"/>
      <c r="S96" s="848"/>
    </row>
    <row r="97" spans="8:19" ht="20.100000000000001" customHeight="1" x14ac:dyDescent="0.25">
      <c r="H97" s="847"/>
      <c r="J97" s="618"/>
      <c r="L97" s="618"/>
      <c r="N97" s="619"/>
      <c r="P97" s="619"/>
      <c r="R97" s="619"/>
      <c r="S97" s="619"/>
    </row>
    <row r="98" spans="8:19" ht="20.100000000000001" customHeight="1" x14ac:dyDescent="0.25">
      <c r="H98" s="847"/>
      <c r="J98" s="618"/>
      <c r="L98" s="618"/>
      <c r="N98" s="619"/>
      <c r="P98" s="619"/>
      <c r="R98" s="619"/>
      <c r="S98" s="619"/>
    </row>
    <row r="99" spans="8:19" ht="20.100000000000001" customHeight="1" x14ac:dyDescent="0.25">
      <c r="H99" s="847"/>
      <c r="J99" s="618"/>
      <c r="L99" s="618"/>
      <c r="N99" s="619"/>
      <c r="P99" s="619"/>
      <c r="R99" s="619"/>
      <c r="S99" s="619"/>
    </row>
    <row r="100" spans="8:19" ht="20.100000000000001" customHeight="1" x14ac:dyDescent="0.25">
      <c r="H100" s="847"/>
      <c r="J100" s="618"/>
      <c r="L100" s="618"/>
      <c r="N100" s="619"/>
      <c r="P100" s="619"/>
      <c r="R100" s="619"/>
      <c r="S100" s="619"/>
    </row>
    <row r="101" spans="8:19" ht="20.100000000000001" customHeight="1" x14ac:dyDescent="0.25">
      <c r="H101" s="847"/>
      <c r="J101" s="618"/>
      <c r="L101" s="618"/>
      <c r="N101" s="619"/>
      <c r="P101" s="619"/>
      <c r="R101" s="619"/>
      <c r="S101" s="619"/>
    </row>
    <row r="102" spans="8:19" ht="20.100000000000001" customHeight="1" x14ac:dyDescent="0.25">
      <c r="H102" s="847"/>
      <c r="J102" s="618"/>
      <c r="L102" s="618"/>
      <c r="N102" s="619"/>
      <c r="P102" s="619"/>
      <c r="R102" s="619"/>
      <c r="S102" s="619"/>
    </row>
    <row r="103" spans="8:19" ht="20.100000000000001" customHeight="1" x14ac:dyDescent="0.25">
      <c r="H103" s="847"/>
      <c r="J103" s="618"/>
      <c r="L103" s="618"/>
      <c r="N103" s="619"/>
      <c r="P103" s="619"/>
      <c r="R103" s="619"/>
      <c r="S103" s="619"/>
    </row>
    <row r="104" spans="8:19" ht="20.100000000000001" customHeight="1" x14ac:dyDescent="0.25">
      <c r="H104" s="847"/>
      <c r="J104" s="618"/>
      <c r="L104" s="618"/>
      <c r="N104" s="619"/>
      <c r="P104" s="619"/>
      <c r="R104" s="619"/>
      <c r="S104" s="619"/>
    </row>
    <row r="105" spans="8:19" x14ac:dyDescent="0.25">
      <c r="H105" s="847"/>
      <c r="J105" s="618"/>
      <c r="L105" s="618"/>
      <c r="N105" s="619"/>
      <c r="P105" s="619"/>
      <c r="R105" s="619"/>
      <c r="S105" s="619"/>
    </row>
    <row r="106" spans="8:19" x14ac:dyDescent="0.25">
      <c r="H106" s="847"/>
      <c r="J106" s="618"/>
      <c r="L106" s="618"/>
      <c r="N106" s="619"/>
      <c r="P106" s="619"/>
      <c r="R106" s="619"/>
      <c r="S106" s="619"/>
    </row>
    <row r="107" spans="8:19" x14ac:dyDescent="0.25">
      <c r="H107" s="847"/>
      <c r="J107" s="618"/>
      <c r="L107" s="618"/>
      <c r="N107" s="619"/>
      <c r="P107" s="619"/>
      <c r="R107" s="619"/>
      <c r="S107" s="619"/>
    </row>
    <row r="108" spans="8:19" x14ac:dyDescent="0.25">
      <c r="H108" s="847"/>
      <c r="J108" s="618"/>
      <c r="L108" s="618"/>
      <c r="N108" s="619"/>
      <c r="P108" s="619"/>
      <c r="R108" s="619"/>
      <c r="S108" s="619"/>
    </row>
    <row r="109" spans="8:19" x14ac:dyDescent="0.25">
      <c r="H109" s="847"/>
      <c r="J109" s="618"/>
      <c r="L109" s="618"/>
      <c r="N109" s="619"/>
      <c r="P109" s="619"/>
      <c r="R109" s="619"/>
      <c r="S109" s="619"/>
    </row>
    <row r="110" spans="8:19" x14ac:dyDescent="0.25">
      <c r="H110" s="847"/>
      <c r="J110" s="618"/>
      <c r="L110" s="618"/>
      <c r="N110" s="619"/>
      <c r="P110" s="619"/>
      <c r="R110" s="619"/>
      <c r="S110" s="619"/>
    </row>
  </sheetData>
  <sheetProtection algorithmName="SHA-512" hashValue="BN0zU+WOfakz55QG72VKXHifhBCE39+MN40ZnR5mRDwb2bZIlRJJg7dmVR69mczems2r0yloIxQlSgh7T0x+Ig==" saltValue="tThDNoR46SW7v/Q7RFGVWQ==" spinCount="100000" sheet="1" formatCells="0" formatColumns="0" formatRows="0" insertColumns="0" insertRows="0" insertHyperlinks="0" deleteColumns="0" deleteRows="0" sort="0" autoFilter="0" pivotTables="0"/>
  <mergeCells count="51">
    <mergeCell ref="C21:E21"/>
    <mergeCell ref="C30:E30"/>
    <mergeCell ref="C33:E33"/>
    <mergeCell ref="C49:E49"/>
    <mergeCell ref="G11:I11"/>
    <mergeCell ref="B27:C27"/>
    <mergeCell ref="M11:O11"/>
    <mergeCell ref="B4:C4"/>
    <mergeCell ref="K4:O4"/>
    <mergeCell ref="G6:K6"/>
    <mergeCell ref="M6:Q6"/>
    <mergeCell ref="D7:E7"/>
    <mergeCell ref="D4:F4"/>
    <mergeCell ref="D9:E9"/>
    <mergeCell ref="T59:V59"/>
    <mergeCell ref="B2:C2"/>
    <mergeCell ref="D2:Q2"/>
    <mergeCell ref="B7:C7"/>
    <mergeCell ref="D14:E14"/>
    <mergeCell ref="D15:E15"/>
    <mergeCell ref="G4:I4"/>
    <mergeCell ref="B22:C22"/>
    <mergeCell ref="B34:C34"/>
    <mergeCell ref="B28:C28"/>
    <mergeCell ref="B17:D17"/>
    <mergeCell ref="D45:E45"/>
    <mergeCell ref="D13:E13"/>
    <mergeCell ref="D28:E28"/>
    <mergeCell ref="D34:E34"/>
    <mergeCell ref="D47:E47"/>
    <mergeCell ref="D72:E72"/>
    <mergeCell ref="C75:E75"/>
    <mergeCell ref="C74:E74"/>
    <mergeCell ref="B74:B75"/>
    <mergeCell ref="B70:C70"/>
    <mergeCell ref="D70:E70"/>
    <mergeCell ref="D67:E67"/>
    <mergeCell ref="D41:E41"/>
    <mergeCell ref="D44:E44"/>
    <mergeCell ref="B51:C51"/>
    <mergeCell ref="B57:C57"/>
    <mergeCell ref="B45:C46"/>
    <mergeCell ref="D46:E46"/>
    <mergeCell ref="B47:C47"/>
    <mergeCell ref="B41:C44"/>
    <mergeCell ref="B62:C62"/>
    <mergeCell ref="D64:E64"/>
    <mergeCell ref="D51:E51"/>
    <mergeCell ref="D57:E57"/>
    <mergeCell ref="C53:E53"/>
    <mergeCell ref="C56:E56"/>
  </mergeCells>
  <conditionalFormatting sqref="M14 O14 Q14">
    <cfRule type="cellIs" dxfId="739" priority="927" operator="equal">
      <formula>0</formula>
    </cfRule>
  </conditionalFormatting>
  <conditionalFormatting sqref="G72">
    <cfRule type="cellIs" dxfId="738" priority="879" operator="equal">
      <formula>0</formula>
    </cfRule>
  </conditionalFormatting>
  <conditionalFormatting sqref="G72">
    <cfRule type="expression" dxfId="737" priority="878">
      <formula>G71&gt;0</formula>
    </cfRule>
  </conditionalFormatting>
  <conditionalFormatting sqref="I72">
    <cfRule type="cellIs" dxfId="736" priority="877" operator="equal">
      <formula>0</formula>
    </cfRule>
  </conditionalFormatting>
  <conditionalFormatting sqref="I72">
    <cfRule type="expression" dxfId="735" priority="876">
      <formula>I71&gt;0</formula>
    </cfRule>
  </conditionalFormatting>
  <conditionalFormatting sqref="K72">
    <cfRule type="cellIs" dxfId="734" priority="875" operator="equal">
      <formula>0</formula>
    </cfRule>
  </conditionalFormatting>
  <conditionalFormatting sqref="K72">
    <cfRule type="expression" dxfId="733" priority="874">
      <formula>K71&gt;0</formula>
    </cfRule>
  </conditionalFormatting>
  <conditionalFormatting sqref="Q72">
    <cfRule type="expression" dxfId="732" priority="832">
      <formula>Q71&gt;0</formula>
    </cfRule>
  </conditionalFormatting>
  <conditionalFormatting sqref="M72">
    <cfRule type="cellIs" dxfId="731" priority="837" operator="equal">
      <formula>0</formula>
    </cfRule>
  </conditionalFormatting>
  <conditionalFormatting sqref="M72">
    <cfRule type="expression" dxfId="730" priority="836">
      <formula>M71&gt;0</formula>
    </cfRule>
  </conditionalFormatting>
  <conditionalFormatting sqref="O72">
    <cfRule type="cellIs" dxfId="729" priority="835" operator="equal">
      <formula>0</formula>
    </cfRule>
  </conditionalFormatting>
  <conditionalFormatting sqref="O72">
    <cfRule type="expression" dxfId="728" priority="834">
      <formula>O71&gt;0</formula>
    </cfRule>
  </conditionalFormatting>
  <conditionalFormatting sqref="Q72">
    <cfRule type="cellIs" dxfId="727" priority="833" operator="equal">
      <formula>0</formula>
    </cfRule>
  </conditionalFormatting>
  <conditionalFormatting sqref="G41">
    <cfRule type="cellIs" dxfId="726" priority="813" operator="lessThan">
      <formula>0</formula>
    </cfRule>
  </conditionalFormatting>
  <conditionalFormatting sqref="O41">
    <cfRule type="cellIs" dxfId="725" priority="809" operator="lessThan">
      <formula>0</formula>
    </cfRule>
  </conditionalFormatting>
  <conditionalFormatting sqref="G20 I20 K20 M20 O20 Q20">
    <cfRule type="expression" dxfId="724" priority="3116">
      <formula>G18&lt;$E$18</formula>
    </cfRule>
  </conditionalFormatting>
  <conditionalFormatting sqref="G9">
    <cfRule type="cellIs" dxfId="723" priority="779" operator="lessThan">
      <formula>0</formula>
    </cfRule>
    <cfRule type="cellIs" dxfId="722" priority="780" operator="lessThan">
      <formula>#REF!</formula>
    </cfRule>
    <cfRule type="cellIs" dxfId="721" priority="781" operator="equal">
      <formula>0</formula>
    </cfRule>
  </conditionalFormatting>
  <conditionalFormatting sqref="I9">
    <cfRule type="cellIs" dxfId="720" priority="776" operator="lessThan">
      <formula>0</formula>
    </cfRule>
    <cfRule type="cellIs" dxfId="719" priority="777" operator="lessThan">
      <formula>#REF!</formula>
    </cfRule>
    <cfRule type="cellIs" dxfId="718" priority="778" operator="equal">
      <formula>0</formula>
    </cfRule>
  </conditionalFormatting>
  <conditionalFormatting sqref="K9">
    <cfRule type="cellIs" dxfId="717" priority="763" operator="lessThan">
      <formula>da_1/2</formula>
    </cfRule>
    <cfRule type="cellIs" dxfId="716" priority="773" operator="lessThan">
      <formula>0</formula>
    </cfRule>
    <cfRule type="cellIs" dxfId="715" priority="774" operator="lessThan">
      <formula>da_1</formula>
    </cfRule>
    <cfRule type="cellIs" dxfId="714" priority="775" operator="equal">
      <formula>0</formula>
    </cfRule>
  </conditionalFormatting>
  <conditionalFormatting sqref="M9">
    <cfRule type="cellIs" dxfId="713" priority="770" operator="lessThan">
      <formula>0</formula>
    </cfRule>
    <cfRule type="cellIs" dxfId="712" priority="771" operator="lessThan">
      <formula>#REF!</formula>
    </cfRule>
    <cfRule type="cellIs" dxfId="711" priority="772" operator="equal">
      <formula>0</formula>
    </cfRule>
  </conditionalFormatting>
  <conditionalFormatting sqref="O9">
    <cfRule type="cellIs" dxfId="710" priority="767" operator="lessThan">
      <formula>0</formula>
    </cfRule>
    <cfRule type="cellIs" dxfId="709" priority="768" operator="lessThan">
      <formula>#REF!</formula>
    </cfRule>
    <cfRule type="cellIs" dxfId="708" priority="769" operator="equal">
      <formula>0</formula>
    </cfRule>
  </conditionalFormatting>
  <conditionalFormatting sqref="Q9">
    <cfRule type="cellIs" dxfId="707" priority="764" operator="lessThan">
      <formula>0</formula>
    </cfRule>
    <cfRule type="cellIs" dxfId="706" priority="765" operator="lessThan">
      <formula>#REF!</formula>
    </cfRule>
    <cfRule type="cellIs" dxfId="705" priority="766" operator="equal">
      <formula>0</formula>
    </cfRule>
  </conditionalFormatting>
  <conditionalFormatting sqref="K11">
    <cfRule type="expression" dxfId="704" priority="284">
      <formula>$K$9&gt;=da_1</formula>
    </cfRule>
    <cfRule type="expression" dxfId="703" priority="761" stopIfTrue="1">
      <formula>$K$9&lt;(da_1/2)</formula>
    </cfRule>
  </conditionalFormatting>
  <conditionalFormatting sqref="Q11">
    <cfRule type="expression" dxfId="702" priority="760">
      <formula>$K$9&lt;da_1</formula>
    </cfRule>
  </conditionalFormatting>
  <conditionalFormatting sqref="G15 I15 K15 M15 O15 Q15">
    <cfRule type="cellIs" dxfId="701" priority="752" operator="equal">
      <formula>0</formula>
    </cfRule>
  </conditionalFormatting>
  <conditionalFormatting sqref="G13 I13 K13 M13 O13 Q13">
    <cfRule type="cellIs" dxfId="700" priority="751" operator="equal">
      <formula>0</formula>
    </cfRule>
  </conditionalFormatting>
  <conditionalFormatting sqref="K36">
    <cfRule type="cellIs" dxfId="699" priority="654" operator="equal">
      <formula>"A surveiller"</formula>
    </cfRule>
    <cfRule type="cellIs" dxfId="698" priority="660" operator="equal">
      <formula>"Situation critique"</formula>
    </cfRule>
  </conditionalFormatting>
  <conditionalFormatting sqref="G14 I14 K14">
    <cfRule type="cellIs" dxfId="697" priority="658" operator="equal">
      <formula>0</formula>
    </cfRule>
  </conditionalFormatting>
  <conditionalFormatting sqref="I36">
    <cfRule type="cellIs" dxfId="696" priority="652" operator="equal">
      <formula>"A surveiller"</formula>
    </cfRule>
    <cfRule type="cellIs" dxfId="695" priority="653" operator="equal">
      <formula>"Situation critique"</formula>
    </cfRule>
  </conditionalFormatting>
  <conditionalFormatting sqref="G36">
    <cfRule type="cellIs" dxfId="694" priority="650" operator="equal">
      <formula>"A surveiller"</formula>
    </cfRule>
    <cfRule type="cellIs" dxfId="693" priority="651" operator="equal">
      <formula>"Situation critique"</formula>
    </cfRule>
  </conditionalFormatting>
  <conditionalFormatting sqref="M36">
    <cfRule type="cellIs" dxfId="692" priority="644" operator="equal">
      <formula>"A surveiller"</formula>
    </cfRule>
    <cfRule type="cellIs" dxfId="691" priority="645" operator="equal">
      <formula>"Situation critique"</formula>
    </cfRule>
  </conditionalFormatting>
  <conditionalFormatting sqref="O36">
    <cfRule type="cellIs" dxfId="690" priority="642" operator="equal">
      <formula>"A surveiller"</formula>
    </cfRule>
    <cfRule type="cellIs" dxfId="689" priority="643" operator="equal">
      <formula>"Situation critique"</formula>
    </cfRule>
  </conditionalFormatting>
  <conditionalFormatting sqref="Q36">
    <cfRule type="cellIs" dxfId="688" priority="640" operator="equal">
      <formula>"A surveiller"</formula>
    </cfRule>
    <cfRule type="cellIs" dxfId="687" priority="641" operator="equal">
      <formula>"Situation critique"</formula>
    </cfRule>
  </conditionalFormatting>
  <conditionalFormatting sqref="G75">
    <cfRule type="cellIs" dxfId="686" priority="26" operator="equal">
      <formula>"nul"</formula>
    </cfRule>
    <cfRule type="cellIs" dxfId="685" priority="599" operator="equal">
      <formula>"faible"</formula>
    </cfRule>
    <cfRule type="cellIs" dxfId="684" priority="607" operator="equal">
      <formula>"très élevé"</formula>
    </cfRule>
    <cfRule type="cellIs" dxfId="683" priority="632" stopIfTrue="1" operator="equal">
      <formula>"moyen"</formula>
    </cfRule>
    <cfRule type="cellIs" dxfId="682" priority="633" stopIfTrue="1" operator="equal">
      <formula>"élevé"</formula>
    </cfRule>
  </conditionalFormatting>
  <conditionalFormatting sqref="G18 O18 M18 K18 I18">
    <cfRule type="cellIs" dxfId="681" priority="609" operator="lessThan">
      <formula>$E$18</formula>
    </cfRule>
  </conditionalFormatting>
  <conditionalFormatting sqref="Q18">
    <cfRule type="cellIs" dxfId="680" priority="608" operator="lessThan">
      <formula>$E$18</formula>
    </cfRule>
  </conditionalFormatting>
  <conditionalFormatting sqref="G74">
    <cfRule type="cellIs" dxfId="679" priority="602" operator="equal">
      <formula>"fragile"</formula>
    </cfRule>
    <cfRule type="cellIs" dxfId="678" priority="603" operator="equal">
      <formula>"bonne"</formula>
    </cfRule>
  </conditionalFormatting>
  <conditionalFormatting sqref="Q74 O74 M74 K74 I74">
    <cfRule type="cellIs" dxfId="677" priority="600" operator="equal">
      <formula>"fragile"</formula>
    </cfRule>
    <cfRule type="cellIs" dxfId="676" priority="601" operator="equal">
      <formula>"bonne"</formula>
    </cfRule>
  </conditionalFormatting>
  <conditionalFormatting sqref="O38">
    <cfRule type="cellIs" dxfId="675" priority="540" stopIfTrue="1" operator="equal">
      <formula>"J"</formula>
    </cfRule>
    <cfRule type="cellIs" dxfId="674" priority="541" stopIfTrue="1" operator="equal">
      <formula>"L"</formula>
    </cfRule>
    <cfRule type="cellIs" dxfId="673" priority="542" stopIfTrue="1" operator="equal">
      <formula>"K"</formula>
    </cfRule>
  </conditionalFormatting>
  <conditionalFormatting sqref="Q38">
    <cfRule type="cellIs" dxfId="672" priority="537" stopIfTrue="1" operator="equal">
      <formula>"J"</formula>
    </cfRule>
    <cfRule type="cellIs" dxfId="671" priority="538" stopIfTrue="1" operator="equal">
      <formula>"L"</formula>
    </cfRule>
    <cfRule type="cellIs" dxfId="670" priority="539" stopIfTrue="1" operator="equal">
      <formula>"K"</formula>
    </cfRule>
  </conditionalFormatting>
  <conditionalFormatting sqref="G38">
    <cfRule type="cellIs" dxfId="669" priority="555" stopIfTrue="1" operator="equal">
      <formula>"J"</formula>
    </cfRule>
    <cfRule type="cellIs" dxfId="668" priority="556" stopIfTrue="1" operator="equal">
      <formula>"L"</formula>
    </cfRule>
    <cfRule type="cellIs" dxfId="667" priority="557" stopIfTrue="1" operator="equal">
      <formula>"K"</formula>
    </cfRule>
  </conditionalFormatting>
  <conditionalFormatting sqref="I38">
    <cfRule type="cellIs" dxfId="666" priority="549" stopIfTrue="1" operator="equal">
      <formula>"J"</formula>
    </cfRule>
    <cfRule type="cellIs" dxfId="665" priority="550" stopIfTrue="1" operator="equal">
      <formula>"L"</formula>
    </cfRule>
    <cfRule type="cellIs" dxfId="664" priority="551" stopIfTrue="1" operator="equal">
      <formula>"K"</formula>
    </cfRule>
  </conditionalFormatting>
  <conditionalFormatting sqref="K38">
    <cfRule type="cellIs" dxfId="663" priority="546" stopIfTrue="1" operator="equal">
      <formula>"J"</formula>
    </cfRule>
    <cfRule type="cellIs" dxfId="662" priority="547" stopIfTrue="1" operator="equal">
      <formula>"L"</formula>
    </cfRule>
    <cfRule type="cellIs" dxfId="661" priority="548" stopIfTrue="1" operator="equal">
      <formula>"K"</formula>
    </cfRule>
  </conditionalFormatting>
  <conditionalFormatting sqref="M38">
    <cfRule type="cellIs" dxfId="660" priority="543" stopIfTrue="1" operator="equal">
      <formula>"J"</formula>
    </cfRule>
    <cfRule type="cellIs" dxfId="659" priority="544" stopIfTrue="1" operator="equal">
      <formula>"L"</formula>
    </cfRule>
    <cfRule type="cellIs" dxfId="658" priority="545" stopIfTrue="1" operator="equal">
      <formula>"K"</formula>
    </cfRule>
  </conditionalFormatting>
  <conditionalFormatting sqref="G32">
    <cfRule type="cellIs" dxfId="657" priority="534" stopIfTrue="1" operator="equal">
      <formula>"J"</formula>
    </cfRule>
    <cfRule type="cellIs" dxfId="656" priority="535" stopIfTrue="1" operator="equal">
      <formula>"L"</formula>
    </cfRule>
    <cfRule type="cellIs" dxfId="655" priority="536" stopIfTrue="1" operator="equal">
      <formula>"K"</formula>
    </cfRule>
  </conditionalFormatting>
  <conditionalFormatting sqref="I32">
    <cfRule type="cellIs" dxfId="654" priority="531" stopIfTrue="1" operator="equal">
      <formula>"J"</formula>
    </cfRule>
    <cfRule type="cellIs" dxfId="653" priority="532" stopIfTrue="1" operator="equal">
      <formula>"L"</formula>
    </cfRule>
    <cfRule type="cellIs" dxfId="652" priority="533" stopIfTrue="1" operator="equal">
      <formula>"K"</formula>
    </cfRule>
  </conditionalFormatting>
  <conditionalFormatting sqref="Q32 O32 M32 K32">
    <cfRule type="cellIs" dxfId="651" priority="516" stopIfTrue="1" operator="equal">
      <formula>"J"</formula>
    </cfRule>
    <cfRule type="cellIs" dxfId="650" priority="517" stopIfTrue="1" operator="equal">
      <formula>"L"</formula>
    </cfRule>
    <cfRule type="cellIs" dxfId="649" priority="518" stopIfTrue="1" operator="equal">
      <formula>"K"</formula>
    </cfRule>
  </conditionalFormatting>
  <conditionalFormatting sqref="G26">
    <cfRule type="cellIs" dxfId="648" priority="433" stopIfTrue="1" operator="equal">
      <formula>"J"</formula>
    </cfRule>
    <cfRule type="cellIs" dxfId="647" priority="434" stopIfTrue="1" operator="equal">
      <formula>"L"</formula>
    </cfRule>
    <cfRule type="cellIs" dxfId="646" priority="435" stopIfTrue="1" operator="equal">
      <formula>"K"</formula>
    </cfRule>
  </conditionalFormatting>
  <conditionalFormatting sqref="Q26 O26 M26 K26 I26">
    <cfRule type="cellIs" dxfId="645" priority="424" stopIfTrue="1" operator="equal">
      <formula>"J"</formula>
    </cfRule>
    <cfRule type="cellIs" dxfId="644" priority="425" stopIfTrue="1" operator="equal">
      <formula>"L"</formula>
    </cfRule>
    <cfRule type="cellIs" dxfId="643" priority="426" stopIfTrue="1" operator="equal">
      <formula>"K"</formula>
    </cfRule>
  </conditionalFormatting>
  <conditionalFormatting sqref="G61">
    <cfRule type="cellIs" dxfId="642" priority="345" stopIfTrue="1" operator="equal">
      <formula>"J"</formula>
    </cfRule>
    <cfRule type="cellIs" dxfId="641" priority="346" stopIfTrue="1" operator="equal">
      <formula>"L"</formula>
    </cfRule>
    <cfRule type="cellIs" dxfId="640" priority="347" stopIfTrue="1" operator="equal">
      <formula>"K"</formula>
    </cfRule>
  </conditionalFormatting>
  <conditionalFormatting sqref="I61">
    <cfRule type="cellIs" dxfId="639" priority="340" stopIfTrue="1" operator="equal">
      <formula>"J"</formula>
    </cfRule>
    <cfRule type="cellIs" dxfId="638" priority="341" stopIfTrue="1" operator="equal">
      <formula>"L"</formula>
    </cfRule>
    <cfRule type="cellIs" dxfId="637" priority="342" stopIfTrue="1" operator="equal">
      <formula>"K"</formula>
    </cfRule>
  </conditionalFormatting>
  <conditionalFormatting sqref="M61">
    <cfRule type="cellIs" dxfId="636" priority="332" stopIfTrue="1" operator="equal">
      <formula>"J"</formula>
    </cfRule>
    <cfRule type="cellIs" dxfId="635" priority="333" stopIfTrue="1" operator="equal">
      <formula>"L"</formula>
    </cfRule>
    <cfRule type="cellIs" dxfId="634" priority="334" stopIfTrue="1" operator="equal">
      <formula>"K"</formula>
    </cfRule>
  </conditionalFormatting>
  <conditionalFormatting sqref="Q53 O53 M53 K53 G53 I53">
    <cfRule type="expression" dxfId="633" priority="296">
      <formula>G51&lt;0</formula>
    </cfRule>
  </conditionalFormatting>
  <conditionalFormatting sqref="G51">
    <cfRule type="cellIs" dxfId="632" priority="290" operator="lessThan">
      <formula>0</formula>
    </cfRule>
  </conditionalFormatting>
  <conditionalFormatting sqref="I51">
    <cfRule type="cellIs" dxfId="631" priority="289" operator="lessThan">
      <formula>0</formula>
    </cfRule>
  </conditionalFormatting>
  <conditionalFormatting sqref="K51">
    <cfRule type="cellIs" dxfId="630" priority="288" operator="lessThan">
      <formula>0</formula>
    </cfRule>
  </conditionalFormatting>
  <conditionalFormatting sqref="M51">
    <cfRule type="cellIs" dxfId="629" priority="287" operator="lessThan">
      <formula>0</formula>
    </cfRule>
  </conditionalFormatting>
  <conditionalFormatting sqref="O51">
    <cfRule type="cellIs" dxfId="628" priority="286" operator="lessThan">
      <formula>0</formula>
    </cfRule>
  </conditionalFormatting>
  <conditionalFormatting sqref="Q51">
    <cfRule type="cellIs" dxfId="627" priority="285" operator="lessThan">
      <formula>0</formula>
    </cfRule>
  </conditionalFormatting>
  <conditionalFormatting sqref="G67">
    <cfRule type="expression" dxfId="626" priority="210">
      <formula>G66&gt;0</formula>
    </cfRule>
    <cfRule type="cellIs" dxfId="625" priority="224" operator="equal">
      <formula>0</formula>
    </cfRule>
  </conditionalFormatting>
  <conditionalFormatting sqref="G67">
    <cfRule type="expression" dxfId="624" priority="223">
      <formula>G65&gt;0</formula>
    </cfRule>
  </conditionalFormatting>
  <conditionalFormatting sqref="I67">
    <cfRule type="expression" dxfId="623" priority="208">
      <formula>I65&gt;0</formula>
    </cfRule>
  </conditionalFormatting>
  <conditionalFormatting sqref="I67">
    <cfRule type="expression" dxfId="622" priority="207">
      <formula>I66&gt;0</formula>
    </cfRule>
    <cfRule type="cellIs" dxfId="621" priority="209" operator="equal">
      <formula>0</formula>
    </cfRule>
  </conditionalFormatting>
  <conditionalFormatting sqref="K67">
    <cfRule type="expression" dxfId="620" priority="204">
      <formula>K66&gt;0</formula>
    </cfRule>
    <cfRule type="cellIs" dxfId="619" priority="206" operator="equal">
      <formula>0</formula>
    </cfRule>
  </conditionalFormatting>
  <conditionalFormatting sqref="K67">
    <cfRule type="expression" dxfId="618" priority="205">
      <formula>K65&gt;0</formula>
    </cfRule>
  </conditionalFormatting>
  <conditionalFormatting sqref="M67">
    <cfRule type="expression" dxfId="617" priority="201">
      <formula>M66&gt;0</formula>
    </cfRule>
    <cfRule type="cellIs" dxfId="616" priority="203" operator="equal">
      <formula>0</formula>
    </cfRule>
  </conditionalFormatting>
  <conditionalFormatting sqref="M67">
    <cfRule type="expression" dxfId="615" priority="202">
      <formula>M65&gt;0</formula>
    </cfRule>
  </conditionalFormatting>
  <conditionalFormatting sqref="O67">
    <cfRule type="expression" dxfId="614" priority="198">
      <formula>O66&gt;0</formula>
    </cfRule>
    <cfRule type="cellIs" dxfId="613" priority="200" operator="equal">
      <formula>0</formula>
    </cfRule>
  </conditionalFormatting>
  <conditionalFormatting sqref="O67">
    <cfRule type="expression" dxfId="612" priority="199">
      <formula>O65&gt;0</formula>
    </cfRule>
  </conditionalFormatting>
  <conditionalFormatting sqref="Q67">
    <cfRule type="expression" dxfId="611" priority="195">
      <formula>Q66&gt;0</formula>
    </cfRule>
    <cfRule type="cellIs" dxfId="610" priority="197" operator="equal">
      <formula>0</formula>
    </cfRule>
  </conditionalFormatting>
  <conditionalFormatting sqref="Q67">
    <cfRule type="expression" dxfId="609" priority="196">
      <formula>Q65&gt;0</formula>
    </cfRule>
  </conditionalFormatting>
  <conditionalFormatting sqref="G70">
    <cfRule type="expression" dxfId="608" priority="192">
      <formula>G69&gt;0</formula>
    </cfRule>
    <cfRule type="cellIs" dxfId="607" priority="194" operator="equal">
      <formula>0</formula>
    </cfRule>
  </conditionalFormatting>
  <conditionalFormatting sqref="G70">
    <cfRule type="expression" dxfId="606" priority="193">
      <formula>G68&gt;0</formula>
    </cfRule>
  </conditionalFormatting>
  <conditionalFormatting sqref="I70">
    <cfRule type="expression" dxfId="605" priority="189">
      <formula>I69&gt;0</formula>
    </cfRule>
    <cfRule type="cellIs" dxfId="604" priority="191" operator="equal">
      <formula>0</formula>
    </cfRule>
  </conditionalFormatting>
  <conditionalFormatting sqref="I70">
    <cfRule type="expression" dxfId="603" priority="190">
      <formula>I68&gt;0</formula>
    </cfRule>
  </conditionalFormatting>
  <conditionalFormatting sqref="K70">
    <cfRule type="expression" dxfId="602" priority="186">
      <formula>K69&gt;0</formula>
    </cfRule>
    <cfRule type="cellIs" dxfId="601" priority="188" operator="equal">
      <formula>0</formula>
    </cfRule>
  </conditionalFormatting>
  <conditionalFormatting sqref="K70">
    <cfRule type="expression" dxfId="600" priority="187">
      <formula>K68&gt;0</formula>
    </cfRule>
  </conditionalFormatting>
  <conditionalFormatting sqref="M70">
    <cfRule type="expression" dxfId="599" priority="183">
      <formula>M69&gt;0</formula>
    </cfRule>
    <cfRule type="cellIs" dxfId="598" priority="185" operator="equal">
      <formula>0</formula>
    </cfRule>
  </conditionalFormatting>
  <conditionalFormatting sqref="M70">
    <cfRule type="expression" dxfId="597" priority="184">
      <formula>M68&gt;0</formula>
    </cfRule>
  </conditionalFormatting>
  <conditionalFormatting sqref="O70">
    <cfRule type="expression" dxfId="596" priority="180">
      <formula>O69&gt;0</formula>
    </cfRule>
    <cfRule type="cellIs" dxfId="595" priority="182" operator="equal">
      <formula>0</formula>
    </cfRule>
  </conditionalFormatting>
  <conditionalFormatting sqref="O70">
    <cfRule type="expression" dxfId="594" priority="181">
      <formula>O68&gt;0</formula>
    </cfRule>
  </conditionalFormatting>
  <conditionalFormatting sqref="Q70">
    <cfRule type="expression" dxfId="593" priority="177">
      <formula>Q69&gt;0</formula>
    </cfRule>
    <cfRule type="cellIs" dxfId="592" priority="179" operator="equal">
      <formula>0</formula>
    </cfRule>
  </conditionalFormatting>
  <conditionalFormatting sqref="Q70">
    <cfRule type="expression" dxfId="591" priority="178">
      <formula>Q68&gt;0</formula>
    </cfRule>
  </conditionalFormatting>
  <conditionalFormatting sqref="G64">
    <cfRule type="expression" dxfId="590" priority="174">
      <formula>G63&gt;0</formula>
    </cfRule>
    <cfRule type="cellIs" dxfId="589" priority="176" operator="equal">
      <formula>0</formula>
    </cfRule>
  </conditionalFormatting>
  <conditionalFormatting sqref="G64">
    <cfRule type="expression" dxfId="588" priority="175">
      <formula>G62&gt;0</formula>
    </cfRule>
  </conditionalFormatting>
  <conditionalFormatting sqref="I64">
    <cfRule type="expression" dxfId="587" priority="171">
      <formula>I63&gt;0</formula>
    </cfRule>
    <cfRule type="cellIs" dxfId="586" priority="173" operator="equal">
      <formula>0</formula>
    </cfRule>
  </conditionalFormatting>
  <conditionalFormatting sqref="I64">
    <cfRule type="expression" dxfId="585" priority="172">
      <formula>I62&gt;0</formula>
    </cfRule>
  </conditionalFormatting>
  <conditionalFormatting sqref="K64">
    <cfRule type="expression" dxfId="584" priority="168">
      <formula>K63&gt;0</formula>
    </cfRule>
    <cfRule type="cellIs" dxfId="583" priority="170" operator="equal">
      <formula>0</formula>
    </cfRule>
  </conditionalFormatting>
  <conditionalFormatting sqref="K64">
    <cfRule type="expression" dxfId="582" priority="169">
      <formula>K62&gt;0</formula>
    </cfRule>
  </conditionalFormatting>
  <conditionalFormatting sqref="M64">
    <cfRule type="expression" dxfId="581" priority="165">
      <formula>M63&gt;0</formula>
    </cfRule>
    <cfRule type="cellIs" dxfId="580" priority="167" operator="equal">
      <formula>0</formula>
    </cfRule>
  </conditionalFormatting>
  <conditionalFormatting sqref="M64">
    <cfRule type="expression" dxfId="579" priority="166">
      <formula>M62&gt;0</formula>
    </cfRule>
  </conditionalFormatting>
  <conditionalFormatting sqref="O64">
    <cfRule type="expression" dxfId="578" priority="162">
      <formula>O63&gt;0</formula>
    </cfRule>
    <cfRule type="cellIs" dxfId="577" priority="164" operator="equal">
      <formula>0</formula>
    </cfRule>
  </conditionalFormatting>
  <conditionalFormatting sqref="O64">
    <cfRule type="expression" dxfId="576" priority="163">
      <formula>O62&gt;0</formula>
    </cfRule>
  </conditionalFormatting>
  <conditionalFormatting sqref="Q64">
    <cfRule type="expression" dxfId="575" priority="159">
      <formula>Q63&gt;0</formula>
    </cfRule>
    <cfRule type="cellIs" dxfId="574" priority="161" operator="equal">
      <formula>0</formula>
    </cfRule>
  </conditionalFormatting>
  <conditionalFormatting sqref="Q64">
    <cfRule type="expression" dxfId="573" priority="160">
      <formula>Q62&gt;0</formula>
    </cfRule>
  </conditionalFormatting>
  <conditionalFormatting sqref="G46">
    <cfRule type="expression" dxfId="572" priority="138">
      <formula>#REF!&gt;0</formula>
    </cfRule>
    <cfRule type="cellIs" dxfId="571" priority="140" operator="equal">
      <formula>0</formula>
    </cfRule>
  </conditionalFormatting>
  <conditionalFormatting sqref="G46">
    <cfRule type="expression" dxfId="570" priority="139">
      <formula>#REF!&gt;0</formula>
    </cfRule>
  </conditionalFormatting>
  <conditionalFormatting sqref="I46">
    <cfRule type="expression" dxfId="569" priority="135">
      <formula>#REF!&gt;0</formula>
    </cfRule>
    <cfRule type="cellIs" dxfId="568" priority="137" operator="equal">
      <formula>0</formula>
    </cfRule>
  </conditionalFormatting>
  <conditionalFormatting sqref="I46">
    <cfRule type="expression" dxfId="567" priority="136">
      <formula>#REF!&gt;0</formula>
    </cfRule>
  </conditionalFormatting>
  <conditionalFormatting sqref="K46">
    <cfRule type="expression" dxfId="566" priority="132">
      <formula>#REF!&gt;0</formula>
    </cfRule>
    <cfRule type="cellIs" dxfId="565" priority="134" operator="equal">
      <formula>0</formula>
    </cfRule>
  </conditionalFormatting>
  <conditionalFormatting sqref="K46">
    <cfRule type="expression" dxfId="564" priority="133">
      <formula>#REF!&gt;0</formula>
    </cfRule>
  </conditionalFormatting>
  <conditionalFormatting sqref="M46">
    <cfRule type="expression" dxfId="563" priority="129">
      <formula>#REF!&gt;0</formula>
    </cfRule>
    <cfRule type="cellIs" dxfId="562" priority="131" operator="equal">
      <formula>0</formula>
    </cfRule>
  </conditionalFormatting>
  <conditionalFormatting sqref="M46">
    <cfRule type="expression" dxfId="561" priority="130">
      <formula>#REF!&gt;0</formula>
    </cfRule>
  </conditionalFormatting>
  <conditionalFormatting sqref="O46">
    <cfRule type="expression" dxfId="560" priority="126">
      <formula>#REF!&gt;0</formula>
    </cfRule>
    <cfRule type="cellIs" dxfId="559" priority="128" operator="equal">
      <formula>0</formula>
    </cfRule>
  </conditionalFormatting>
  <conditionalFormatting sqref="O46">
    <cfRule type="expression" dxfId="558" priority="127">
      <formula>#REF!&gt;0</formula>
    </cfRule>
  </conditionalFormatting>
  <conditionalFormatting sqref="Q46">
    <cfRule type="expression" dxfId="557" priority="123">
      <formula>#REF!&gt;0</formula>
    </cfRule>
    <cfRule type="cellIs" dxfId="556" priority="125" operator="equal">
      <formula>0</formula>
    </cfRule>
  </conditionalFormatting>
  <conditionalFormatting sqref="Q46">
    <cfRule type="expression" dxfId="555" priority="124">
      <formula>#REF!&gt;0</formula>
    </cfRule>
  </conditionalFormatting>
  <conditionalFormatting sqref="G44">
    <cfRule type="expression" dxfId="554" priority="120">
      <formula>G43&lt;0</formula>
    </cfRule>
    <cfRule type="cellIs" dxfId="553" priority="122" operator="equal">
      <formula>0</formula>
    </cfRule>
  </conditionalFormatting>
  <conditionalFormatting sqref="G44">
    <cfRule type="expression" dxfId="552" priority="121">
      <formula>G42&lt;0</formula>
    </cfRule>
  </conditionalFormatting>
  <conditionalFormatting sqref="I44">
    <cfRule type="expression" dxfId="551" priority="117">
      <formula>I43&lt;0</formula>
    </cfRule>
    <cfRule type="cellIs" dxfId="550" priority="119" operator="equal">
      <formula>0</formula>
    </cfRule>
  </conditionalFormatting>
  <conditionalFormatting sqref="I44">
    <cfRule type="expression" dxfId="549" priority="118">
      <formula>I42&lt;0</formula>
    </cfRule>
  </conditionalFormatting>
  <conditionalFormatting sqref="K44">
    <cfRule type="expression" dxfId="548" priority="114">
      <formula>K43&lt;0</formula>
    </cfRule>
    <cfRule type="cellIs" dxfId="547" priority="116" operator="equal">
      <formula>0</formula>
    </cfRule>
  </conditionalFormatting>
  <conditionalFormatting sqref="K44">
    <cfRule type="expression" dxfId="546" priority="115">
      <formula>K42&lt;0</formula>
    </cfRule>
  </conditionalFormatting>
  <conditionalFormatting sqref="M44">
    <cfRule type="expression" dxfId="545" priority="111">
      <formula>M43&lt;0</formula>
    </cfRule>
    <cfRule type="cellIs" dxfId="544" priority="113" operator="equal">
      <formula>0</formula>
    </cfRule>
  </conditionalFormatting>
  <conditionalFormatting sqref="M44">
    <cfRule type="expression" dxfId="543" priority="112">
      <formula>M42&lt;0</formula>
    </cfRule>
  </conditionalFormatting>
  <conditionalFormatting sqref="O44">
    <cfRule type="expression" dxfId="542" priority="108">
      <formula>O43&lt;0</formula>
    </cfRule>
    <cfRule type="cellIs" dxfId="541" priority="110" operator="equal">
      <formula>0</formula>
    </cfRule>
  </conditionalFormatting>
  <conditionalFormatting sqref="O44">
    <cfRule type="expression" dxfId="540" priority="109">
      <formula>O42&lt;0</formula>
    </cfRule>
  </conditionalFormatting>
  <conditionalFormatting sqref="Q44">
    <cfRule type="expression" dxfId="539" priority="105">
      <formula>Q43&lt;0</formula>
    </cfRule>
    <cfRule type="cellIs" dxfId="538" priority="107" operator="equal">
      <formula>0</formula>
    </cfRule>
  </conditionalFormatting>
  <conditionalFormatting sqref="Q44">
    <cfRule type="expression" dxfId="537" priority="106">
      <formula>Q42&lt;0</formula>
    </cfRule>
  </conditionalFormatting>
  <conditionalFormatting sqref="K61">
    <cfRule type="cellIs" dxfId="536" priority="94" stopIfTrue="1" operator="equal">
      <formula>"J"</formula>
    </cfRule>
    <cfRule type="cellIs" dxfId="535" priority="95" stopIfTrue="1" operator="equal">
      <formula>"L"</formula>
    </cfRule>
    <cfRule type="cellIs" dxfId="534" priority="96" stopIfTrue="1" operator="equal">
      <formula>"K"</formula>
    </cfRule>
  </conditionalFormatting>
  <conditionalFormatting sqref="M57">
    <cfRule type="cellIs" dxfId="533" priority="91" operator="equal">
      <formula>0</formula>
    </cfRule>
  </conditionalFormatting>
  <conditionalFormatting sqref="Q55">
    <cfRule type="cellIs" dxfId="532" priority="72" stopIfTrue="1" operator="equal">
      <formula>"J"</formula>
    </cfRule>
    <cfRule type="cellIs" dxfId="531" priority="73" stopIfTrue="1" operator="equal">
      <formula>"L"</formula>
    </cfRule>
    <cfRule type="cellIs" dxfId="530" priority="74" stopIfTrue="1" operator="equal">
      <formula>"K"</formula>
    </cfRule>
  </conditionalFormatting>
  <conditionalFormatting sqref="G55">
    <cfRule type="cellIs" dxfId="529" priority="87" stopIfTrue="1" operator="equal">
      <formula>"J"</formula>
    </cfRule>
    <cfRule type="cellIs" dxfId="528" priority="88" stopIfTrue="1" operator="equal">
      <formula>"L"</formula>
    </cfRule>
    <cfRule type="cellIs" dxfId="527" priority="89" stopIfTrue="1" operator="equal">
      <formula>"K"</formula>
    </cfRule>
  </conditionalFormatting>
  <conditionalFormatting sqref="I55">
    <cfRule type="cellIs" dxfId="526" priority="84" stopIfTrue="1" operator="equal">
      <formula>"J"</formula>
    </cfRule>
    <cfRule type="cellIs" dxfId="525" priority="85" stopIfTrue="1" operator="equal">
      <formula>"L"</formula>
    </cfRule>
    <cfRule type="cellIs" dxfId="524" priority="86" stopIfTrue="1" operator="equal">
      <formula>"K"</formula>
    </cfRule>
  </conditionalFormatting>
  <conditionalFormatting sqref="K55">
    <cfRule type="cellIs" dxfId="523" priority="81" stopIfTrue="1" operator="equal">
      <formula>"J"</formula>
    </cfRule>
    <cfRule type="cellIs" dxfId="522" priority="82" stopIfTrue="1" operator="equal">
      <formula>"L"</formula>
    </cfRule>
    <cfRule type="cellIs" dxfId="521" priority="83" stopIfTrue="1" operator="equal">
      <formula>"K"</formula>
    </cfRule>
  </conditionalFormatting>
  <conditionalFormatting sqref="M55">
    <cfRule type="cellIs" dxfId="520" priority="78" stopIfTrue="1" operator="equal">
      <formula>"J"</formula>
    </cfRule>
    <cfRule type="cellIs" dxfId="519" priority="79" stopIfTrue="1" operator="equal">
      <formula>"L"</formula>
    </cfRule>
    <cfRule type="cellIs" dxfId="518" priority="80" stopIfTrue="1" operator="equal">
      <formula>"K"</formula>
    </cfRule>
  </conditionalFormatting>
  <conditionalFormatting sqref="O55">
    <cfRule type="cellIs" dxfId="517" priority="75" stopIfTrue="1" operator="equal">
      <formula>"J"</formula>
    </cfRule>
    <cfRule type="cellIs" dxfId="516" priority="76" stopIfTrue="1" operator="equal">
      <formula>"L"</formula>
    </cfRule>
    <cfRule type="cellIs" dxfId="515" priority="77" stopIfTrue="1" operator="equal">
      <formula>"K"</formula>
    </cfRule>
  </conditionalFormatting>
  <conditionalFormatting sqref="M57">
    <cfRule type="expression" dxfId="514" priority="71">
      <formula>M56&gt;0</formula>
    </cfRule>
  </conditionalFormatting>
  <conditionalFormatting sqref="O59">
    <cfRule type="expression" dxfId="513" priority="68">
      <formula>O56&gt;0</formula>
    </cfRule>
  </conditionalFormatting>
  <conditionalFormatting sqref="Q59">
    <cfRule type="expression" dxfId="512" priority="66">
      <formula>Q56&gt;0</formula>
    </cfRule>
  </conditionalFormatting>
  <conditionalFormatting sqref="Q61 O61">
    <cfRule type="cellIs" dxfId="511" priority="61" stopIfTrue="1" operator="equal">
      <formula>"J"</formula>
    </cfRule>
    <cfRule type="cellIs" dxfId="510" priority="62" stopIfTrue="1" operator="equal">
      <formula>"L"</formula>
    </cfRule>
    <cfRule type="cellIs" dxfId="509" priority="63" stopIfTrue="1" operator="equal">
      <formula>"K"</formula>
    </cfRule>
  </conditionalFormatting>
  <conditionalFormatting sqref="O57">
    <cfRule type="cellIs" dxfId="508" priority="53" operator="equal">
      <formula>0</formula>
    </cfRule>
  </conditionalFormatting>
  <conditionalFormatting sqref="O57">
    <cfRule type="expression" dxfId="507" priority="52">
      <formula>O56&gt;0</formula>
    </cfRule>
  </conditionalFormatting>
  <conditionalFormatting sqref="Q57">
    <cfRule type="cellIs" dxfId="506" priority="50" operator="equal">
      <formula>0</formula>
    </cfRule>
  </conditionalFormatting>
  <conditionalFormatting sqref="Q57">
    <cfRule type="expression" dxfId="505" priority="49">
      <formula>Q56&gt;0</formula>
    </cfRule>
  </conditionalFormatting>
  <conditionalFormatting sqref="G57">
    <cfRule type="cellIs" dxfId="504" priority="47" operator="equal">
      <formula>0</formula>
    </cfRule>
  </conditionalFormatting>
  <conditionalFormatting sqref="G57">
    <cfRule type="expression" dxfId="503" priority="46">
      <formula>G56&gt;0</formula>
    </cfRule>
  </conditionalFormatting>
  <conditionalFormatting sqref="I57">
    <cfRule type="cellIs" dxfId="502" priority="44" operator="equal">
      <formula>0</formula>
    </cfRule>
  </conditionalFormatting>
  <conditionalFormatting sqref="I57">
    <cfRule type="expression" dxfId="501" priority="43">
      <formula>I56&gt;0</formula>
    </cfRule>
  </conditionalFormatting>
  <conditionalFormatting sqref="K57">
    <cfRule type="cellIs" dxfId="500" priority="41" operator="equal">
      <formula>0</formula>
    </cfRule>
  </conditionalFormatting>
  <conditionalFormatting sqref="K57">
    <cfRule type="expression" dxfId="499" priority="40">
      <formula>K56&gt;0</formula>
    </cfRule>
  </conditionalFormatting>
  <conditionalFormatting sqref="M59">
    <cfRule type="expression" dxfId="498" priority="38">
      <formula>M56&gt;0</formula>
    </cfRule>
  </conditionalFormatting>
  <conditionalFormatting sqref="G59">
    <cfRule type="expression" dxfId="497" priority="36">
      <formula>G56&gt;0</formula>
    </cfRule>
  </conditionalFormatting>
  <conditionalFormatting sqref="I59">
    <cfRule type="expression" dxfId="496" priority="34">
      <formula>I56&gt;0</formula>
    </cfRule>
  </conditionalFormatting>
  <conditionalFormatting sqref="K59">
    <cfRule type="expression" dxfId="495" priority="32">
      <formula>K56&gt;0</formula>
    </cfRule>
  </conditionalFormatting>
  <conditionalFormatting sqref="I41">
    <cfRule type="cellIs" dxfId="494" priority="31" operator="lessThan">
      <formula>0</formula>
    </cfRule>
  </conditionalFormatting>
  <conditionalFormatting sqref="K41">
    <cfRule type="cellIs" dxfId="493" priority="30" operator="lessThan">
      <formula>0</formula>
    </cfRule>
  </conditionalFormatting>
  <conditionalFormatting sqref="M41">
    <cfRule type="cellIs" dxfId="492" priority="29" operator="lessThan">
      <formula>0</formula>
    </cfRule>
  </conditionalFormatting>
  <conditionalFormatting sqref="Q41">
    <cfRule type="cellIs" dxfId="491" priority="28" operator="lessThan">
      <formula>0</formula>
    </cfRule>
  </conditionalFormatting>
  <conditionalFormatting sqref="G30 I30 K30 M30 O30 Q30">
    <cfRule type="expression" dxfId="490" priority="3294">
      <formula>G28&gt;$D$28</formula>
    </cfRule>
  </conditionalFormatting>
  <conditionalFormatting sqref="G28 K28 M28 O28 Q28 I28">
    <cfRule type="cellIs" dxfId="489" priority="3295" operator="greaterThan">
      <formula>$D$28</formula>
    </cfRule>
    <cfRule type="cellIs" dxfId="488" priority="3296" operator="equal">
      <formula>0</formula>
    </cfRule>
  </conditionalFormatting>
  <conditionalFormatting sqref="G34 O34 M34 K34 I34 Q34">
    <cfRule type="cellIs" dxfId="487" priority="3297" operator="equal">
      <formula>"EBE négatif"</formula>
    </cfRule>
    <cfRule type="cellIs" dxfId="486" priority="3298" operator="greaterThanOrEqual">
      <formula>$D$34</formula>
    </cfRule>
    <cfRule type="cellIs" dxfId="485" priority="3299" operator="equal">
      <formula>0</formula>
    </cfRule>
  </conditionalFormatting>
  <conditionalFormatting sqref="G49 I49 K49 Q49 M49 O49">
    <cfRule type="expression" dxfId="484" priority="3300">
      <formula>G47&lt;$D$47</formula>
    </cfRule>
  </conditionalFormatting>
  <conditionalFormatting sqref="G47 I47 K47 M47 O47 Q47">
    <cfRule type="cellIs" dxfId="483" priority="3306" operator="lessThan">
      <formula>$D$47</formula>
    </cfRule>
  </conditionalFormatting>
  <conditionalFormatting sqref="M57 O57 Q57 G57 I57 K57">
    <cfRule type="cellIs" dxfId="482" priority="3307" operator="greaterThan">
      <formula>$D$57</formula>
    </cfRule>
  </conditionalFormatting>
  <conditionalFormatting sqref="O59 Q59 M59 G59 I59 K59">
    <cfRule type="expression" dxfId="481" priority="3308">
      <formula>G57&gt;$D$57</formula>
    </cfRule>
  </conditionalFormatting>
  <conditionalFormatting sqref="I75">
    <cfRule type="cellIs" dxfId="480" priority="21" operator="equal">
      <formula>"nul"</formula>
    </cfRule>
    <cfRule type="cellIs" dxfId="479" priority="22" operator="equal">
      <formula>"faible"</formula>
    </cfRule>
    <cfRule type="cellIs" dxfId="478" priority="23" operator="equal">
      <formula>"très élevé"</formula>
    </cfRule>
    <cfRule type="cellIs" dxfId="477" priority="24" stopIfTrue="1" operator="equal">
      <formula>"moyen"</formula>
    </cfRule>
    <cfRule type="cellIs" dxfId="476" priority="25" stopIfTrue="1" operator="equal">
      <formula>"élevé"</formula>
    </cfRule>
  </conditionalFormatting>
  <conditionalFormatting sqref="K75">
    <cfRule type="cellIs" dxfId="475" priority="16" operator="equal">
      <formula>"nul"</formula>
    </cfRule>
    <cfRule type="cellIs" dxfId="474" priority="17" operator="equal">
      <formula>"faible"</formula>
    </cfRule>
    <cfRule type="cellIs" dxfId="473" priority="18" operator="equal">
      <formula>"très élevé"</formula>
    </cfRule>
    <cfRule type="cellIs" dxfId="472" priority="19" stopIfTrue="1" operator="equal">
      <formula>"moyen"</formula>
    </cfRule>
    <cfRule type="cellIs" dxfId="471" priority="20" stopIfTrue="1" operator="equal">
      <formula>"élevé"</formula>
    </cfRule>
  </conditionalFormatting>
  <conditionalFormatting sqref="M75">
    <cfRule type="cellIs" dxfId="470" priority="11" operator="equal">
      <formula>"nul"</formula>
    </cfRule>
    <cfRule type="cellIs" dxfId="469" priority="12" operator="equal">
      <formula>"faible"</formula>
    </cfRule>
    <cfRule type="cellIs" dxfId="468" priority="13" operator="equal">
      <formula>"très élevé"</formula>
    </cfRule>
    <cfRule type="cellIs" dxfId="467" priority="14" stopIfTrue="1" operator="equal">
      <formula>"moyen"</formula>
    </cfRule>
    <cfRule type="cellIs" dxfId="466" priority="15" stopIfTrue="1" operator="equal">
      <formula>"élevé"</formula>
    </cfRule>
  </conditionalFormatting>
  <conditionalFormatting sqref="O75">
    <cfRule type="cellIs" dxfId="465" priority="6" operator="equal">
      <formula>"nul"</formula>
    </cfRule>
    <cfRule type="cellIs" dxfId="464" priority="7" operator="equal">
      <formula>"faible"</formula>
    </cfRule>
    <cfRule type="cellIs" dxfId="463" priority="8" operator="equal">
      <formula>"très élevé"</formula>
    </cfRule>
    <cfRule type="cellIs" dxfId="462" priority="9" stopIfTrue="1" operator="equal">
      <formula>"moyen"</formula>
    </cfRule>
    <cfRule type="cellIs" dxfId="461" priority="10" stopIfTrue="1" operator="equal">
      <formula>"élevé"</formula>
    </cfRule>
  </conditionalFormatting>
  <conditionalFormatting sqref="Q75">
    <cfRule type="cellIs" dxfId="460" priority="1" operator="equal">
      <formula>"nul"</formula>
    </cfRule>
    <cfRule type="cellIs" dxfId="459" priority="2" operator="equal">
      <formula>"faible"</formula>
    </cfRule>
    <cfRule type="cellIs" dxfId="458" priority="3" operator="equal">
      <formula>"très élevé"</formula>
    </cfRule>
    <cfRule type="cellIs" dxfId="457" priority="4" stopIfTrue="1" operator="equal">
      <formula>"moyen"</formula>
    </cfRule>
    <cfRule type="cellIs" dxfId="456" priority="5" stopIfTrue="1" operator="equal">
      <formula>"élevé"</formula>
    </cfRule>
  </conditionalFormatting>
  <conditionalFormatting sqref="G24 O24 M24 K24 I24">
    <cfRule type="expression" dxfId="455" priority="3380">
      <formula>G22&gt;=($E$22*$D$24)</formula>
    </cfRule>
    <cfRule type="cellIs" dxfId="454" priority="3381" operator="equal">
      <formula>"capacité saturée"</formula>
    </cfRule>
  </conditionalFormatting>
  <conditionalFormatting sqref="Q22 O22 M22 G22 I22 K22">
    <cfRule type="cellIs" dxfId="453" priority="3390" operator="greaterThanOrEqual">
      <formula>$E$24</formula>
    </cfRule>
    <cfRule type="cellIs" dxfId="452" priority="3391" operator="between">
      <formula>$E$22</formula>
      <formula>$E$24</formula>
    </cfRule>
    <cfRule type="cellIs" dxfId="451" priority="3392" operator="between">
      <formula>0</formula>
      <formula>$E$22</formula>
    </cfRule>
    <cfRule type="cellIs" dxfId="450" priority="3393" operator="equal">
      <formula>0</formula>
    </cfRule>
  </conditionalFormatting>
  <conditionalFormatting sqref="Q24">
    <cfRule type="expression" dxfId="449" priority="3414">
      <formula>Q22&gt;=($E$22*$D$24)</formula>
    </cfRule>
    <cfRule type="cellIs" dxfId="448" priority="3415" operator="equal">
      <formula>"capacité saturée"</formula>
    </cfRule>
  </conditionalFormatting>
  <dataValidations count="5">
    <dataValidation type="list" allowBlank="1" showInputMessage="1" showErrorMessage="1" sqref="Q11" xr:uid="{00000000-0002-0000-0900-000000000000}">
      <formula1>"Non, Oui"</formula1>
    </dataValidation>
    <dataValidation allowBlank="1" showInputMessage="1" showErrorMessage="1" prompt="exprimé en jours d'achat" sqref="D67:E67" xr:uid="{00000000-0002-0000-0900-000001000000}"/>
    <dataValidation allowBlank="1" showInputMessage="1" showErrorMessage="1" prompt="exprimé en jours de production vendue" sqref="D70:E70" xr:uid="{00000000-0002-0000-0900-000002000000}"/>
    <dataValidation allowBlank="1" showInputMessage="1" showErrorMessage="1" prompt="exprimé en jours de chiffre d'affaires HT" sqref="D44:E44 D46:E46" xr:uid="{00000000-0002-0000-0900-000003000000}"/>
    <dataValidation allowBlank="1" showInputMessage="1" showErrorMessage="1" prompt="Information figurant dans l'onglet &quot;Rachat ou reprise&quot;" sqref="Q4" xr:uid="{31DFF314-70CC-45AC-BFD0-5F17A493C7A5}"/>
  </dataValidations>
  <printOptions horizontalCentered="1" verticalCentered="1"/>
  <pageMargins left="0" right="0" top="0" bottom="0" header="0" footer="0"/>
  <pageSetup paperSize="9" scale="67"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7" id="{9C4D05D6-22A2-4188-BE73-371494E50D69}">
            <xm:f>Accueil!$C$5="transmission d'entreprise"</xm:f>
            <x14: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Q4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9">
    <tabColor theme="0" tint="-0.499984740745262"/>
    <pageSetUpPr fitToPage="1"/>
  </sheetPr>
  <dimension ref="A1:Y240"/>
  <sheetViews>
    <sheetView showGridLines="0" showRowColHeaders="0" workbookViewId="0">
      <pane xSplit="3" ySplit="9" topLeftCell="D10" activePane="bottomRight" state="frozenSplit"/>
      <selection pane="topRight" activeCell="Q1" sqref="Q1"/>
      <selection pane="bottomLeft" activeCell="A11" sqref="A11"/>
      <selection pane="bottomRight" activeCell="C2" sqref="C2:O2"/>
    </sheetView>
  </sheetViews>
  <sheetFormatPr baseColWidth="10" defaultColWidth="10.77734375" defaultRowHeight="13.8" x14ac:dyDescent="0.3"/>
  <cols>
    <col min="1" max="1" width="1.77734375" style="1137" customWidth="1"/>
    <col min="2" max="2" width="60.6640625" style="1" customWidth="1"/>
    <col min="3" max="3" width="16.77734375" style="676" customWidth="1"/>
    <col min="4" max="4" width="0.6640625" style="49" customWidth="1"/>
    <col min="5" max="5" width="12.77734375" style="203" customWidth="1"/>
    <col min="6" max="6" width="10.77734375" style="286" customWidth="1"/>
    <col min="7" max="7" width="0.6640625" style="49" customWidth="1"/>
    <col min="8" max="8" width="12.77734375" style="203" customWidth="1"/>
    <col min="9" max="9" width="10.77734375" style="309" customWidth="1"/>
    <col min="10" max="10" width="0.6640625" style="49" customWidth="1"/>
    <col min="11" max="11" width="12.77734375" style="203" customWidth="1"/>
    <col min="12" max="12" width="10.77734375" style="309" customWidth="1"/>
    <col min="13" max="13" width="0.6640625" style="49" customWidth="1"/>
    <col min="14" max="14" width="12.77734375" style="1" customWidth="1"/>
    <col min="15" max="15" width="10.77734375" style="309" customWidth="1"/>
    <col min="16" max="16" width="15.6640625" style="304" customWidth="1"/>
    <col min="17" max="17" width="53.77734375" style="1" bestFit="1" customWidth="1"/>
    <col min="18" max="18" width="1" style="1" customWidth="1"/>
    <col min="19" max="19" width="10.109375" style="1" bestFit="1" customWidth="1"/>
    <col min="20" max="20" width="1" style="1" customWidth="1"/>
    <col min="21" max="21" width="10.109375" style="1" bestFit="1" customWidth="1"/>
    <col min="22" max="22" width="1" style="1" customWidth="1"/>
    <col min="23" max="23" width="10.109375" style="1" bestFit="1" customWidth="1"/>
    <col min="24" max="24" width="1" style="1" customWidth="1"/>
    <col min="25" max="25" width="10.109375" style="1" bestFit="1" customWidth="1"/>
    <col min="26" max="16384" width="10.77734375" style="1"/>
  </cols>
  <sheetData>
    <row r="1" spans="1:16" ht="6" customHeight="1" x14ac:dyDescent="0.3"/>
    <row r="2" spans="1:16" ht="21.9" customHeight="1" x14ac:dyDescent="0.3">
      <c r="B2" s="1909" t="str">
        <f>IF(ISBLANK(nom)," ",nom)</f>
        <v xml:space="preserve"> </v>
      </c>
      <c r="C2" s="4244" t="s">
        <v>904</v>
      </c>
      <c r="D2" s="4509"/>
      <c r="E2" s="4509"/>
      <c r="F2" s="4509"/>
      <c r="G2" s="4509"/>
      <c r="H2" s="4509"/>
      <c r="I2" s="4509"/>
      <c r="J2" s="4509"/>
      <c r="K2" s="4509"/>
      <c r="L2" s="4509"/>
      <c r="M2" s="4509"/>
      <c r="N2" s="4509"/>
      <c r="O2" s="4510"/>
    </row>
    <row r="3" spans="1:16" s="169" customFormat="1" ht="12.75" customHeight="1" x14ac:dyDescent="0.3">
      <c r="A3" s="1278"/>
      <c r="B3" s="305"/>
      <c r="C3" s="674"/>
      <c r="D3" s="47"/>
      <c r="E3" s="224"/>
      <c r="F3" s="306"/>
      <c r="G3" s="47"/>
      <c r="H3" s="222"/>
      <c r="I3" s="306"/>
      <c r="J3" s="47"/>
      <c r="K3" s="222"/>
      <c r="L3" s="306"/>
      <c r="M3" s="47"/>
      <c r="O3" s="306"/>
      <c r="P3" s="307"/>
    </row>
    <row r="4" spans="1:16" s="169" customFormat="1" ht="17.100000000000001" customHeight="1" x14ac:dyDescent="0.3">
      <c r="A4" s="1278"/>
      <c r="B4" s="4511" t="s">
        <v>649</v>
      </c>
      <c r="C4" s="4512"/>
      <c r="D4" s="4512"/>
      <c r="E4" s="4512"/>
      <c r="F4" s="2413"/>
      <c r="G4" s="47"/>
      <c r="I4" s="4516" t="s">
        <v>167</v>
      </c>
      <c r="J4" s="4517"/>
      <c r="K4" s="4517"/>
      <c r="L4" s="4517"/>
      <c r="M4" s="4517"/>
      <c r="N4" s="4517"/>
      <c r="O4" s="4517"/>
      <c r="P4" s="308"/>
    </row>
    <row r="5" spans="1:16" s="169" customFormat="1" ht="3" customHeight="1" x14ac:dyDescent="0.3">
      <c r="A5" s="1278"/>
      <c r="B5" s="305"/>
      <c r="C5" s="674"/>
      <c r="D5" s="47"/>
      <c r="E5" s="224"/>
      <c r="F5" s="306"/>
      <c r="G5" s="47"/>
      <c r="H5" s="222"/>
      <c r="I5" s="306"/>
      <c r="J5" s="47"/>
      <c r="K5" s="222"/>
      <c r="L5" s="306"/>
      <c r="M5" s="47"/>
      <c r="O5" s="306"/>
      <c r="P5" s="307"/>
    </row>
    <row r="6" spans="1:16" ht="20.100000000000001" customHeight="1" x14ac:dyDescent="0.3">
      <c r="B6" s="4518" t="s">
        <v>48</v>
      </c>
      <c r="C6" s="2325" t="s">
        <v>1005</v>
      </c>
      <c r="D6" s="2323"/>
      <c r="E6" s="4497" t="str">
        <f>IF(ISBLANK(An)," ",An-1)</f>
        <v xml:space="preserve"> </v>
      </c>
      <c r="F6" s="4498"/>
      <c r="G6" s="317"/>
      <c r="H6" s="4497" t="str">
        <f>IF(ISBLANK(An)," ",An-2)</f>
        <v xml:space="preserve"> </v>
      </c>
      <c r="I6" s="4498"/>
      <c r="J6" s="317"/>
      <c r="K6" s="4497" t="str">
        <f>IF(ISBLANK(An)," ",An-3)</f>
        <v xml:space="preserve"> </v>
      </c>
      <c r="L6" s="4498"/>
      <c r="M6" s="317"/>
      <c r="N6" s="4497" t="str">
        <f>IF(ISBLANK(An)," ",An-4)</f>
        <v xml:space="preserve"> </v>
      </c>
      <c r="O6" s="4498"/>
      <c r="P6" s="30"/>
    </row>
    <row r="7" spans="1:16" ht="20.100000000000001" customHeight="1" x14ac:dyDescent="0.3">
      <c r="B7" s="4519"/>
      <c r="C7" s="2326" t="s">
        <v>825</v>
      </c>
      <c r="D7" s="2324"/>
      <c r="E7" s="4499"/>
      <c r="F7" s="4500"/>
      <c r="G7" s="1929"/>
      <c r="H7" s="4499"/>
      <c r="I7" s="4500"/>
      <c r="J7" s="1929"/>
      <c r="K7" s="4499"/>
      <c r="L7" s="4500"/>
      <c r="M7" s="1929"/>
      <c r="N7" s="4499"/>
      <c r="O7" s="4500"/>
      <c r="P7" s="30"/>
    </row>
    <row r="8" spans="1:16" ht="20.100000000000001" customHeight="1" x14ac:dyDescent="0.3">
      <c r="B8" s="4520"/>
      <c r="C8" s="2327" t="s">
        <v>78</v>
      </c>
      <c r="D8" s="1930"/>
      <c r="E8" s="2322" t="s">
        <v>176</v>
      </c>
      <c r="F8" s="2307" t="s">
        <v>1</v>
      </c>
      <c r="G8" s="57"/>
      <c r="H8" s="2308" t="s">
        <v>176</v>
      </c>
      <c r="I8" s="2307" t="s">
        <v>1</v>
      </c>
      <c r="J8" s="57"/>
      <c r="K8" s="2308" t="s">
        <v>176</v>
      </c>
      <c r="L8" s="2307" t="s">
        <v>1</v>
      </c>
      <c r="M8" s="57"/>
      <c r="N8" s="2309" t="s">
        <v>176</v>
      </c>
      <c r="O8" s="2310" t="s">
        <v>1</v>
      </c>
      <c r="P8" s="30"/>
    </row>
    <row r="9" spans="1:16" s="371" customFormat="1" ht="9" customHeight="1" x14ac:dyDescent="0.25">
      <c r="A9" s="1279"/>
      <c r="B9" s="369"/>
      <c r="C9" s="1931"/>
      <c r="D9" s="393"/>
      <c r="E9" s="4513" t="str">
        <f>IF(AND(ca_1&gt;0,durée_1=0),"Durée de l'exercice ?"," ")</f>
        <v xml:space="preserve"> </v>
      </c>
      <c r="F9" s="4513"/>
      <c r="G9" s="677"/>
      <c r="H9" s="4513" t="str">
        <f>IF(AND(ca_2&gt;0,durée_2=0),"Durée de l'exercice ?"," ")</f>
        <v xml:space="preserve"> </v>
      </c>
      <c r="I9" s="4513"/>
      <c r="J9" s="677"/>
      <c r="K9" s="4513" t="str">
        <f>IF(AND(ca_3&gt;0,durée_3=0),"Durée de l'exercice ?"," ")</f>
        <v xml:space="preserve"> </v>
      </c>
      <c r="L9" s="4513"/>
      <c r="M9" s="677"/>
      <c r="N9" s="4513" t="str">
        <f>IF(AND(ca_4&gt;0,durée_4=0),"Durée de l'exercice ?"," ")</f>
        <v xml:space="preserve"> </v>
      </c>
      <c r="O9" s="4513"/>
      <c r="P9" s="370"/>
    </row>
    <row r="10" spans="1:16" ht="20.100000000000001" customHeight="1" x14ac:dyDescent="0.3">
      <c r="B10" s="1932" t="s">
        <v>50</v>
      </c>
      <c r="C10" s="2284" t="s">
        <v>705</v>
      </c>
      <c r="E10" s="1936"/>
      <c r="F10" s="1940" t="str">
        <f>IF(ISBLANK(E10)," ",E10/E13)</f>
        <v xml:space="preserve"> </v>
      </c>
      <c r="H10" s="1936"/>
      <c r="I10" s="1940" t="str">
        <f>IF(ISBLANK(H10)," ",H10/H13)</f>
        <v xml:space="preserve"> </v>
      </c>
      <c r="K10" s="1936"/>
      <c r="L10" s="1940" t="str">
        <f>IF(ISBLANK(K10)," ",K10/K13)</f>
        <v xml:space="preserve"> </v>
      </c>
      <c r="N10" s="1936"/>
      <c r="O10" s="1940" t="str">
        <f>IF(ISBLANK(N10)," ",N10/N13)</f>
        <v xml:space="preserve"> </v>
      </c>
      <c r="P10" s="30"/>
    </row>
    <row r="11" spans="1:16" ht="20.100000000000001" customHeight="1" x14ac:dyDescent="0.3">
      <c r="B11" s="1933" t="s">
        <v>51</v>
      </c>
      <c r="C11" s="2285" t="s">
        <v>706</v>
      </c>
      <c r="D11" s="48"/>
      <c r="E11" s="1937"/>
      <c r="F11" s="1941" t="str">
        <f>IF(ISBLANK(E11)," ",E11/E13)</f>
        <v xml:space="preserve"> </v>
      </c>
      <c r="G11" s="48"/>
      <c r="H11" s="1937"/>
      <c r="I11" s="1941" t="str">
        <f>IF(ISBLANK(H11)," ",H11/H13)</f>
        <v xml:space="preserve"> </v>
      </c>
      <c r="J11" s="48"/>
      <c r="K11" s="1937"/>
      <c r="L11" s="1941" t="str">
        <f>IF(ISBLANK(K11)," ",K11/K13)</f>
        <v xml:space="preserve"> </v>
      </c>
      <c r="M11" s="48"/>
      <c r="N11" s="1937"/>
      <c r="O11" s="1941" t="str">
        <f>IF(ISBLANK(N11)," ",N11/N13)</f>
        <v xml:space="preserve"> </v>
      </c>
      <c r="P11" s="30"/>
    </row>
    <row r="12" spans="1:16" ht="20.100000000000001" customHeight="1" x14ac:dyDescent="0.3">
      <c r="B12" s="1934" t="s">
        <v>52</v>
      </c>
      <c r="C12" s="2286" t="s">
        <v>707</v>
      </c>
      <c r="D12" s="131"/>
      <c r="E12" s="1938"/>
      <c r="F12" s="1942" t="str">
        <f>IF(ISBLANK(E12)," ",E12/E13)</f>
        <v xml:space="preserve"> </v>
      </c>
      <c r="G12" s="131"/>
      <c r="H12" s="1938"/>
      <c r="I12" s="1942" t="str">
        <f>IF(ISBLANK(H12)," ",H12/H13)</f>
        <v xml:space="preserve"> </v>
      </c>
      <c r="J12" s="131"/>
      <c r="K12" s="1938"/>
      <c r="L12" s="1942" t="str">
        <f>IF(ISBLANK(K12)," ",K12/K13)</f>
        <v xml:space="preserve"> </v>
      </c>
      <c r="M12" s="131"/>
      <c r="N12" s="1938"/>
      <c r="O12" s="1942" t="str">
        <f>IF(ISBLANK(N12)," ",N12/N13)</f>
        <v xml:space="preserve"> </v>
      </c>
      <c r="P12" s="30"/>
    </row>
    <row r="13" spans="1:16" s="310" customFormat="1" ht="21.9" customHeight="1" x14ac:dyDescent="0.3">
      <c r="A13" s="521"/>
      <c r="B13" s="1935" t="s">
        <v>550</v>
      </c>
      <c r="C13" s="2287" t="s">
        <v>708</v>
      </c>
      <c r="D13" s="49"/>
      <c r="E13" s="1939">
        <f>SUM(E10:E12)</f>
        <v>0</v>
      </c>
      <c r="F13" s="1943" t="str">
        <f>IF(ISERROR(E13/pr_1)," ",E13/pr_1)</f>
        <v xml:space="preserve"> </v>
      </c>
      <c r="G13" s="49"/>
      <c r="H13" s="1939">
        <f>SUM(H10:H12)</f>
        <v>0</v>
      </c>
      <c r="I13" s="1943" t="str">
        <f>IF(ISERROR(H13/pr_2)," ",H13/pr_2)</f>
        <v xml:space="preserve"> </v>
      </c>
      <c r="J13" s="49"/>
      <c r="K13" s="1939">
        <f>SUM(K10:K12)</f>
        <v>0</v>
      </c>
      <c r="L13" s="1943" t="str">
        <f>IF(ISERROR(K13/pr_3)," ",K13/pr_3)</f>
        <v xml:space="preserve"> </v>
      </c>
      <c r="M13" s="49"/>
      <c r="N13" s="1939">
        <f>SUM(N10:N12)</f>
        <v>0</v>
      </c>
      <c r="O13" s="1943" t="str">
        <f>IF(ISERROR(N13/pr_4)," ",N13/pr_4)</f>
        <v xml:space="preserve"> </v>
      </c>
      <c r="P13" s="138"/>
    </row>
    <row r="14" spans="1:16" ht="3" customHeight="1" x14ac:dyDescent="0.3">
      <c r="C14" s="1027"/>
      <c r="D14" s="52"/>
      <c r="G14" s="52"/>
      <c r="J14" s="52"/>
      <c r="M14" s="52"/>
    </row>
    <row r="15" spans="1:16" ht="20.100000000000001" customHeight="1" x14ac:dyDescent="0.3">
      <c r="B15" s="347"/>
      <c r="C15" s="681" t="s">
        <v>754</v>
      </c>
      <c r="E15" s="1944"/>
      <c r="F15" s="1945" t="str">
        <f>IF(ISERROR(IF(ISBLANK(E15)," ",E15/E13))," ",IF(ISBLANK(E15)," ",E15/E13))</f>
        <v xml:space="preserve"> </v>
      </c>
      <c r="H15" s="1944"/>
      <c r="I15" s="1945" t="str">
        <f>IF(ISERROR(IF(ISBLANK(H15)," ",H15/H13))," ",IF(ISBLANK(H15)," ",H15/H13))</f>
        <v xml:space="preserve"> </v>
      </c>
      <c r="K15" s="1944"/>
      <c r="L15" s="1945" t="str">
        <f>IF(ISERROR(IF(ISBLANK(K15)," ",K15/K13))," ",IF(ISBLANK(K15)," ",K15/K13))</f>
        <v xml:space="preserve"> </v>
      </c>
      <c r="N15" s="1944"/>
      <c r="O15" s="1945" t="str">
        <f>IF(ISERROR(IF(ISBLANK(N15)," ",N15/N13))," ",IF(ISBLANK(N15)," ",N15/N13))</f>
        <v xml:space="preserve"> </v>
      </c>
      <c r="P15" s="30"/>
    </row>
    <row r="16" spans="1:16" s="368" customFormat="1" ht="12.75" customHeight="1" x14ac:dyDescent="0.3">
      <c r="A16" s="1137"/>
      <c r="B16" s="366"/>
      <c r="C16" s="675"/>
      <c r="D16" s="367"/>
      <c r="E16" s="502"/>
      <c r="F16" s="502"/>
      <c r="G16" s="502"/>
      <c r="H16" s="502"/>
      <c r="I16" s="502"/>
      <c r="J16" s="502"/>
      <c r="K16" s="502"/>
      <c r="L16" s="502"/>
      <c r="M16" s="502"/>
      <c r="N16" s="502"/>
      <c r="O16" s="502"/>
      <c r="P16" s="404"/>
    </row>
    <row r="17" spans="1:16" ht="20.100000000000001" customHeight="1" x14ac:dyDescent="0.3">
      <c r="B17" s="1946" t="s">
        <v>53</v>
      </c>
      <c r="C17" s="2288" t="s">
        <v>709</v>
      </c>
      <c r="E17" s="1947"/>
      <c r="F17" s="1948"/>
      <c r="H17" s="1947"/>
      <c r="I17" s="1948"/>
      <c r="K17" s="1947"/>
      <c r="L17" s="1948"/>
      <c r="N17" s="1947"/>
      <c r="O17" s="1948"/>
      <c r="P17" s="30"/>
    </row>
    <row r="18" spans="1:16" ht="20.100000000000001" customHeight="1" x14ac:dyDescent="0.3">
      <c r="B18" s="1934" t="s">
        <v>47</v>
      </c>
      <c r="C18" s="2286" t="s">
        <v>710</v>
      </c>
      <c r="D18" s="59"/>
      <c r="E18" s="1938"/>
      <c r="F18" s="1949"/>
      <c r="G18" s="59"/>
      <c r="H18" s="1938"/>
      <c r="I18" s="1949"/>
      <c r="J18" s="59"/>
      <c r="K18" s="1938"/>
      <c r="L18" s="1949"/>
      <c r="M18" s="59"/>
      <c r="N18" s="1938"/>
      <c r="O18" s="1949"/>
      <c r="P18" s="30"/>
    </row>
    <row r="19" spans="1:16" s="310" customFormat="1" ht="21.9" customHeight="1" x14ac:dyDescent="0.3">
      <c r="A19" s="521"/>
      <c r="B19" s="4514" t="s">
        <v>168</v>
      </c>
      <c r="C19" s="4515"/>
      <c r="D19" s="49"/>
      <c r="E19" s="1939">
        <f>E13+E17+E18</f>
        <v>0</v>
      </c>
      <c r="F19" s="1950" t="str">
        <f>IF(ISERROR(pr_1/pr_1)," ",pr_1/pr_1)</f>
        <v xml:space="preserve"> </v>
      </c>
      <c r="G19" s="49"/>
      <c r="H19" s="1939">
        <f>H13+H17+H18</f>
        <v>0</v>
      </c>
      <c r="I19" s="1950" t="str">
        <f>IF(ISERROR(pr_2/pr_2)," ",pr_2/pr_2)</f>
        <v xml:space="preserve"> </v>
      </c>
      <c r="J19" s="49"/>
      <c r="K19" s="1939">
        <f>K13+K17+K18</f>
        <v>0</v>
      </c>
      <c r="L19" s="1950" t="str">
        <f>IF(ISERROR(pr_3/pr_3)," ",pr_3/pr_3)</f>
        <v xml:space="preserve"> </v>
      </c>
      <c r="M19" s="49"/>
      <c r="N19" s="1939">
        <f>N13+N17+N18</f>
        <v>0</v>
      </c>
      <c r="O19" s="1950" t="str">
        <f>IF(ISERROR(pr_4/pr_4)," ",pr_4/pr_4)</f>
        <v xml:space="preserve"> </v>
      </c>
      <c r="P19" s="138"/>
    </row>
    <row r="20" spans="1:16" ht="6" customHeight="1" x14ac:dyDescent="0.3">
      <c r="B20" s="830"/>
      <c r="C20" s="831"/>
      <c r="E20" s="66"/>
      <c r="F20" s="246"/>
      <c r="H20" s="66"/>
      <c r="I20" s="246"/>
      <c r="K20" s="66"/>
      <c r="L20" s="246"/>
      <c r="N20" s="66"/>
      <c r="O20" s="246"/>
      <c r="P20" s="30"/>
    </row>
    <row r="21" spans="1:16" ht="20.100000000000001" customHeight="1" x14ac:dyDescent="0.3">
      <c r="B21" s="1951" t="s">
        <v>54</v>
      </c>
      <c r="C21" s="2284" t="s">
        <v>711</v>
      </c>
      <c r="D21" s="48"/>
      <c r="E21" s="1936"/>
      <c r="F21" s="2016"/>
      <c r="G21" s="48"/>
      <c r="H21" s="1936"/>
      <c r="I21" s="2016"/>
      <c r="J21" s="48"/>
      <c r="K21" s="1936"/>
      <c r="L21" s="2016"/>
      <c r="M21" s="48"/>
      <c r="N21" s="1936"/>
      <c r="O21" s="2016"/>
      <c r="P21" s="30"/>
    </row>
    <row r="22" spans="1:16" ht="20.100000000000001" customHeight="1" x14ac:dyDescent="0.3">
      <c r="B22" s="1933" t="s">
        <v>189</v>
      </c>
      <c r="C22" s="2285" t="s">
        <v>712</v>
      </c>
      <c r="E22" s="1937"/>
      <c r="F22" s="2017"/>
      <c r="H22" s="1937"/>
      <c r="I22" s="2017"/>
      <c r="K22" s="1937"/>
      <c r="L22" s="2017"/>
      <c r="N22" s="1937"/>
      <c r="O22" s="2017"/>
      <c r="P22" s="30"/>
    </row>
    <row r="23" spans="1:16" ht="20.100000000000001" customHeight="1" x14ac:dyDescent="0.3">
      <c r="B23" s="1933" t="s">
        <v>617</v>
      </c>
      <c r="C23" s="2289" t="s">
        <v>717</v>
      </c>
      <c r="E23" s="1937"/>
      <c r="F23" s="2017"/>
      <c r="H23" s="1937"/>
      <c r="I23" s="2017"/>
      <c r="K23" s="1937"/>
      <c r="L23" s="2017"/>
      <c r="N23" s="1937"/>
      <c r="O23" s="2017"/>
      <c r="P23" s="30"/>
    </row>
    <row r="24" spans="1:16" ht="20.100000000000001" customHeight="1" x14ac:dyDescent="0.3">
      <c r="B24" s="1933" t="s">
        <v>55</v>
      </c>
      <c r="C24" s="2285" t="s">
        <v>713</v>
      </c>
      <c r="E24" s="1937"/>
      <c r="F24" s="2017"/>
      <c r="H24" s="1937"/>
      <c r="I24" s="2017"/>
      <c r="K24" s="1937"/>
      <c r="L24" s="2017"/>
      <c r="N24" s="1937"/>
      <c r="O24" s="2017"/>
      <c r="P24" s="30"/>
    </row>
    <row r="25" spans="1:16" ht="20.100000000000001" customHeight="1" x14ac:dyDescent="0.3">
      <c r="B25" s="1934" t="s">
        <v>56</v>
      </c>
      <c r="C25" s="2290" t="s">
        <v>714</v>
      </c>
      <c r="E25" s="1938"/>
      <c r="F25" s="2018"/>
      <c r="H25" s="1938"/>
      <c r="I25" s="2018"/>
      <c r="K25" s="1938"/>
      <c r="L25" s="2018"/>
      <c r="N25" s="1938"/>
      <c r="O25" s="2018"/>
      <c r="P25" s="30"/>
    </row>
    <row r="26" spans="1:16" ht="21.9" customHeight="1" x14ac:dyDescent="0.3">
      <c r="A26" s="1280" t="s">
        <v>608</v>
      </c>
      <c r="B26" s="3771" t="s">
        <v>389</v>
      </c>
      <c r="C26" s="3430"/>
      <c r="E26" s="1592">
        <f>fs_1+ft_1-E24+E25</f>
        <v>0</v>
      </c>
      <c r="F26" s="1611" t="str">
        <f>IF(ISERROR(E26/E10)," ",E26/E10)</f>
        <v xml:space="preserve"> </v>
      </c>
      <c r="G26" s="232"/>
      <c r="H26" s="1592">
        <f>fs_2+ft_2-H24+H25</f>
        <v>0</v>
      </c>
      <c r="I26" s="1611" t="str">
        <f>IF(ISERROR(H26/H10)," ",H26/H10)</f>
        <v xml:space="preserve"> </v>
      </c>
      <c r="J26" s="232"/>
      <c r="K26" s="1592">
        <f>fs_3+ft_3-K24+K25</f>
        <v>0</v>
      </c>
      <c r="L26" s="1611" t="str">
        <f>IF(ISERROR(K26/K10)," ",K26/K10)</f>
        <v xml:space="preserve"> </v>
      </c>
      <c r="N26" s="1592">
        <f>fs_4+ft_4-N24+N25</f>
        <v>0</v>
      </c>
      <c r="O26" s="1611" t="str">
        <f>IF(ISERROR(N26/N10)," ",N26/N10)</f>
        <v xml:space="preserve"> </v>
      </c>
      <c r="P26" s="30"/>
    </row>
    <row r="27" spans="1:16" s="310" customFormat="1" ht="21.9" customHeight="1" x14ac:dyDescent="0.3">
      <c r="A27" s="1280"/>
      <c r="B27" s="4489" t="s">
        <v>162</v>
      </c>
      <c r="C27" s="4490"/>
      <c r="E27" s="2013">
        <f>E10-E26</f>
        <v>0</v>
      </c>
      <c r="F27" s="2019" t="str">
        <f>IF(ISERROR(mc_1/fc_1)," ",mc_1/fc_1)</f>
        <v xml:space="preserve"> </v>
      </c>
      <c r="G27" s="49"/>
      <c r="H27" s="2013">
        <f>H10-H26</f>
        <v>0</v>
      </c>
      <c r="I27" s="2019" t="str">
        <f>IF(ISERROR(mc_2/fc_2)," ",mc_2/fc_2)</f>
        <v xml:space="preserve"> </v>
      </c>
      <c r="J27" s="49"/>
      <c r="K27" s="2013">
        <f>K10-K26</f>
        <v>0</v>
      </c>
      <c r="L27" s="2019" t="str">
        <f>IF(ISERROR(mc_3/fc_3)," ",mc_3/fc_3)</f>
        <v xml:space="preserve"> </v>
      </c>
      <c r="M27" s="49"/>
      <c r="N27" s="2013">
        <f>N10-N26</f>
        <v>0</v>
      </c>
      <c r="O27" s="2019" t="str">
        <f>IF(ISERROR(mc_4/fc_4)," ",mc_4/fc_4)</f>
        <v xml:space="preserve"> </v>
      </c>
      <c r="P27" s="138"/>
    </row>
    <row r="28" spans="1:16" ht="20.100000000000001" customHeight="1" x14ac:dyDescent="0.3">
      <c r="A28" s="1280"/>
      <c r="B28" s="1934" t="s">
        <v>369</v>
      </c>
      <c r="C28" s="2284" t="s">
        <v>715</v>
      </c>
      <c r="E28" s="1938"/>
      <c r="F28" s="2018"/>
      <c r="H28" s="1938"/>
      <c r="I28" s="2035"/>
      <c r="K28" s="1938"/>
      <c r="L28" s="2035"/>
      <c r="N28" s="1938"/>
      <c r="O28" s="2035"/>
      <c r="P28" s="30"/>
    </row>
    <row r="29" spans="1:16" ht="20.100000000000001" customHeight="1" x14ac:dyDescent="0.3">
      <c r="A29" s="1280"/>
      <c r="B29" s="1933" t="s">
        <v>368</v>
      </c>
      <c r="C29" s="2285" t="s">
        <v>716</v>
      </c>
      <c r="E29" s="1937"/>
      <c r="F29" s="2017"/>
      <c r="H29" s="1937"/>
      <c r="I29" s="2036"/>
      <c r="K29" s="1937"/>
      <c r="L29" s="2036"/>
      <c r="N29" s="1937"/>
      <c r="O29" s="2036"/>
      <c r="P29" s="30"/>
    </row>
    <row r="30" spans="1:16" ht="20.100000000000001" customHeight="1" x14ac:dyDescent="0.3">
      <c r="A30" s="1280"/>
      <c r="B30" s="1933" t="s">
        <v>616</v>
      </c>
      <c r="C30" s="2289" t="s">
        <v>717</v>
      </c>
      <c r="E30" s="1937"/>
      <c r="F30" s="2017"/>
      <c r="H30" s="1937"/>
      <c r="I30" s="2036"/>
      <c r="K30" s="1937"/>
      <c r="L30" s="2036"/>
      <c r="N30" s="1937"/>
      <c r="O30" s="2036"/>
      <c r="P30" s="30"/>
    </row>
    <row r="31" spans="1:16" ht="20.100000000000001" customHeight="1" x14ac:dyDescent="0.3">
      <c r="A31" s="1280"/>
      <c r="B31" s="1933" t="s">
        <v>617</v>
      </c>
      <c r="C31" s="2291" t="s">
        <v>717</v>
      </c>
      <c r="E31" s="1937"/>
      <c r="F31" s="2017"/>
      <c r="H31" s="1937"/>
      <c r="I31" s="2036"/>
      <c r="K31" s="1937"/>
      <c r="L31" s="2036"/>
      <c r="N31" s="1937"/>
      <c r="O31" s="2036"/>
      <c r="P31" s="30"/>
    </row>
    <row r="32" spans="1:16" ht="20.100000000000001" customHeight="1" x14ac:dyDescent="0.3">
      <c r="A32" s="1280"/>
      <c r="B32" s="1933" t="s">
        <v>55</v>
      </c>
      <c r="C32" s="2292" t="s">
        <v>713</v>
      </c>
      <c r="E32" s="1937"/>
      <c r="F32" s="2017"/>
      <c r="H32" s="1937"/>
      <c r="I32" s="2036"/>
      <c r="K32" s="1937"/>
      <c r="L32" s="2036"/>
      <c r="N32" s="1937"/>
      <c r="O32" s="2036"/>
      <c r="P32" s="30"/>
    </row>
    <row r="33" spans="1:16" ht="20.100000000000001" customHeight="1" x14ac:dyDescent="0.3">
      <c r="A33" s="1280"/>
      <c r="B33" s="1934" t="s">
        <v>56</v>
      </c>
      <c r="C33" s="2290" t="s">
        <v>714</v>
      </c>
      <c r="E33" s="1938"/>
      <c r="F33" s="2018"/>
      <c r="H33" s="1938"/>
      <c r="I33" s="2035"/>
      <c r="K33" s="1938"/>
      <c r="L33" s="2035"/>
      <c r="N33" s="1938"/>
      <c r="O33" s="2035"/>
      <c r="P33" s="30"/>
    </row>
    <row r="34" spans="1:16" ht="21.9" customHeight="1" x14ac:dyDescent="0.3">
      <c r="A34" s="1280" t="s">
        <v>608</v>
      </c>
      <c r="B34" s="3771" t="s">
        <v>355</v>
      </c>
      <c r="C34" s="3430"/>
      <c r="E34" s="1592">
        <f>fu_1+fv_1+E30+E31-E32+E33</f>
        <v>0</v>
      </c>
      <c r="F34" s="1611" t="str">
        <f>IF(ISERROR(IF(activité="PB",E34/(ff_1+fm_1+fn_1),IF(activité="PS",E34/(fi_1+fm_1+fn_1)," ")))," ",IF(activité="PB",E34/(ff_1+fm_1+fn_1),IF(activité="PS",E34/(fi_1+fm_1+fn_1)," ")))</f>
        <v xml:space="preserve"> </v>
      </c>
      <c r="G34" s="232"/>
      <c r="H34" s="1592">
        <f>fu_2+fv_2+H30+H31-H32+H33</f>
        <v>0</v>
      </c>
      <c r="I34" s="1611" t="str">
        <f>IF(ISERROR(IF(activité="PB",H34/(ff_2+fm_2+fn_2),IF(activité="PS",H34/(fi_2+fm_2+fn_2)," ")))," ",IF(activité="PB",H34/(ff_2+fm_2+fn_2),IF(activité="PS",H34/(fi_2+fm_2+fn_2)," ")))</f>
        <v xml:space="preserve"> </v>
      </c>
      <c r="J34" s="232"/>
      <c r="K34" s="1592">
        <f>fu_3+fv_3+K30+K31-K32+K33</f>
        <v>0</v>
      </c>
      <c r="L34" s="1611" t="str">
        <f>IF(ISERROR(IF(activité="PB",K34/(ff_3+fm_3+fn_3),IF(activité="PS",K34/(fi_3+fm_3+fn_3)," ")))," ",IF(activité="PB",K34/(ff_3+fm_3+fn_3),IF(activité="PS",K34/(fi_3+fm_3+fn_3)," ")))</f>
        <v xml:space="preserve"> </v>
      </c>
      <c r="N34" s="1592">
        <f>fu_4+fv_4+N30+N31-N32+N33</f>
        <v>0</v>
      </c>
      <c r="O34" s="1611" t="str">
        <f>IF(ISERROR(IF(activité="PB",N34/(ff_4+fm_4+fn_4),IF(activité="PS",mb_4/(fi_4+fm_4+fn_4)," ")))," ",IF(activité="PB",mb_4/(ff_4+fm_4+fn_4),IF(activité="PS",N34/(fi_4+fm_4+fn_4)," ")))</f>
        <v xml:space="preserve"> </v>
      </c>
      <c r="P34" s="1"/>
    </row>
    <row r="35" spans="1:16" s="310" customFormat="1" ht="21.9" customHeight="1" x14ac:dyDescent="0.3">
      <c r="A35" s="1280"/>
      <c r="B35" s="4507" t="s">
        <v>396</v>
      </c>
      <c r="C35" s="4508"/>
      <c r="E35" s="2014" t="str">
        <f>IF(activité="PB",ff_1+E17+E18-E34,IF(activité="PS",fi_1+E17+E18-E34," "))</f>
        <v xml:space="preserve"> </v>
      </c>
      <c r="F35" s="2020" t="str">
        <f>IF(ISERROR(IF(activité="PB",mb_1/(ff_1+fm_1+fn_1),IF(activité="PS",mb_1/(fi_1+fm_1+fn_1)," ")))," ",IF(activité="PB",mb_1/(ff_1+fm_1+fn_1),IF(activité="PS",mb_1/(fi_1+fm_1+fn_1)," ")))</f>
        <v xml:space="preserve"> </v>
      </c>
      <c r="G35" s="49"/>
      <c r="H35" s="2014" t="str">
        <f>IF(activité="PB",ff_2+H17+H18-H34,IF(activité="PS",fi_2+H17+H18-H34," "))</f>
        <v xml:space="preserve"> </v>
      </c>
      <c r="I35" s="2020" t="str">
        <f>IF(ISERROR(IF(activité="PB",mb_2/(ff_2+fm_2+fn_2),IF(activité="PS",mb_2/(fi_2+fm_2+fn_2)," ")))," ",IF(activité="PB",mb_2/(ff_2+fm_2+fn_2),IF(activité="PS",mb_2/(fi_2+fm_2+fn_2)," ")))</f>
        <v xml:space="preserve"> </v>
      </c>
      <c r="J35" s="49"/>
      <c r="K35" s="2014" t="str">
        <f>IF(activité="PB",ff_3+K17+K18-K34,IF(activité="PS",fi_3+K17+K18-K34," "))</f>
        <v xml:space="preserve"> </v>
      </c>
      <c r="L35" s="2020" t="str">
        <f>IF(ISERROR(IF(activité="PB",mb_3/(ff_3+fm_3+fn_3),IF(activité="PS",mb_3/(fi_3+fm_3+fn_3)," ")))," ",IF(activité="PB",mb_3/(ff_3+fm_3+fn_3),IF(activité="PS",mb_3/(fi_3+fm_3+fn_3)," ")))</f>
        <v xml:space="preserve"> </v>
      </c>
      <c r="M35" s="49"/>
      <c r="N35" s="2014" t="str">
        <f>IF(activité="PB",ff_4+N17+N18-N34,IF(activité="PS",fi_4+N17+N18-N34," "))</f>
        <v xml:space="preserve"> </v>
      </c>
      <c r="O35" s="2020" t="str">
        <f>IF(ISERROR(IF(activité="PB",mb_4/(ff_4+fm_4+fn_4),IF(activité="PS",mb_4/(fi_4+fm_4+fn_4)," ")))," ",IF(activité="PB",mb_4/(ff_4+fm_4+fn_4),IF(activité="PS",mb_4/(fi_4+fm_4+fn_4)," ")))</f>
        <v xml:space="preserve"> </v>
      </c>
      <c r="P35" s="138"/>
    </row>
    <row r="36" spans="1:16" ht="21.9" customHeight="1" x14ac:dyDescent="0.3">
      <c r="A36" s="1280"/>
      <c r="B36" s="4505" t="s">
        <v>360</v>
      </c>
      <c r="C36" s="4506"/>
      <c r="E36" s="2015">
        <f>pr_1-E26-E34</f>
        <v>0</v>
      </c>
      <c r="F36" s="2021" t="str">
        <f>IF(ISERROR(E36/pr_1)," ",E36/pr_1)</f>
        <v xml:space="preserve"> </v>
      </c>
      <c r="H36" s="2015">
        <f>pr_2-H26-H34</f>
        <v>0</v>
      </c>
      <c r="I36" s="2021" t="str">
        <f>IF(ISERROR(H36/pr_2)," ",H36/pr_2)</f>
        <v xml:space="preserve"> </v>
      </c>
      <c r="K36" s="2015">
        <f>pr_3-K26-K34</f>
        <v>0</v>
      </c>
      <c r="L36" s="2021" t="str">
        <f>IF(ISERROR(K36/pr_3)," ",K36/pr_3)</f>
        <v xml:space="preserve"> </v>
      </c>
      <c r="N36" s="2015">
        <f>pr_4-N26-N34</f>
        <v>0</v>
      </c>
      <c r="O36" s="2021" t="str">
        <f>IF(ISERROR(N36/pr_4)," ",N36/pr_4)</f>
        <v xml:space="preserve"> </v>
      </c>
      <c r="P36" s="30"/>
    </row>
    <row r="37" spans="1:16" ht="20.100000000000001" customHeight="1" x14ac:dyDescent="0.3">
      <c r="A37" s="1280"/>
      <c r="B37" s="1934" t="s">
        <v>57</v>
      </c>
      <c r="C37" s="2284" t="s">
        <v>718</v>
      </c>
      <c r="E37" s="1566"/>
      <c r="F37" s="2022"/>
      <c r="H37" s="1566"/>
      <c r="I37" s="2022"/>
      <c r="K37" s="1566"/>
      <c r="L37" s="2022"/>
      <c r="N37" s="1566"/>
      <c r="O37" s="2022"/>
      <c r="P37" s="30"/>
    </row>
    <row r="38" spans="1:16" ht="20.100000000000001" customHeight="1" x14ac:dyDescent="0.3">
      <c r="A38" s="1280" t="s">
        <v>608</v>
      </c>
      <c r="B38" s="1906" t="s">
        <v>618</v>
      </c>
      <c r="C38" s="2289" t="s">
        <v>717</v>
      </c>
      <c r="E38" s="1571"/>
      <c r="F38" s="2023"/>
      <c r="H38" s="1571"/>
      <c r="I38" s="2037"/>
      <c r="K38" s="1571"/>
      <c r="L38" s="2037"/>
      <c r="N38" s="1571"/>
      <c r="O38" s="2037"/>
      <c r="P38" s="30"/>
    </row>
    <row r="39" spans="1:16" ht="20.100000000000001" customHeight="1" x14ac:dyDescent="0.3">
      <c r="A39" s="1280"/>
      <c r="B39" s="1906" t="s">
        <v>772</v>
      </c>
      <c r="C39" s="2289" t="s">
        <v>719</v>
      </c>
      <c r="E39" s="1571"/>
      <c r="F39" s="2023"/>
      <c r="H39" s="1571"/>
      <c r="I39" s="2037"/>
      <c r="K39" s="1571"/>
      <c r="L39" s="2037"/>
      <c r="N39" s="1571"/>
      <c r="O39" s="2037"/>
      <c r="P39" s="30"/>
    </row>
    <row r="40" spans="1:16" ht="20.100000000000001" customHeight="1" x14ac:dyDescent="0.3">
      <c r="A40" s="1280"/>
      <c r="B40" s="1906" t="s">
        <v>773</v>
      </c>
      <c r="C40" s="2289" t="s">
        <v>720</v>
      </c>
      <c r="E40" s="1571"/>
      <c r="F40" s="2023"/>
      <c r="H40" s="1571"/>
      <c r="I40" s="2037"/>
      <c r="K40" s="1571"/>
      <c r="L40" s="2037"/>
      <c r="N40" s="1571"/>
      <c r="O40" s="2037"/>
      <c r="P40" s="30"/>
    </row>
    <row r="41" spans="1:16" ht="20.100000000000001" customHeight="1" x14ac:dyDescent="0.3">
      <c r="A41" s="1280"/>
      <c r="B41" s="1952" t="s">
        <v>395</v>
      </c>
      <c r="C41" s="2293" t="s">
        <v>721</v>
      </c>
      <c r="E41" s="1964"/>
      <c r="F41" s="2024"/>
      <c r="H41" s="1972"/>
      <c r="I41" s="2038"/>
      <c r="K41" s="1972"/>
      <c r="L41" s="2038"/>
      <c r="N41" s="1972"/>
      <c r="O41" s="2038"/>
      <c r="P41" s="30"/>
    </row>
    <row r="42" spans="1:16" ht="21.9" customHeight="1" x14ac:dyDescent="0.3">
      <c r="A42" s="1280"/>
      <c r="B42" s="3771" t="s">
        <v>477</v>
      </c>
      <c r="C42" s="3430"/>
      <c r="E42" s="1592">
        <f>fw_1-hp_1-hq_1-E41</f>
        <v>0</v>
      </c>
      <c r="F42" s="1611" t="str">
        <f>IF(ISERROR(E42/pr_1)," ",E42/pr_1)</f>
        <v xml:space="preserve"> </v>
      </c>
      <c r="G42" s="232"/>
      <c r="H42" s="1592">
        <f>fw_2-hp_2-hq_2-H41</f>
        <v>0</v>
      </c>
      <c r="I42" s="1611" t="str">
        <f>IF(ISERROR(H42/pr_2)," ",H42/pr_2)</f>
        <v xml:space="preserve"> </v>
      </c>
      <c r="J42" s="232"/>
      <c r="K42" s="1592">
        <f>fw_3-hp_3-hq_3-K41</f>
        <v>0</v>
      </c>
      <c r="L42" s="1611" t="str">
        <f>IF(ISERROR(K42/pr_3)," ",K42/pr_3)</f>
        <v xml:space="preserve"> </v>
      </c>
      <c r="N42" s="1592">
        <f>fw_4-hp_4-hq_4-N41</f>
        <v>0</v>
      </c>
      <c r="O42" s="1611" t="str">
        <f>IF(ISERROR(N42/pr_4)," ",N42/pr_4)</f>
        <v xml:space="preserve"> </v>
      </c>
      <c r="P42" s="30"/>
    </row>
    <row r="43" spans="1:16" s="310" customFormat="1" ht="21.9" customHeight="1" x14ac:dyDescent="0.3">
      <c r="A43" s="1280"/>
      <c r="B43" s="4489" t="s">
        <v>37</v>
      </c>
      <c r="C43" s="4490"/>
      <c r="E43" s="2013">
        <f>E36-E42</f>
        <v>0</v>
      </c>
      <c r="F43" s="2019" t="str">
        <f>IF(ISERROR(E43/pr_1)," ",E43/pr_1)</f>
        <v xml:space="preserve"> </v>
      </c>
      <c r="G43" s="49"/>
      <c r="H43" s="2013">
        <f>H36-H42</f>
        <v>0</v>
      </c>
      <c r="I43" s="2019" t="str">
        <f>IF(ISERROR(H43/pr_2)," ",H43/pr_2)</f>
        <v xml:space="preserve"> </v>
      </c>
      <c r="J43" s="49"/>
      <c r="K43" s="2013">
        <f>K36-K42</f>
        <v>0</v>
      </c>
      <c r="L43" s="2019" t="str">
        <f>IF(ISERROR(K43/pr_3)," ",K43/pr_3)</f>
        <v xml:space="preserve"> </v>
      </c>
      <c r="M43" s="49"/>
      <c r="N43" s="2013">
        <f>N36-N42</f>
        <v>0</v>
      </c>
      <c r="O43" s="2019" t="str">
        <f>IF(ISERROR(N43/pr_4)," ",N43/pr_4)</f>
        <v xml:space="preserve"> </v>
      </c>
      <c r="P43" s="138"/>
    </row>
    <row r="44" spans="1:16" ht="16.5" hidden="1" customHeight="1" x14ac:dyDescent="0.3">
      <c r="A44" s="1280" t="s">
        <v>607</v>
      </c>
      <c r="B44" s="1953"/>
      <c r="C44" s="1954"/>
      <c r="E44" s="1965">
        <f>E42-E38</f>
        <v>0</v>
      </c>
      <c r="F44" s="2018"/>
      <c r="G44" s="51"/>
      <c r="H44" s="1965">
        <f>H42-H38</f>
        <v>0</v>
      </c>
      <c r="I44" s="2035"/>
      <c r="J44" s="51"/>
      <c r="K44" s="1965">
        <f>K42-K38</f>
        <v>0</v>
      </c>
      <c r="L44" s="2035"/>
      <c r="M44" s="51"/>
      <c r="N44" s="1965">
        <f>N42-N38</f>
        <v>0</v>
      </c>
      <c r="O44" s="2035"/>
      <c r="P44" s="752"/>
    </row>
    <row r="45" spans="1:16" ht="16.5" customHeight="1" x14ac:dyDescent="0.3">
      <c r="A45" s="1277"/>
      <c r="B45" s="1946" t="s">
        <v>44</v>
      </c>
      <c r="C45" s="2288" t="s">
        <v>722</v>
      </c>
      <c r="E45" s="1579"/>
      <c r="F45" s="2731" t="str">
        <f t="shared" ref="F45:F54" si="0">IF(ISERROR(E45/pr_1)," ",E45/pr_1)</f>
        <v xml:space="preserve"> </v>
      </c>
      <c r="G45" s="48"/>
      <c r="H45" s="1579"/>
      <c r="I45" s="2731" t="str">
        <f t="shared" ref="I45:I54" si="1">IF(ISERROR(H45/pr_2)," ",H45/pr_2)</f>
        <v xml:space="preserve"> </v>
      </c>
      <c r="J45" s="48"/>
      <c r="K45" s="1579"/>
      <c r="L45" s="2731" t="str">
        <f t="shared" ref="L45:L54" si="2">IF(ISERROR(K45/pr_3)," ",K45/pr_3)</f>
        <v xml:space="preserve"> </v>
      </c>
      <c r="M45" s="48"/>
      <c r="N45" s="1579"/>
      <c r="O45" s="2731" t="str">
        <f t="shared" ref="O45:O54" si="3">IF(ISERROR(N45/pr_4)," ",N45/pr_4)</f>
        <v xml:space="preserve"> </v>
      </c>
      <c r="P45" s="30"/>
    </row>
    <row r="46" spans="1:16" ht="20.100000000000001" customHeight="1" x14ac:dyDescent="0.3">
      <c r="A46" s="1280"/>
      <c r="B46" s="1933" t="s">
        <v>190</v>
      </c>
      <c r="C46" s="2289" t="s">
        <v>726</v>
      </c>
      <c r="E46" s="1563"/>
      <c r="F46" s="1626"/>
      <c r="H46" s="1563"/>
      <c r="I46" s="1626"/>
      <c r="K46" s="1563"/>
      <c r="L46" s="1626"/>
      <c r="N46" s="1563"/>
      <c r="O46" s="1626"/>
      <c r="P46" s="30"/>
    </row>
    <row r="47" spans="1:16" ht="20.100000000000001" customHeight="1" x14ac:dyDescent="0.3">
      <c r="A47" s="1280"/>
      <c r="B47" s="1933" t="s">
        <v>63</v>
      </c>
      <c r="C47" s="2289" t="s">
        <v>727</v>
      </c>
      <c r="E47" s="1563"/>
      <c r="F47" s="1626"/>
      <c r="H47" s="1563"/>
      <c r="I47" s="1626"/>
      <c r="K47" s="1563"/>
      <c r="L47" s="1626"/>
      <c r="N47" s="1563"/>
      <c r="O47" s="1626"/>
      <c r="P47" s="30"/>
    </row>
    <row r="48" spans="1:16" ht="20.100000000000001" customHeight="1" x14ac:dyDescent="0.3">
      <c r="A48" s="1280"/>
      <c r="B48" s="1934" t="s">
        <v>64</v>
      </c>
      <c r="C48" s="2290" t="s">
        <v>728</v>
      </c>
      <c r="E48" s="1566"/>
      <c r="F48" s="1949"/>
      <c r="H48" s="1566"/>
      <c r="I48" s="1949"/>
      <c r="K48" s="1566"/>
      <c r="L48" s="1949"/>
      <c r="N48" s="1566"/>
      <c r="O48" s="1949"/>
      <c r="P48" s="30"/>
    </row>
    <row r="49" spans="1:18" ht="20.100000000000001" customHeight="1" x14ac:dyDescent="0.3">
      <c r="A49" s="1281"/>
      <c r="B49" s="1974" t="s">
        <v>45</v>
      </c>
      <c r="C49" s="2294" t="s">
        <v>723</v>
      </c>
      <c r="E49" s="1595"/>
      <c r="F49" s="2042" t="str">
        <f t="shared" si="0"/>
        <v xml:space="preserve"> </v>
      </c>
      <c r="G49" s="50"/>
      <c r="H49" s="2730"/>
      <c r="I49" s="2042" t="str">
        <f t="shared" si="1"/>
        <v xml:space="preserve"> </v>
      </c>
      <c r="J49" s="50"/>
      <c r="K49" s="2730"/>
      <c r="L49" s="2042" t="str">
        <f t="shared" si="2"/>
        <v xml:space="preserve"> </v>
      </c>
      <c r="M49" s="50"/>
      <c r="N49" s="2730"/>
      <c r="O49" s="2042" t="str">
        <f t="shared" si="3"/>
        <v xml:space="preserve"> </v>
      </c>
      <c r="P49" s="30"/>
    </row>
    <row r="50" spans="1:18" ht="20.100000000000001" customHeight="1" x14ac:dyDescent="0.3">
      <c r="A50" s="1281"/>
      <c r="B50" s="1955" t="s">
        <v>59</v>
      </c>
      <c r="C50" s="2295" t="s">
        <v>724</v>
      </c>
      <c r="E50" s="1575"/>
      <c r="F50" s="2025"/>
      <c r="H50" s="1575"/>
      <c r="I50" s="2025"/>
      <c r="K50" s="1575"/>
      <c r="L50" s="2025"/>
      <c r="N50" s="1575"/>
      <c r="O50" s="2025"/>
      <c r="P50" s="30"/>
    </row>
    <row r="51" spans="1:18" ht="20.100000000000001" customHeight="1" x14ac:dyDescent="0.3">
      <c r="A51" s="1281"/>
      <c r="B51" s="1933" t="s">
        <v>46</v>
      </c>
      <c r="C51" s="2285" t="s">
        <v>725</v>
      </c>
      <c r="E51" s="1563"/>
      <c r="F51" s="1626"/>
      <c r="H51" s="1563"/>
      <c r="I51" s="1626"/>
      <c r="K51" s="1563"/>
      <c r="L51" s="1626"/>
      <c r="N51" s="1563"/>
      <c r="O51" s="1626"/>
      <c r="P51" s="30"/>
    </row>
    <row r="52" spans="1:18" s="11" customFormat="1" ht="15" customHeight="1" x14ac:dyDescent="0.25">
      <c r="A52" s="1475"/>
      <c r="B52" s="1956" t="s">
        <v>397</v>
      </c>
      <c r="C52" s="2296"/>
      <c r="E52" s="1966">
        <f>IF(ca_1=0,0,IF(ISBLANK(E51),0,E51/E50))</f>
        <v>0</v>
      </c>
      <c r="F52" s="2026"/>
      <c r="G52" s="48"/>
      <c r="H52" s="1966">
        <f>IF(ca_2=0,0,IF(ISBLANK(H51),0,H51/H50))</f>
        <v>0</v>
      </c>
      <c r="I52" s="2026"/>
      <c r="J52" s="48"/>
      <c r="K52" s="1966">
        <f>IF(ca_3=0,0,IF(ISBLANK(K51),0,K51/K50))</f>
        <v>0</v>
      </c>
      <c r="L52" s="2026"/>
      <c r="M52" s="48"/>
      <c r="N52" s="1966">
        <f>IF(ca_4=0,0,IF(ISBLANK(N51),0,N51/N50))</f>
        <v>0</v>
      </c>
      <c r="O52" s="2026"/>
      <c r="P52" s="5"/>
    </row>
    <row r="53" spans="1:18" ht="20.100000000000001" customHeight="1" x14ac:dyDescent="0.3">
      <c r="A53" s="1281" t="s">
        <v>608</v>
      </c>
      <c r="B53" s="1907" t="s">
        <v>58</v>
      </c>
      <c r="C53" s="2297"/>
      <c r="E53" s="1574">
        <f>E41</f>
        <v>0</v>
      </c>
      <c r="F53" s="1949"/>
      <c r="G53" s="1960"/>
      <c r="H53" s="1574">
        <f>H41</f>
        <v>0</v>
      </c>
      <c r="I53" s="1949"/>
      <c r="J53" s="1960"/>
      <c r="K53" s="1574">
        <f>K41</f>
        <v>0</v>
      </c>
      <c r="L53" s="1949"/>
      <c r="M53" s="1960"/>
      <c r="N53" s="1574">
        <f>N41</f>
        <v>0</v>
      </c>
      <c r="O53" s="1949"/>
      <c r="P53" s="30"/>
    </row>
    <row r="54" spans="1:18" ht="21.9" customHeight="1" x14ac:dyDescent="0.3">
      <c r="A54" s="1280"/>
      <c r="B54" s="4501" t="s">
        <v>169</v>
      </c>
      <c r="C54" s="4502"/>
      <c r="E54" s="1973">
        <f>E50+E51+E53</f>
        <v>0</v>
      </c>
      <c r="F54" s="2027" t="str">
        <f t="shared" si="0"/>
        <v xml:space="preserve"> </v>
      </c>
      <c r="G54" s="232"/>
      <c r="H54" s="1973">
        <f>H50+H51+H53</f>
        <v>0</v>
      </c>
      <c r="I54" s="2027" t="str">
        <f t="shared" si="1"/>
        <v xml:space="preserve"> </v>
      </c>
      <c r="J54" s="232"/>
      <c r="K54" s="1973">
        <f>K50+K51+K53</f>
        <v>0</v>
      </c>
      <c r="L54" s="2027" t="str">
        <f t="shared" si="2"/>
        <v xml:space="preserve"> </v>
      </c>
      <c r="N54" s="1973">
        <f>N50+N51+N53</f>
        <v>0</v>
      </c>
      <c r="O54" s="2027" t="str">
        <f t="shared" si="3"/>
        <v xml:space="preserve"> </v>
      </c>
      <c r="P54" s="312"/>
      <c r="Q54" s="312"/>
      <c r="R54" s="312"/>
    </row>
    <row r="55" spans="1:18" ht="20.100000000000001" customHeight="1" x14ac:dyDescent="0.3">
      <c r="A55" s="1280"/>
      <c r="B55" s="1955" t="s">
        <v>62</v>
      </c>
      <c r="C55" s="2298" t="s">
        <v>730</v>
      </c>
      <c r="E55" s="1575"/>
      <c r="F55" s="2025"/>
      <c r="H55" s="1575"/>
      <c r="I55" s="2025"/>
      <c r="K55" s="1575"/>
      <c r="L55" s="2025"/>
      <c r="N55" s="1575"/>
      <c r="O55" s="2025"/>
      <c r="P55" s="30"/>
    </row>
    <row r="56" spans="1:18" ht="20.100000000000001" customHeight="1" x14ac:dyDescent="0.3">
      <c r="A56" s="1280"/>
      <c r="B56" s="1906" t="s">
        <v>871</v>
      </c>
      <c r="C56" s="2285" t="s">
        <v>872</v>
      </c>
      <c r="E56" s="1571"/>
      <c r="F56" s="1626"/>
      <c r="H56" s="1571"/>
      <c r="I56" s="1626"/>
      <c r="K56" s="1571"/>
      <c r="L56" s="1626"/>
      <c r="N56" s="1571"/>
      <c r="O56" s="1626"/>
      <c r="P56" s="752"/>
    </row>
    <row r="57" spans="1:18" ht="20.100000000000001" customHeight="1" x14ac:dyDescent="0.3">
      <c r="A57" s="1280"/>
      <c r="B57" s="1934" t="s">
        <v>65</v>
      </c>
      <c r="C57" s="2286" t="s">
        <v>731</v>
      </c>
      <c r="E57" s="1566"/>
      <c r="F57" s="1949"/>
      <c r="H57" s="1566"/>
      <c r="I57" s="1949"/>
      <c r="K57" s="1566"/>
      <c r="L57" s="1949"/>
      <c r="N57" s="1566"/>
      <c r="O57" s="1949"/>
      <c r="P57" s="30"/>
    </row>
    <row r="58" spans="1:18" s="310" customFormat="1" ht="21.9" customHeight="1" x14ac:dyDescent="0.3">
      <c r="A58" s="1280"/>
      <c r="B58" s="4489" t="s">
        <v>43</v>
      </c>
      <c r="C58" s="4490"/>
      <c r="E58" s="1565">
        <f>E43+E45-E49-E54+E46+E47+E48-E55+E56-E57</f>
        <v>0</v>
      </c>
      <c r="F58" s="1612" t="str">
        <f>IF(ISERROR(E58/pr_1)," ",E58/pr_1)</f>
        <v xml:space="preserve"> </v>
      </c>
      <c r="G58" s="49"/>
      <c r="H58" s="1565">
        <f>H43+H45-H49-H54+H46+H47+H48-H55+H56-H57</f>
        <v>0</v>
      </c>
      <c r="I58" s="1612" t="str">
        <f>IF(ISERROR(H58/pr_2)," ",H58/pr_2)</f>
        <v xml:space="preserve"> </v>
      </c>
      <c r="J58" s="49"/>
      <c r="K58" s="1565">
        <f>K43+K45-K49-K54+K46+K47+K48-K55+K56-K57</f>
        <v>0</v>
      </c>
      <c r="L58" s="1612" t="str">
        <f>IF(ISERROR(K58/pr_3)," ",K58/pr_3)</f>
        <v xml:space="preserve"> </v>
      </c>
      <c r="M58" s="49"/>
      <c r="N58" s="1565">
        <f>N43+N45-N49-N54+N46+N47+N48-N55+N56-N57</f>
        <v>0</v>
      </c>
      <c r="O58" s="1612" t="str">
        <f>IF(ISERROR(N58/pr_4)," ",N58/pr_4)</f>
        <v xml:space="preserve"> </v>
      </c>
      <c r="P58" s="138"/>
    </row>
    <row r="59" spans="1:18" ht="20.100000000000001" customHeight="1" x14ac:dyDescent="0.3">
      <c r="A59" s="1476"/>
      <c r="B59" s="1955" t="s">
        <v>60</v>
      </c>
      <c r="C59" s="2295" t="s">
        <v>729</v>
      </c>
      <c r="E59" s="1575"/>
      <c r="F59" s="2025"/>
      <c r="G59" s="1961"/>
      <c r="H59" s="1575"/>
      <c r="I59" s="2025"/>
      <c r="J59" s="1961"/>
      <c r="K59" s="1575"/>
      <c r="L59" s="2025"/>
      <c r="M59" s="1961"/>
      <c r="N59" s="1575"/>
      <c r="O59" s="2025"/>
      <c r="P59" s="30"/>
    </row>
    <row r="60" spans="1:18" ht="20.100000000000001" customHeight="1" x14ac:dyDescent="0.3">
      <c r="A60" s="1277"/>
      <c r="B60" s="1904" t="s">
        <v>71</v>
      </c>
      <c r="C60" s="2285"/>
      <c r="E60" s="1578">
        <f>ROUND((hp_1*E113)+(hq_1*E119),0)</f>
        <v>0</v>
      </c>
      <c r="F60" s="1626"/>
      <c r="G60" s="48"/>
      <c r="H60" s="1578">
        <f>ROUND((hp_2*H113)+(hq_2*H119),0)</f>
        <v>0</v>
      </c>
      <c r="I60" s="1626"/>
      <c r="J60" s="48"/>
      <c r="K60" s="1578">
        <f>ROUND((hp_3*K113)+(hq_3*K119),0)</f>
        <v>0</v>
      </c>
      <c r="L60" s="1626"/>
      <c r="M60" s="48"/>
      <c r="N60" s="1578">
        <f>ROUND((hp_4*N113)+(hq_4*N119),0)</f>
        <v>0</v>
      </c>
      <c r="O60" s="1626"/>
      <c r="P60" s="30"/>
    </row>
    <row r="61" spans="1:18" ht="20.100000000000001" customHeight="1" x14ac:dyDescent="0.3">
      <c r="A61" s="1277"/>
      <c r="B61" s="1905" t="s">
        <v>873</v>
      </c>
      <c r="C61" s="2286"/>
      <c r="E61" s="1578">
        <f>E56</f>
        <v>0</v>
      </c>
      <c r="F61" s="1626"/>
      <c r="G61" s="48"/>
      <c r="H61" s="1578">
        <f>H56</f>
        <v>0</v>
      </c>
      <c r="I61" s="1626"/>
      <c r="J61" s="48"/>
      <c r="K61" s="1578">
        <f>K56</f>
        <v>0</v>
      </c>
      <c r="L61" s="1626"/>
      <c r="M61" s="48"/>
      <c r="N61" s="1578">
        <f>N56</f>
        <v>0</v>
      </c>
      <c r="O61" s="1626"/>
      <c r="P61" s="752"/>
    </row>
    <row r="62" spans="1:18" s="310" customFormat="1" ht="21.9" customHeight="1" x14ac:dyDescent="0.3">
      <c r="A62" s="1280"/>
      <c r="B62" s="4489" t="s">
        <v>38</v>
      </c>
      <c r="C62" s="4490"/>
      <c r="E62" s="1565">
        <f>E58-E59-E60-E61</f>
        <v>0</v>
      </c>
      <c r="F62" s="1612" t="str">
        <f>IF(ISERROR(E62/pr_1)," ",E62/pr_1)</f>
        <v xml:space="preserve"> </v>
      </c>
      <c r="G62" s="49"/>
      <c r="H62" s="1565">
        <f>H58-H59-H60-H61</f>
        <v>0</v>
      </c>
      <c r="I62" s="1612" t="str">
        <f>IF(ISERROR(H62/pr_2)," ",H62/pr_2)</f>
        <v xml:space="preserve"> </v>
      </c>
      <c r="J62" s="49"/>
      <c r="K62" s="1565">
        <f>K58-K59-K60-K61</f>
        <v>0</v>
      </c>
      <c r="L62" s="1612" t="str">
        <f>IF(ISERROR(K62/pr_3)," ",K62/pr_3)</f>
        <v xml:space="preserve"> </v>
      </c>
      <c r="M62" s="49"/>
      <c r="N62" s="1565">
        <f>N58-N59-N60-N61</f>
        <v>0</v>
      </c>
      <c r="O62" s="1612" t="str">
        <f>IF(ISERROR(N62/pr_4)," ",N62/pr_4)</f>
        <v xml:space="preserve"> </v>
      </c>
      <c r="P62" s="286"/>
    </row>
    <row r="63" spans="1:18" ht="18.75" hidden="1" customHeight="1" x14ac:dyDescent="0.3">
      <c r="A63" s="1280" t="s">
        <v>607</v>
      </c>
      <c r="B63" s="1953"/>
      <c r="C63" s="1954"/>
      <c r="E63" s="1967">
        <f>-E46-E47-E48+E49+E54-E53+E55+E57+E59+E60</f>
        <v>0</v>
      </c>
      <c r="F63" s="2732"/>
      <c r="G63" s="1051"/>
      <c r="H63" s="1967">
        <f>-H46-H47-H48+H49+H54-H53+H55+H57+H59+H60</f>
        <v>0</v>
      </c>
      <c r="I63" s="2040"/>
      <c r="J63" s="1051"/>
      <c r="K63" s="1967">
        <f>-K46-K47-K48+K49+K54-K53+K55+K57+K59+K60</f>
        <v>0</v>
      </c>
      <c r="L63" s="2040"/>
      <c r="M63" s="1051"/>
      <c r="N63" s="1967">
        <f>-N46-N47-N48+N49+N54-N53+N55+N57+N59+N60</f>
        <v>0</v>
      </c>
      <c r="O63" s="2040"/>
      <c r="P63" s="209"/>
    </row>
    <row r="64" spans="1:18" ht="20.100000000000001" customHeight="1" x14ac:dyDescent="0.3">
      <c r="A64" s="1277"/>
      <c r="B64" s="1946" t="s">
        <v>66</v>
      </c>
      <c r="C64" s="2288" t="s">
        <v>732</v>
      </c>
      <c r="E64" s="1579"/>
      <c r="F64" s="1948"/>
      <c r="G64" s="48"/>
      <c r="H64" s="1579"/>
      <c r="I64" s="1948"/>
      <c r="J64" s="48"/>
      <c r="K64" s="1579"/>
      <c r="L64" s="1948"/>
      <c r="M64" s="48"/>
      <c r="N64" s="1579"/>
      <c r="O64" s="2731"/>
      <c r="P64" s="30"/>
    </row>
    <row r="65" spans="1:25" ht="20.100000000000001" customHeight="1" x14ac:dyDescent="0.3">
      <c r="A65" s="1477"/>
      <c r="B65" s="1933" t="s">
        <v>191</v>
      </c>
      <c r="C65" s="2285" t="s">
        <v>733</v>
      </c>
      <c r="E65" s="1563"/>
      <c r="F65" s="1626"/>
      <c r="G65" s="50"/>
      <c r="H65" s="2136"/>
      <c r="I65" s="1626"/>
      <c r="J65" s="50"/>
      <c r="K65" s="2136"/>
      <c r="L65" s="1626"/>
      <c r="M65" s="50"/>
      <c r="N65" s="2136"/>
      <c r="O65" s="2041"/>
      <c r="P65" s="30"/>
    </row>
    <row r="66" spans="1:25" ht="20.100000000000001" customHeight="1" x14ac:dyDescent="0.3">
      <c r="A66" s="1280"/>
      <c r="B66" s="1933" t="s">
        <v>67</v>
      </c>
      <c r="C66" s="2285" t="s">
        <v>734</v>
      </c>
      <c r="E66" s="1563"/>
      <c r="F66" s="1626"/>
      <c r="H66" s="1563"/>
      <c r="I66" s="1626"/>
      <c r="K66" s="1563"/>
      <c r="L66" s="1626"/>
      <c r="N66" s="1563"/>
      <c r="O66" s="2041"/>
      <c r="P66" s="30"/>
    </row>
    <row r="67" spans="1:25" ht="20.100000000000001" customHeight="1" x14ac:dyDescent="0.3">
      <c r="A67" s="1280"/>
      <c r="B67" s="1933" t="s">
        <v>69</v>
      </c>
      <c r="C67" s="2289" t="s">
        <v>735</v>
      </c>
      <c r="E67" s="1563"/>
      <c r="F67" s="1626"/>
      <c r="H67" s="1563"/>
      <c r="I67" s="1626"/>
      <c r="K67" s="1563"/>
      <c r="L67" s="1626"/>
      <c r="N67" s="1563"/>
      <c r="O67" s="1626"/>
      <c r="P67" s="30"/>
    </row>
    <row r="68" spans="1:25" ht="20.100000000000001" customHeight="1" x14ac:dyDescent="0.3">
      <c r="A68" s="1280"/>
      <c r="B68" s="1933" t="s">
        <v>63</v>
      </c>
      <c r="C68" s="2289" t="s">
        <v>868</v>
      </c>
      <c r="E68" s="1563"/>
      <c r="F68" s="1626"/>
      <c r="H68" s="1563"/>
      <c r="I68" s="1626"/>
      <c r="K68" s="1563"/>
      <c r="L68" s="1626"/>
      <c r="N68" s="1563"/>
      <c r="O68" s="2041"/>
      <c r="P68" s="30"/>
    </row>
    <row r="69" spans="1:25" ht="20.100000000000001" customHeight="1" x14ac:dyDescent="0.3">
      <c r="A69" s="1280"/>
      <c r="B69" s="1934" t="s">
        <v>362</v>
      </c>
      <c r="C69" s="2290" t="s">
        <v>736</v>
      </c>
      <c r="E69" s="1566"/>
      <c r="F69" s="1949"/>
      <c r="H69" s="1566"/>
      <c r="I69" s="1949"/>
      <c r="K69" s="1566"/>
      <c r="L69" s="1949"/>
      <c r="N69" s="1566"/>
      <c r="O69" s="2022"/>
      <c r="P69" s="30"/>
    </row>
    <row r="70" spans="1:25" ht="20.100000000000001" customHeight="1" x14ac:dyDescent="0.3">
      <c r="A70" s="1280"/>
      <c r="B70" s="1974" t="s">
        <v>68</v>
      </c>
      <c r="C70" s="2299" t="s">
        <v>737</v>
      </c>
      <c r="E70" s="1595"/>
      <c r="F70" s="2028"/>
      <c r="H70" s="1595"/>
      <c r="I70" s="2028"/>
      <c r="K70" s="1595"/>
      <c r="L70" s="2028"/>
      <c r="N70" s="1595"/>
      <c r="O70" s="2042"/>
      <c r="P70" s="30"/>
    </row>
    <row r="71" spans="1:25" ht="20.100000000000001" customHeight="1" x14ac:dyDescent="0.3">
      <c r="A71" s="1280"/>
      <c r="B71" s="1933" t="s">
        <v>70</v>
      </c>
      <c r="C71" s="2285" t="s">
        <v>738</v>
      </c>
      <c r="E71" s="1563"/>
      <c r="F71" s="1626"/>
      <c r="H71" s="1563"/>
      <c r="I71" s="1626"/>
      <c r="K71" s="1563"/>
      <c r="L71" s="1626"/>
      <c r="N71" s="1563"/>
      <c r="O71" s="2041"/>
      <c r="P71" s="30"/>
    </row>
    <row r="72" spans="1:25" ht="20.100000000000001" customHeight="1" x14ac:dyDescent="0.3">
      <c r="A72" s="1280"/>
      <c r="B72" s="1957" t="s">
        <v>71</v>
      </c>
      <c r="C72" s="2290"/>
      <c r="E72" s="1574">
        <f>E39+E40-E60</f>
        <v>0</v>
      </c>
      <c r="F72" s="1949"/>
      <c r="H72" s="1574">
        <f>H39+H40-H60</f>
        <v>0</v>
      </c>
      <c r="I72" s="1949"/>
      <c r="K72" s="1574">
        <f>K39+K40-K60</f>
        <v>0</v>
      </c>
      <c r="L72" s="1949"/>
      <c r="N72" s="1574">
        <f>N39+N40-N60</f>
        <v>0</v>
      </c>
      <c r="O72" s="2022"/>
      <c r="P72" s="258"/>
    </row>
    <row r="73" spans="1:25" s="58" customFormat="1" ht="20.100000000000001" customHeight="1" x14ac:dyDescent="0.25">
      <c r="A73" s="1282"/>
      <c r="B73" s="4495" t="s">
        <v>361</v>
      </c>
      <c r="C73" s="4496"/>
      <c r="E73" s="1975">
        <f>E71+E72-E66-E69</f>
        <v>0</v>
      </c>
      <c r="F73" s="2029" t="str">
        <f>IF(ISERROR(E73/pr_1)," ",E73/pr_1)</f>
        <v xml:space="preserve"> </v>
      </c>
      <c r="H73" s="1975">
        <f>H71+H72-H66-H69</f>
        <v>0</v>
      </c>
      <c r="I73" s="2029" t="str">
        <f>IF(ISERROR(H73/pr_2)," ",H73/pr_2)</f>
        <v xml:space="preserve"> </v>
      </c>
      <c r="J73" s="66"/>
      <c r="K73" s="1975">
        <f>K71+K72-K66-K69</f>
        <v>0</v>
      </c>
      <c r="L73" s="2029" t="str">
        <f>IF(ISERROR(K73/pr_3)," ",K73/pr_3)</f>
        <v xml:space="preserve"> </v>
      </c>
      <c r="M73" s="66"/>
      <c r="N73" s="1975">
        <f>N71+N72-N66-N69</f>
        <v>0</v>
      </c>
      <c r="O73" s="2029" t="str">
        <f>IF(ISERROR(N73/pr_4)," ",N73/pr_4)</f>
        <v xml:space="preserve"> </v>
      </c>
    </row>
    <row r="74" spans="1:25" ht="20.100000000000001" customHeight="1" x14ac:dyDescent="0.3">
      <c r="A74" s="1280"/>
      <c r="B74" s="1934" t="s">
        <v>367</v>
      </c>
      <c r="C74" s="2290" t="s">
        <v>739</v>
      </c>
      <c r="E74" s="1566"/>
      <c r="F74" s="1949"/>
      <c r="H74" s="1566"/>
      <c r="I74" s="1949"/>
      <c r="K74" s="1566"/>
      <c r="L74" s="1949"/>
      <c r="N74" s="1566"/>
      <c r="O74" s="2022"/>
      <c r="P74" s="30"/>
      <c r="Q74" s="258"/>
      <c r="R74" s="258"/>
    </row>
    <row r="75" spans="1:25" ht="21.9" customHeight="1" x14ac:dyDescent="0.3">
      <c r="A75" s="1280"/>
      <c r="B75" s="1908" t="s">
        <v>384</v>
      </c>
      <c r="C75" s="2300"/>
      <c r="E75" s="1581">
        <f>E64+E65+E66+E67+E68+E69-E70-E71-E72-E74</f>
        <v>0</v>
      </c>
      <c r="F75" s="1628" t="str">
        <f>IF(ISERROR(E75/pr_1)," ",E75/pr_1)</f>
        <v xml:space="preserve"> </v>
      </c>
      <c r="H75" s="1581">
        <f>H64+H65+H66+H67+H68+H69-H70-H71-H72-H74</f>
        <v>0</v>
      </c>
      <c r="I75" s="1628" t="str">
        <f>IF(ISERROR(H75/pr_2)," ",H75/pr_2)</f>
        <v xml:space="preserve"> </v>
      </c>
      <c r="K75" s="1581">
        <f>K64+K65+K66+K67+K68+K69-K70-K71-K72-K74</f>
        <v>0</v>
      </c>
      <c r="L75" s="1628" t="str">
        <f>IF(ISERROR(K75/pr_3)," ",K75/pr_3)</f>
        <v xml:space="preserve"> </v>
      </c>
      <c r="N75" s="1581">
        <f>N64+N65+N66+N67+N68+N69-N70-N71-N72-N74</f>
        <v>0</v>
      </c>
      <c r="O75" s="1628" t="str">
        <f>IF(ISERROR(N75/pr_4)," ",N75/pr_4)</f>
        <v xml:space="preserve"> </v>
      </c>
      <c r="P75" s="30"/>
      <c r="Q75" s="258"/>
      <c r="R75" s="258"/>
    </row>
    <row r="76" spans="1:25" ht="21.9" hidden="1" customHeight="1" x14ac:dyDescent="0.3">
      <c r="A76" s="1280" t="s">
        <v>607</v>
      </c>
      <c r="B76" s="1953"/>
      <c r="C76" s="2301"/>
      <c r="E76" s="1582">
        <f>E75/-1</f>
        <v>0</v>
      </c>
      <c r="F76" s="2030"/>
      <c r="G76" s="1962"/>
      <c r="H76" s="1582">
        <f>H75/-1</f>
        <v>0</v>
      </c>
      <c r="I76" s="2039"/>
      <c r="J76" s="1962"/>
      <c r="K76" s="1582">
        <f>K75/-1</f>
        <v>0</v>
      </c>
      <c r="L76" s="2039"/>
      <c r="M76" s="1962"/>
      <c r="N76" s="1582">
        <f>N75/-1</f>
        <v>0</v>
      </c>
      <c r="O76" s="2039"/>
      <c r="P76" s="752"/>
    </row>
    <row r="77" spans="1:25" s="310" customFormat="1" ht="21.9" customHeight="1" x14ac:dyDescent="0.3">
      <c r="A77" s="1280"/>
      <c r="B77" s="2733" t="s">
        <v>42</v>
      </c>
      <c r="C77" s="2734" t="s">
        <v>740</v>
      </c>
      <c r="E77" s="1568">
        <f>re_1+E75</f>
        <v>0</v>
      </c>
      <c r="F77" s="1614" t="str">
        <f>IF(ISERROR(E77/pr_1)," ",E77/pr_1)</f>
        <v xml:space="preserve"> </v>
      </c>
      <c r="G77" s="49"/>
      <c r="H77" s="1568">
        <f>re_2+H75</f>
        <v>0</v>
      </c>
      <c r="I77" s="1614" t="str">
        <f>IF(ISERROR(H77/pr_2)," ",H77/pr_2)</f>
        <v xml:space="preserve"> </v>
      </c>
      <c r="J77" s="49"/>
      <c r="K77" s="1568">
        <f>re_3+K75</f>
        <v>0</v>
      </c>
      <c r="L77" s="1614" t="str">
        <f>IF(ISERROR(K77/pr_3)," ",K77/pr_3)</f>
        <v xml:space="preserve"> </v>
      </c>
      <c r="M77" s="49"/>
      <c r="N77" s="1568">
        <f>re_4+N75</f>
        <v>0</v>
      </c>
      <c r="O77" s="1614" t="str">
        <f>IF(ISERROR(N77/pr_4)," ",N77/pr_4)</f>
        <v xml:space="preserve"> </v>
      </c>
      <c r="P77" s="138"/>
      <c r="Q77" s="1"/>
      <c r="R77" s="1"/>
      <c r="S77" s="1"/>
      <c r="T77" s="1"/>
      <c r="U77" s="1"/>
      <c r="V77" s="1"/>
      <c r="W77" s="1"/>
      <c r="Y77" s="1"/>
    </row>
    <row r="78" spans="1:25" ht="20.100000000000001" customHeight="1" x14ac:dyDescent="0.3">
      <c r="A78" s="1280"/>
      <c r="B78" s="1934" t="s">
        <v>363</v>
      </c>
      <c r="C78" s="2290" t="s">
        <v>865</v>
      </c>
      <c r="E78" s="1566"/>
      <c r="F78" s="1949"/>
      <c r="H78" s="1566"/>
      <c r="I78" s="1949"/>
      <c r="K78" s="1566"/>
      <c r="L78" s="1949"/>
      <c r="N78" s="1566"/>
      <c r="O78" s="1949"/>
      <c r="P78" s="30"/>
    </row>
    <row r="79" spans="1:25" ht="20.100000000000001" customHeight="1" x14ac:dyDescent="0.3">
      <c r="A79" s="1280"/>
      <c r="B79" s="1933" t="s">
        <v>364</v>
      </c>
      <c r="C79" s="2285" t="s">
        <v>866</v>
      </c>
      <c r="E79" s="1563"/>
      <c r="F79" s="1626"/>
      <c r="H79" s="1563"/>
      <c r="I79" s="1626"/>
      <c r="K79" s="1563"/>
      <c r="L79" s="1626"/>
      <c r="N79" s="1563"/>
      <c r="O79" s="1626"/>
      <c r="P79" s="30"/>
    </row>
    <row r="80" spans="1:25" ht="20.100000000000001" customHeight="1" x14ac:dyDescent="0.3">
      <c r="A80" s="1280"/>
      <c r="B80" s="1933" t="s">
        <v>72</v>
      </c>
      <c r="C80" s="2289" t="s">
        <v>864</v>
      </c>
      <c r="E80" s="1563">
        <v>0</v>
      </c>
      <c r="F80" s="1626"/>
      <c r="H80" s="1563"/>
      <c r="I80" s="1626"/>
      <c r="K80" s="1563"/>
      <c r="L80" s="1626"/>
      <c r="N80" s="1563"/>
      <c r="O80" s="1626"/>
      <c r="P80" s="30"/>
    </row>
    <row r="81" spans="1:25" ht="20.100000000000001" customHeight="1" x14ac:dyDescent="0.3">
      <c r="A81" s="1280"/>
      <c r="B81" s="1958" t="s">
        <v>869</v>
      </c>
      <c r="C81" s="2289" t="s">
        <v>863</v>
      </c>
      <c r="E81" s="1968"/>
      <c r="F81" s="1626"/>
      <c r="H81" s="1968"/>
      <c r="I81" s="1626"/>
      <c r="K81" s="1968"/>
      <c r="L81" s="1626"/>
      <c r="N81" s="1968"/>
      <c r="O81" s="1626"/>
      <c r="P81" s="30"/>
    </row>
    <row r="82" spans="1:25" ht="20.100000000000001" customHeight="1" x14ac:dyDescent="0.3">
      <c r="A82" s="1280"/>
      <c r="B82" s="1934" t="s">
        <v>63</v>
      </c>
      <c r="C82" s="2293" t="s">
        <v>867</v>
      </c>
      <c r="E82" s="1566">
        <f>0-0</f>
        <v>0</v>
      </c>
      <c r="F82" s="1949"/>
      <c r="H82" s="1566"/>
      <c r="I82" s="1949"/>
      <c r="K82" s="1566"/>
      <c r="L82" s="1949"/>
      <c r="N82" s="1566"/>
      <c r="O82" s="1949"/>
      <c r="P82" s="30"/>
    </row>
    <row r="83" spans="1:25" ht="20.100000000000001" customHeight="1" x14ac:dyDescent="0.3">
      <c r="A83" s="1280"/>
      <c r="B83" s="1976" t="s">
        <v>365</v>
      </c>
      <c r="C83" s="2294" t="s">
        <v>741</v>
      </c>
      <c r="E83" s="1595"/>
      <c r="F83" s="2028"/>
      <c r="H83" s="1595"/>
      <c r="I83" s="2028"/>
      <c r="K83" s="1595"/>
      <c r="L83" s="2028"/>
      <c r="N83" s="1595"/>
      <c r="O83" s="2028"/>
      <c r="P83" s="30"/>
    </row>
    <row r="84" spans="1:25" ht="20.100000000000001" customHeight="1" x14ac:dyDescent="0.3">
      <c r="A84" s="1280"/>
      <c r="B84" s="1933" t="s">
        <v>366</v>
      </c>
      <c r="C84" s="2285" t="s">
        <v>742</v>
      </c>
      <c r="E84" s="1563"/>
      <c r="F84" s="1626"/>
      <c r="H84" s="1563"/>
      <c r="I84" s="1626"/>
      <c r="K84" s="1563"/>
      <c r="L84" s="1626"/>
      <c r="N84" s="1563"/>
      <c r="O84" s="1626"/>
      <c r="P84" s="209"/>
    </row>
    <row r="85" spans="1:25" ht="20.100000000000001" customHeight="1" x14ac:dyDescent="0.3">
      <c r="A85" s="1280"/>
      <c r="B85" s="1933" t="s">
        <v>73</v>
      </c>
      <c r="C85" s="2289" t="s">
        <v>743</v>
      </c>
      <c r="E85" s="1563">
        <v>0</v>
      </c>
      <c r="F85" s="1626"/>
      <c r="H85" s="1563"/>
      <c r="I85" s="1626"/>
      <c r="K85" s="1563"/>
      <c r="L85" s="1626"/>
      <c r="N85" s="1563"/>
      <c r="O85" s="1626"/>
      <c r="P85" s="30"/>
    </row>
    <row r="86" spans="1:25" ht="20.100000000000001" customHeight="1" x14ac:dyDescent="0.3">
      <c r="A86" s="1280"/>
      <c r="B86" s="1959" t="s">
        <v>870</v>
      </c>
      <c r="C86" s="2293" t="s">
        <v>744</v>
      </c>
      <c r="E86" s="1969"/>
      <c r="F86" s="1949"/>
      <c r="H86" s="1969"/>
      <c r="I86" s="1949"/>
      <c r="K86" s="1969"/>
      <c r="L86" s="1949"/>
      <c r="N86" s="1969"/>
      <c r="O86" s="1949"/>
      <c r="P86" s="30"/>
    </row>
    <row r="87" spans="1:25" s="310" customFormat="1" ht="20.100000000000001" customHeight="1" x14ac:dyDescent="0.3">
      <c r="A87" s="1280"/>
      <c r="B87" s="1977" t="s">
        <v>385</v>
      </c>
      <c r="C87" s="2302" t="s">
        <v>745</v>
      </c>
      <c r="E87" s="1978">
        <f>SUM(E78:E82)-E81-SUM(E83:E85)</f>
        <v>0</v>
      </c>
      <c r="F87" s="2031"/>
      <c r="G87" s="49"/>
      <c r="H87" s="1978">
        <f>SUM(H78:H82)-H81-SUM(H83:H85)</f>
        <v>0</v>
      </c>
      <c r="I87" s="2031"/>
      <c r="J87" s="49"/>
      <c r="K87" s="1978">
        <f>SUM(K78:K82)-K81-SUM(K83:K85)</f>
        <v>0</v>
      </c>
      <c r="L87" s="2031"/>
      <c r="M87" s="49"/>
      <c r="N87" s="1978">
        <f>SUM(N78:N82)-N81-SUM(N83:N85)</f>
        <v>0</v>
      </c>
      <c r="O87" s="2031"/>
      <c r="P87" s="138"/>
      <c r="Q87" s="1"/>
      <c r="R87" s="1"/>
      <c r="S87" s="1"/>
      <c r="T87" s="1"/>
      <c r="U87" s="1"/>
      <c r="V87" s="1"/>
      <c r="W87" s="1"/>
      <c r="Y87" s="1"/>
    </row>
    <row r="88" spans="1:25" ht="20.100000000000001" customHeight="1" x14ac:dyDescent="0.3">
      <c r="A88" s="1280"/>
      <c r="B88" s="1934" t="s">
        <v>74</v>
      </c>
      <c r="C88" s="2290" t="s">
        <v>746</v>
      </c>
      <c r="E88" s="1566"/>
      <c r="F88" s="1949"/>
      <c r="H88" s="1566"/>
      <c r="I88" s="1949"/>
      <c r="K88" s="1566"/>
      <c r="L88" s="1949"/>
      <c r="N88" s="1566"/>
      <c r="O88" s="1949"/>
      <c r="P88" s="30"/>
    </row>
    <row r="89" spans="1:25" ht="20.100000000000001" customHeight="1" x14ac:dyDescent="0.3">
      <c r="A89" s="1280"/>
      <c r="B89" s="1979" t="s">
        <v>75</v>
      </c>
      <c r="C89" s="2303" t="s">
        <v>747</v>
      </c>
      <c r="E89" s="1564"/>
      <c r="F89" s="2032"/>
      <c r="H89" s="1564"/>
      <c r="I89" s="2032"/>
      <c r="K89" s="1564"/>
      <c r="L89" s="2032"/>
      <c r="N89" s="1564"/>
      <c r="O89" s="2032"/>
      <c r="P89" s="30"/>
    </row>
    <row r="90" spans="1:25" s="310" customFormat="1" ht="21.9" customHeight="1" x14ac:dyDescent="0.3">
      <c r="A90" s="1280"/>
      <c r="B90" s="1980" t="s">
        <v>35</v>
      </c>
      <c r="C90" s="2304" t="s">
        <v>748</v>
      </c>
      <c r="E90" s="1584">
        <f>rc_1+E87-E88-E89</f>
        <v>0</v>
      </c>
      <c r="F90" s="1605" t="str">
        <f>IF(ISERROR(E90/pr_1)," ",E90/pr_1)</f>
        <v xml:space="preserve"> </v>
      </c>
      <c r="G90" s="49"/>
      <c r="H90" s="1584">
        <f>rc_2+H87-H88-H89</f>
        <v>0</v>
      </c>
      <c r="I90" s="1605" t="str">
        <f>IF(ISERROR(H90/pr_2)," ",H90/pr_2)</f>
        <v xml:space="preserve"> </v>
      </c>
      <c r="J90" s="49"/>
      <c r="K90" s="1584">
        <f>rc_3+K87-K88-K89</f>
        <v>0</v>
      </c>
      <c r="L90" s="1605" t="str">
        <f>IF(ISERROR(K90/pr_3)," ",K90/pr_3)</f>
        <v xml:space="preserve"> </v>
      </c>
      <c r="M90" s="49"/>
      <c r="N90" s="1584">
        <f>rc_4+N87-N88-N89</f>
        <v>0</v>
      </c>
      <c r="O90" s="1605" t="str">
        <f>IF(ISERROR(N90/pr_4)," ",N90/pr_4)</f>
        <v xml:space="preserve"> </v>
      </c>
      <c r="P90" s="138"/>
      <c r="Q90" s="1"/>
      <c r="R90" s="1"/>
      <c r="S90" s="1"/>
      <c r="T90" s="1"/>
      <c r="U90" s="1"/>
      <c r="V90" s="1"/>
      <c r="W90" s="1"/>
      <c r="Y90" s="1"/>
    </row>
    <row r="91" spans="1:25" s="310" customFormat="1" ht="21.9" customHeight="1" x14ac:dyDescent="0.3">
      <c r="A91" s="1478"/>
      <c r="B91" s="4487" t="s">
        <v>39</v>
      </c>
      <c r="C91" s="4488"/>
      <c r="E91" s="1970">
        <f>r_1+E85+E84-E80-E79+E70-E67-E46+E55+E59</f>
        <v>0</v>
      </c>
      <c r="F91" s="2033" t="str">
        <f>IF(ISERROR(E91/pr_1)," ",E91/pr_1)</f>
        <v xml:space="preserve"> </v>
      </c>
      <c r="G91" s="1963"/>
      <c r="H91" s="1970">
        <f>r_2+H85+H84-H80-H79+H70-H67-H46+H55+H59</f>
        <v>0</v>
      </c>
      <c r="I91" s="2033" t="str">
        <f>IF(ISERROR(H91/pr_2)," ",H91/pr_2)</f>
        <v xml:space="preserve"> </v>
      </c>
      <c r="J91" s="1963"/>
      <c r="K91" s="1970">
        <f>r_3+K85+K84-K80-K79+K70-K67-K46+K55+K59</f>
        <v>0</v>
      </c>
      <c r="L91" s="2033" t="str">
        <f>IF(ISERROR(K91/pr_3)," ",K91/pr_3)</f>
        <v xml:space="preserve"> </v>
      </c>
      <c r="M91" s="1963"/>
      <c r="N91" s="1970">
        <f>r_4+N85+N84-N80-N79+N70-N67-N46+N55+N59</f>
        <v>0</v>
      </c>
      <c r="O91" s="2033" t="str">
        <f>IF(ISERROR(N91/pr_4)," ",N91/pr_4)</f>
        <v xml:space="preserve"> </v>
      </c>
      <c r="P91" s="720"/>
      <c r="Q91" s="1"/>
      <c r="R91" s="1"/>
      <c r="S91" s="1"/>
      <c r="T91" s="1"/>
      <c r="U91" s="1"/>
      <c r="V91" s="1"/>
      <c r="W91" s="1"/>
      <c r="Y91" s="1"/>
    </row>
    <row r="92" spans="1:25" s="310" customFormat="1" ht="21.9" customHeight="1" x14ac:dyDescent="0.3">
      <c r="A92" s="521"/>
      <c r="B92" s="4491" t="s">
        <v>679</v>
      </c>
      <c r="C92" s="4492"/>
      <c r="D92" s="59"/>
      <c r="E92" s="1971">
        <f>E91+E60</f>
        <v>0</v>
      </c>
      <c r="F92" s="2034" t="str">
        <f>IF(ISERROR(E92/pr_1)," ",E92/pr_1)</f>
        <v xml:space="preserve"> </v>
      </c>
      <c r="G92" s="59"/>
      <c r="H92" s="1971">
        <f>H91+H60</f>
        <v>0</v>
      </c>
      <c r="I92" s="2034" t="str">
        <f>IF(ISERROR(H92/pr_2)," ",H92/pr_2)</f>
        <v xml:space="preserve"> </v>
      </c>
      <c r="J92" s="59"/>
      <c r="K92" s="1971">
        <f>K91+K60</f>
        <v>0</v>
      </c>
      <c r="L92" s="2034" t="str">
        <f>IF(ISERROR(K92/pr_3)," ",K92/pr_3)</f>
        <v xml:space="preserve"> </v>
      </c>
      <c r="M92" s="59"/>
      <c r="N92" s="1971">
        <f>N91+N60</f>
        <v>0</v>
      </c>
      <c r="O92" s="2034" t="str">
        <f>IF(ISERROR(N92/pr_4)," ",N92/pr_4)</f>
        <v xml:space="preserve"> </v>
      </c>
      <c r="P92" s="286"/>
      <c r="Q92" s="1"/>
      <c r="R92" s="1"/>
      <c r="S92" s="1"/>
      <c r="T92" s="1"/>
      <c r="U92" s="1"/>
      <c r="V92" s="1"/>
      <c r="W92" s="1"/>
      <c r="Y92" s="1"/>
    </row>
    <row r="93" spans="1:25" ht="20.100000000000001" customHeight="1" x14ac:dyDescent="0.3">
      <c r="B93" s="4503"/>
      <c r="C93" s="4504"/>
      <c r="E93" s="65"/>
      <c r="F93" s="310"/>
      <c r="H93" s="315"/>
      <c r="I93" s="310"/>
      <c r="K93" s="315"/>
      <c r="L93" s="310"/>
      <c r="N93" s="315"/>
    </row>
    <row r="94" spans="1:25" ht="20.100000000000001" customHeight="1" x14ac:dyDescent="0.3">
      <c r="A94" s="521" t="s">
        <v>607</v>
      </c>
      <c r="B94" s="3957" t="s">
        <v>614</v>
      </c>
      <c r="C94" s="3960"/>
      <c r="E94" s="1597">
        <f>SUMIF($A$26:$A$77,"="&amp;A94,E26:E77)</f>
        <v>0</v>
      </c>
      <c r="F94" s="1631" t="str">
        <f>IF(ISERROR(E94/pr_1)," ",E94/pr_1)</f>
        <v xml:space="preserve"> </v>
      </c>
      <c r="H94" s="1597">
        <f>SUMIF($A$26:$A$77,"="&amp;A94,H26:H77)</f>
        <v>0</v>
      </c>
      <c r="I94" s="1631" t="str">
        <f>IF(ISERROR(H94/pr_2)," ",H94/pr_2)</f>
        <v xml:space="preserve"> </v>
      </c>
      <c r="K94" s="1597">
        <f>SUMIF($A$26:$A$77,"="&amp;A94,K26:K77)</f>
        <v>0</v>
      </c>
      <c r="L94" s="1631" t="str">
        <f>IF(ISERROR(K94/pr_3)," ",K94/pr_3)</f>
        <v xml:space="preserve"> </v>
      </c>
      <c r="N94" s="1597">
        <f>SUMIF($A$26:$A$77,"="&amp;A94,N26:N77)</f>
        <v>0</v>
      </c>
      <c r="O94" s="1631" t="str">
        <f>IF(ISERROR(N94/pr_4)," ",N94/pr_4)</f>
        <v xml:space="preserve"> </v>
      </c>
    </row>
    <row r="95" spans="1:25" ht="20.100000000000001" customHeight="1" x14ac:dyDescent="0.3">
      <c r="A95" s="521" t="s">
        <v>608</v>
      </c>
      <c r="B95" s="4485" t="s">
        <v>615</v>
      </c>
      <c r="C95" s="4486"/>
      <c r="E95" s="1984">
        <f>SUMIF($A$26:$A$77,"="&amp;A95,E26:E77)</f>
        <v>0</v>
      </c>
      <c r="F95" s="1985" t="str">
        <f>IF(ISERROR(E95/pr_1)," ",E95/pr_1)</f>
        <v xml:space="preserve"> </v>
      </c>
      <c r="H95" s="1984">
        <f>SUMIF($A$26:$A$77,"="&amp;A95,H26:H77)</f>
        <v>0</v>
      </c>
      <c r="I95" s="1985" t="str">
        <f>IF(ISERROR(H95/pr_2)," ",H95/pr_2)</f>
        <v xml:space="preserve"> </v>
      </c>
      <c r="K95" s="1984">
        <f>SUMIF($A$26:$A$77,"="&amp;A95,K26:K77)</f>
        <v>0</v>
      </c>
      <c r="L95" s="1985" t="str">
        <f>IF(ISERROR(K95/pr_3)," ",K95/pr_3)</f>
        <v xml:space="preserve"> </v>
      </c>
      <c r="N95" s="1984">
        <f>SUMIF($A$26:$A$77,"="&amp;A95,N26:N77)</f>
        <v>0</v>
      </c>
      <c r="O95" s="1985" t="str">
        <f>IF(ISERROR(N95/pr_4)," ",N95/pr_4)</f>
        <v xml:space="preserve"> </v>
      </c>
    </row>
    <row r="96" spans="1:25" ht="3" customHeight="1" x14ac:dyDescent="0.3">
      <c r="B96" s="4"/>
      <c r="C96" s="675"/>
    </row>
    <row r="97" spans="1:25" ht="20.100000000000001" customHeight="1" x14ac:dyDescent="0.3">
      <c r="B97" s="1981" t="s">
        <v>620</v>
      </c>
      <c r="C97" s="1982"/>
      <c r="E97" s="1983">
        <f>pr_1-E94-E95</f>
        <v>0</v>
      </c>
      <c r="F97" s="1986" t="str">
        <f>IF(ISERROR(E97/pr_1)," ",E97/pr_1)</f>
        <v xml:space="preserve"> </v>
      </c>
      <c r="H97" s="1983">
        <f>pr_2-H94-H95</f>
        <v>0</v>
      </c>
      <c r="I97" s="1986" t="str">
        <f>IF(ISERROR(H97/pr_2)," ",H97/pr_2)</f>
        <v xml:space="preserve"> </v>
      </c>
      <c r="K97" s="1983">
        <f>pr_3-K94-K95</f>
        <v>0</v>
      </c>
      <c r="L97" s="1986" t="str">
        <f>IF(ISERROR(K97/pr_3)," ",K97/pr_3)</f>
        <v xml:space="preserve"> </v>
      </c>
      <c r="N97" s="1983">
        <f>pr_4-N94-N95</f>
        <v>0</v>
      </c>
      <c r="O97" s="1986" t="str">
        <f>IF(ISERROR(N97/pr_4)," ",N97/pr_4)</f>
        <v xml:space="preserve"> </v>
      </c>
      <c r="P97" s="888"/>
    </row>
    <row r="98" spans="1:25" ht="20.100000000000001" customHeight="1" x14ac:dyDescent="0.3">
      <c r="B98" s="1989" t="s">
        <v>44</v>
      </c>
      <c r="C98" s="1990"/>
      <c r="E98" s="1965">
        <f>E45</f>
        <v>0</v>
      </c>
      <c r="F98" s="1991"/>
      <c r="H98" s="1965">
        <f>H45</f>
        <v>0</v>
      </c>
      <c r="I98" s="1991"/>
      <c r="K98" s="1965">
        <f>K45</f>
        <v>0</v>
      </c>
      <c r="L98" s="1991"/>
      <c r="N98" s="1965">
        <f>N45</f>
        <v>0</v>
      </c>
      <c r="O98" s="1991"/>
    </row>
    <row r="99" spans="1:25" ht="21.9" customHeight="1" x14ac:dyDescent="0.3">
      <c r="B99" s="4493" t="s">
        <v>42</v>
      </c>
      <c r="C99" s="4494"/>
      <c r="E99" s="1992">
        <f>SUM(E97:E98)</f>
        <v>0</v>
      </c>
      <c r="F99" s="1993" t="str">
        <f>IF(ISERROR(E99/pr_1)," ",E99/pr_1)</f>
        <v xml:space="preserve"> </v>
      </c>
      <c r="H99" s="1992">
        <f>SUM(H97:H98)</f>
        <v>0</v>
      </c>
      <c r="I99" s="1993" t="str">
        <f>IF(ISERROR(H99/pr_2)," ",H99/pr_2)</f>
        <v xml:space="preserve"> </v>
      </c>
      <c r="K99" s="1992">
        <f>SUM(K97:K98)</f>
        <v>0</v>
      </c>
      <c r="L99" s="1993" t="str">
        <f>IF(ISERROR(K99/pr_3)," ",K99/pr_3)</f>
        <v xml:space="preserve"> </v>
      </c>
      <c r="N99" s="1992">
        <f>SUM(N97:N98)</f>
        <v>0</v>
      </c>
      <c r="O99" s="1993" t="str">
        <f>IF(ISERROR(N99/pr_4)," ",N99/pr_4)</f>
        <v xml:space="preserve"> </v>
      </c>
    </row>
    <row r="100" spans="1:25" ht="3" customHeight="1" x14ac:dyDescent="0.3">
      <c r="E100" s="65"/>
    </row>
    <row r="101" spans="1:25" s="530" customFormat="1" ht="15" customHeight="1" x14ac:dyDescent="0.3">
      <c r="A101" s="1137"/>
      <c r="C101" s="676"/>
      <c r="D101" s="531"/>
      <c r="E101" s="547" t="str">
        <f>IF(E99=rc_1,"ok",E99-rc_1)</f>
        <v>ok</v>
      </c>
      <c r="F101" s="532"/>
      <c r="G101" s="531"/>
      <c r="H101" s="547" t="str">
        <f>IF(H99=rc_2,"ok",H99-rc_2)</f>
        <v>ok</v>
      </c>
      <c r="I101" s="533"/>
      <c r="J101" s="531"/>
      <c r="K101" s="547" t="str">
        <f>IF(K99=rc_3,"ok",K99-rc_3)</f>
        <v>ok</v>
      </c>
      <c r="L101" s="533"/>
      <c r="M101" s="531"/>
      <c r="N101" s="547" t="str">
        <f>IF(N99=rc_4,"ok",N99-rc_4)</f>
        <v>ok</v>
      </c>
      <c r="O101" s="533"/>
      <c r="P101" s="534"/>
    </row>
    <row r="102" spans="1:25" ht="6" customHeight="1" x14ac:dyDescent="0.3">
      <c r="E102" s="1"/>
    </row>
    <row r="103" spans="1:25" ht="24.9" customHeight="1" x14ac:dyDescent="0.3">
      <c r="B103" s="3909" t="s">
        <v>619</v>
      </c>
      <c r="C103" s="3912"/>
      <c r="E103" s="1638">
        <f>pr_1-E95</f>
        <v>0</v>
      </c>
      <c r="F103" s="1987" t="str">
        <f>IF(ISERROR(E103/pr_1)," ",E103/pr_1)</f>
        <v xml:space="preserve"> </v>
      </c>
      <c r="H103" s="1638">
        <f>pr_2-H95</f>
        <v>0</v>
      </c>
      <c r="I103" s="1987" t="str">
        <f>IF(ISERROR(H103/pr_2)," ",H103/pr_2)</f>
        <v xml:space="preserve"> </v>
      </c>
      <c r="K103" s="1638">
        <f>pr_3-K95</f>
        <v>0</v>
      </c>
      <c r="L103" s="1987" t="str">
        <f>IF(ISERROR(K103/pr_3)," ",K103/pr_3)</f>
        <v xml:space="preserve"> </v>
      </c>
      <c r="N103" s="1638">
        <f>pr_4-N95</f>
        <v>0</v>
      </c>
      <c r="O103" s="1987" t="str">
        <f>IF(ISERROR(N103/pr_4)," ",N103/pr_4)</f>
        <v xml:space="preserve"> </v>
      </c>
    </row>
    <row r="104" spans="1:25" ht="24.9" customHeight="1" x14ac:dyDescent="0.3">
      <c r="B104" s="4483" t="s">
        <v>749</v>
      </c>
      <c r="C104" s="4484"/>
      <c r="E104" s="1636" t="str">
        <f>IF(ca_1=0," ",E94/F103)</f>
        <v xml:space="preserve"> </v>
      </c>
      <c r="F104" s="1988" t="str">
        <f>IF(ISERROR(E104/pr_1)," ",E104/pr_1)</f>
        <v xml:space="preserve"> </v>
      </c>
      <c r="G104" s="48"/>
      <c r="H104" s="1636" t="str">
        <f>IF(ca_2=0," ",H94/I103)</f>
        <v xml:space="preserve"> </v>
      </c>
      <c r="I104" s="1988" t="str">
        <f>IF(ISERROR(H104/pr_2)," ",H104/pr_2)</f>
        <v xml:space="preserve"> </v>
      </c>
      <c r="J104" s="48"/>
      <c r="K104" s="1636" t="str">
        <f>IF(ca_3=0," ",K94/L103)</f>
        <v xml:space="preserve"> </v>
      </c>
      <c r="L104" s="1988" t="str">
        <f>IF(ISERROR(K104/pr_3)," ",K104/pr_3)</f>
        <v xml:space="preserve"> </v>
      </c>
      <c r="M104" s="48"/>
      <c r="N104" s="1636" t="str">
        <f>IF(ca_4=0," ",N94/O103)</f>
        <v xml:space="preserve"> </v>
      </c>
      <c r="O104" s="1988" t="str">
        <f>IF(ISERROR(N104/pr_4)," ",N104/pr_4)</f>
        <v xml:space="preserve"> </v>
      </c>
      <c r="P104" s="30"/>
      <c r="Q104" s="310"/>
      <c r="R104" s="310"/>
      <c r="S104" s="310"/>
      <c r="T104" s="310"/>
      <c r="U104" s="310"/>
      <c r="V104" s="310"/>
      <c r="W104" s="310"/>
      <c r="Y104" s="310"/>
    </row>
    <row r="105" spans="1:25" x14ac:dyDescent="0.3">
      <c r="E105" s="65"/>
      <c r="Q105" s="203"/>
    </row>
    <row r="106" spans="1:25" ht="20.100000000000001" customHeight="1" x14ac:dyDescent="0.3">
      <c r="B106" s="1994" t="s">
        <v>693</v>
      </c>
      <c r="C106" s="1995" t="s">
        <v>483</v>
      </c>
      <c r="E106" s="4468" t="str">
        <f>IF(ISBLANK(An)," ",An-1)</f>
        <v xml:space="preserve"> </v>
      </c>
      <c r="F106" s="4469"/>
      <c r="H106" s="4468" t="str">
        <f>IF(ISBLANK(An)," ",An-2)</f>
        <v xml:space="preserve"> </v>
      </c>
      <c r="I106" s="4469"/>
      <c r="K106" s="4468" t="str">
        <f>IF(ISBLANK(An)," ",An-3)</f>
        <v xml:space="preserve"> </v>
      </c>
      <c r="L106" s="4469"/>
      <c r="N106" s="4468" t="str">
        <f>IF(ISBLANK(An)," ",An-4)</f>
        <v xml:space="preserve"> </v>
      </c>
      <c r="O106" s="4469"/>
    </row>
    <row r="107" spans="1:25" ht="24.9" customHeight="1" x14ac:dyDescent="0.3">
      <c r="B107" s="4478" t="s">
        <v>694</v>
      </c>
      <c r="C107" s="4478"/>
      <c r="E107" s="65"/>
    </row>
    <row r="108" spans="1:25" ht="20.100000000000001" customHeight="1" x14ac:dyDescent="0.3">
      <c r="B108" s="4479" t="s">
        <v>695</v>
      </c>
      <c r="C108" s="4480"/>
      <c r="D108" s="50"/>
      <c r="E108" s="1562"/>
      <c r="F108" s="2001" t="str">
        <f>IF(ISBLANK(E108)," ",100%)</f>
        <v xml:space="preserve"> </v>
      </c>
      <c r="G108" s="50"/>
      <c r="H108" s="1562"/>
      <c r="I108" s="2001" t="str">
        <f>IF(ISBLANK(H108)," ",100%)</f>
        <v xml:space="preserve"> </v>
      </c>
      <c r="J108" s="50"/>
      <c r="K108" s="1562"/>
      <c r="L108" s="2001" t="str">
        <f>IF(ISBLANK(K108)," ",100%)</f>
        <v xml:space="preserve"> </v>
      </c>
      <c r="M108" s="50"/>
      <c r="N108" s="1562"/>
      <c r="O108" s="2001" t="str">
        <f>IF(ISBLANK(N108)," ",100%)</f>
        <v xml:space="preserve"> </v>
      </c>
    </row>
    <row r="109" spans="1:25" ht="20.100000000000001" customHeight="1" x14ac:dyDescent="0.3">
      <c r="B109" s="4481" t="s">
        <v>696</v>
      </c>
      <c r="C109" s="4482"/>
      <c r="E109" s="1996"/>
      <c r="F109" s="2002" t="str">
        <f>IF(ISERROR(E109/E108)," ",E109/E108)</f>
        <v xml:space="preserve"> </v>
      </c>
      <c r="H109" s="1996"/>
      <c r="I109" s="2002" t="str">
        <f>IF(ISERROR(H109/H108)," ",H109/H108)</f>
        <v xml:space="preserve"> </v>
      </c>
      <c r="K109" s="1996"/>
      <c r="L109" s="2002" t="str">
        <f>IF(ISERROR(K109/K108)," ",K109/K108)</f>
        <v xml:space="preserve"> </v>
      </c>
      <c r="N109" s="1996"/>
      <c r="O109" s="2002" t="str">
        <f>IF(ISERROR(N109/N108)," ",N109/N108)</f>
        <v xml:space="preserve"> </v>
      </c>
    </row>
    <row r="110" spans="1:25" ht="3" customHeight="1" x14ac:dyDescent="0.3">
      <c r="E110" s="65"/>
    </row>
    <row r="111" spans="1:25" ht="20.100000000000001" customHeight="1" x14ac:dyDescent="0.3">
      <c r="C111" s="1997" t="s">
        <v>697</v>
      </c>
      <c r="E111" s="1999" t="str">
        <f>IF(ISERROR(E108/E109)," ",E108/E109)</f>
        <v xml:space="preserve"> </v>
      </c>
      <c r="H111" s="1999" t="str">
        <f>IF(ISERROR(H108/H109)," ",H108/H109)</f>
        <v xml:space="preserve"> </v>
      </c>
      <c r="K111" s="1999" t="str">
        <f>IF(ISERROR(K108/K109)," ",K108/K109)</f>
        <v xml:space="preserve"> </v>
      </c>
      <c r="N111" s="1999" t="str">
        <f>IF(ISERROR(N108/N109)," ",N108/N109)</f>
        <v xml:space="preserve"> </v>
      </c>
    </row>
    <row r="112" spans="1:25" ht="20.100000000000001" customHeight="1" x14ac:dyDescent="0.3">
      <c r="C112" s="1998" t="s">
        <v>698</v>
      </c>
      <c r="D112" s="50"/>
      <c r="E112" s="2000">
        <v>0.75</v>
      </c>
      <c r="G112" s="50"/>
      <c r="H112" s="2000">
        <v>0.75</v>
      </c>
      <c r="J112" s="50"/>
      <c r="K112" s="2000">
        <v>0.75</v>
      </c>
      <c r="M112" s="50"/>
      <c r="N112" s="2000">
        <v>0.75</v>
      </c>
    </row>
    <row r="113" spans="1:16" ht="24.9" customHeight="1" x14ac:dyDescent="0.3">
      <c r="B113" s="4478" t="s">
        <v>699</v>
      </c>
      <c r="C113" s="4478"/>
      <c r="D113" s="48"/>
      <c r="E113" s="668">
        <f>IF(E111=" ",E112,E111)</f>
        <v>0.75</v>
      </c>
      <c r="G113" s="48"/>
      <c r="H113" s="668">
        <f>IF(H111=" ",H112,H111)</f>
        <v>0.75</v>
      </c>
      <c r="J113" s="48"/>
      <c r="K113" s="668">
        <f>IF(K111=" ",K112,K111)</f>
        <v>0.75</v>
      </c>
      <c r="M113" s="48"/>
      <c r="N113" s="668">
        <f>IF(N111=" ",N112,N111)</f>
        <v>0.75</v>
      </c>
    </row>
    <row r="114" spans="1:16" ht="20.100000000000001" customHeight="1" x14ac:dyDescent="0.3">
      <c r="B114" s="4479" t="s">
        <v>695</v>
      </c>
      <c r="C114" s="4480"/>
      <c r="D114" s="50"/>
      <c r="E114" s="1562"/>
      <c r="F114" s="2001" t="str">
        <f>IF(ISBLANK(E114)," ",100%)</f>
        <v xml:space="preserve"> </v>
      </c>
      <c r="G114" s="50"/>
      <c r="H114" s="1562"/>
      <c r="I114" s="2001" t="str">
        <f>IF(ISBLANK(H114)," ",100%)</f>
        <v xml:space="preserve"> </v>
      </c>
      <c r="J114" s="50"/>
      <c r="K114" s="1562"/>
      <c r="L114" s="2001" t="str">
        <f>IF(ISBLANK(K114)," ",100%)</f>
        <v xml:space="preserve"> </v>
      </c>
      <c r="M114" s="50"/>
      <c r="N114" s="1562"/>
      <c r="O114" s="2001" t="str">
        <f>IF(ISBLANK(N114)," ",100%)</f>
        <v xml:space="preserve"> </v>
      </c>
    </row>
    <row r="115" spans="1:16" ht="20.100000000000001" customHeight="1" x14ac:dyDescent="0.3">
      <c r="B115" s="4481" t="s">
        <v>696</v>
      </c>
      <c r="C115" s="4482"/>
      <c r="E115" s="1996"/>
      <c r="F115" s="2002" t="str">
        <f>IF(ISERROR(E115/E114)," ",E115/E114)</f>
        <v xml:space="preserve"> </v>
      </c>
      <c r="H115" s="1996"/>
      <c r="I115" s="2002" t="str">
        <f>IF(ISERROR(H115/H114)," ",H115/H114)</f>
        <v xml:space="preserve"> </v>
      </c>
      <c r="K115" s="1996"/>
      <c r="L115" s="2002" t="str">
        <f>IF(ISERROR(K115/K114)," ",K115/K114)</f>
        <v xml:space="preserve"> </v>
      </c>
      <c r="N115" s="1996"/>
      <c r="O115" s="2002" t="str">
        <f>IF(ISERROR(N115/N114)," ",N115/N114)</f>
        <v xml:space="preserve"> </v>
      </c>
    </row>
    <row r="116" spans="1:16" ht="3" customHeight="1" x14ac:dyDescent="0.3">
      <c r="E116" s="65"/>
    </row>
    <row r="117" spans="1:16" ht="20.100000000000001" customHeight="1" x14ac:dyDescent="0.3">
      <c r="C117" s="1997" t="s">
        <v>697</v>
      </c>
      <c r="E117" s="1999" t="str">
        <f>IF(ISERROR(E114/E115)," ",E114/E115)</f>
        <v xml:space="preserve"> </v>
      </c>
      <c r="H117" s="1999" t="str">
        <f>IF(ISERROR(H114/H115)," ",H114/H115)</f>
        <v xml:space="preserve"> </v>
      </c>
      <c r="K117" s="1999" t="str">
        <f>IF(ISERROR(K114/K115)," ",K114/K115)</f>
        <v xml:space="preserve"> </v>
      </c>
      <c r="N117" s="1999" t="str">
        <f>IF(ISERROR(N114/N115)," ",N114/N115)</f>
        <v xml:space="preserve"> </v>
      </c>
    </row>
    <row r="118" spans="1:16" ht="20.100000000000001" customHeight="1" x14ac:dyDescent="0.3">
      <c r="C118" s="1998" t="s">
        <v>698</v>
      </c>
      <c r="D118" s="50"/>
      <c r="E118" s="2000">
        <v>0.6</v>
      </c>
      <c r="G118" s="50"/>
      <c r="H118" s="2000">
        <v>0.6</v>
      </c>
      <c r="J118" s="50"/>
      <c r="K118" s="2000">
        <v>0.6</v>
      </c>
      <c r="M118" s="50"/>
      <c r="N118" s="2000">
        <v>0.6</v>
      </c>
    </row>
    <row r="119" spans="1:16" s="368" customFormat="1" ht="20.100000000000001" customHeight="1" x14ac:dyDescent="0.3">
      <c r="A119" s="1137"/>
      <c r="C119" s="676"/>
      <c r="D119" s="669"/>
      <c r="E119" s="668">
        <f>IF(E117=" ",E118,E117)</f>
        <v>0.6</v>
      </c>
      <c r="F119" s="545"/>
      <c r="G119" s="669"/>
      <c r="H119" s="668">
        <f>IF(H117=" ",H118,H117)</f>
        <v>0.6</v>
      </c>
      <c r="I119" s="546"/>
      <c r="J119" s="669"/>
      <c r="K119" s="668">
        <f>IF(K117=" ",K118,K117)</f>
        <v>0.6</v>
      </c>
      <c r="L119" s="546"/>
      <c r="M119" s="669"/>
      <c r="N119" s="668">
        <f>IF(N117=" ",N118,N117)</f>
        <v>0.6</v>
      </c>
      <c r="O119" s="546"/>
      <c r="P119" s="670"/>
    </row>
    <row r="120" spans="1:16" ht="20.100000000000001" customHeight="1" x14ac:dyDescent="0.3">
      <c r="B120" s="4204" t="s">
        <v>700</v>
      </c>
      <c r="C120" s="4470" t="s">
        <v>79</v>
      </c>
      <c r="D120" s="53"/>
      <c r="E120" s="4468" t="str">
        <f>IF(ISBLANK(An)," ",An-1)</f>
        <v xml:space="preserve"> </v>
      </c>
      <c r="F120" s="4469"/>
      <c r="H120" s="4468" t="str">
        <f>IF(ISBLANK(An)," ",An-2)</f>
        <v xml:space="preserve"> </v>
      </c>
      <c r="I120" s="4469"/>
      <c r="K120" s="4468" t="str">
        <f>IF(ISBLANK(An)," ",An-3)</f>
        <v xml:space="preserve"> </v>
      </c>
      <c r="L120" s="4469"/>
      <c r="N120" s="4468" t="str">
        <f>IF(ISBLANK(An)," ",An-4)</f>
        <v xml:space="preserve"> </v>
      </c>
      <c r="O120" s="4469"/>
    </row>
    <row r="121" spans="1:16" ht="20.100000000000001" customHeight="1" x14ac:dyDescent="0.3">
      <c r="B121" s="2003" t="s">
        <v>701</v>
      </c>
      <c r="C121" s="2305" t="s">
        <v>768</v>
      </c>
      <c r="D121" s="60"/>
      <c r="E121" s="2005"/>
      <c r="F121" s="2001"/>
      <c r="G121" s="60"/>
      <c r="H121" s="2005"/>
      <c r="I121" s="2001"/>
      <c r="J121" s="60"/>
      <c r="K121" s="2005"/>
      <c r="L121" s="2001"/>
      <c r="M121" s="60"/>
      <c r="N121" s="2005"/>
      <c r="O121" s="2001"/>
      <c r="P121" s="753"/>
    </row>
    <row r="122" spans="1:16" ht="20.100000000000001" customHeight="1" x14ac:dyDescent="0.3">
      <c r="B122" s="2004" t="s">
        <v>702</v>
      </c>
      <c r="C122" s="2306" t="s">
        <v>769</v>
      </c>
      <c r="E122" s="2006"/>
      <c r="F122" s="2009"/>
      <c r="H122" s="2006"/>
      <c r="I122" s="2009"/>
      <c r="K122" s="2006"/>
      <c r="L122" s="2009"/>
      <c r="N122" s="2006"/>
      <c r="O122" s="2009"/>
      <c r="P122" s="753"/>
    </row>
    <row r="123" spans="1:16" ht="21.9" customHeight="1" x14ac:dyDescent="0.3">
      <c r="B123" s="4473" t="s">
        <v>1008</v>
      </c>
      <c r="C123" s="4474"/>
      <c r="D123" s="2"/>
      <c r="E123" s="2321">
        <f>SUM(E121:E122)</f>
        <v>0</v>
      </c>
      <c r="F123" s="2011"/>
      <c r="G123" s="2"/>
      <c r="H123" s="2321">
        <f>SUM(H121:H122)</f>
        <v>0</v>
      </c>
      <c r="I123" s="2011"/>
      <c r="J123" s="2"/>
      <c r="K123" s="2321">
        <f>SUM(K121:K122)</f>
        <v>0</v>
      </c>
      <c r="L123" s="2011"/>
      <c r="M123" s="2"/>
      <c r="N123" s="2321">
        <f>SUM(N121:N122)</f>
        <v>0</v>
      </c>
      <c r="O123" s="2011"/>
      <c r="P123" s="753"/>
    </row>
    <row r="124" spans="1:16" ht="20.100000000000001" customHeight="1" x14ac:dyDescent="0.3">
      <c r="B124" s="4208" t="s">
        <v>1006</v>
      </c>
      <c r="C124" s="4475"/>
      <c r="D124" s="60"/>
      <c r="E124" s="2007">
        <f>ROUND(E121*E113,0)</f>
        <v>0</v>
      </c>
      <c r="F124" s="2010"/>
      <c r="G124" s="60"/>
      <c r="H124" s="2007">
        <f>ROUND(H121*H113,0)</f>
        <v>0</v>
      </c>
      <c r="I124" s="2010"/>
      <c r="J124" s="60"/>
      <c r="K124" s="2007">
        <f>ROUND(K121*K113,0)</f>
        <v>0</v>
      </c>
      <c r="L124" s="2010"/>
      <c r="M124" s="60"/>
      <c r="N124" s="2007">
        <f>ROUND(N121*N113,0)</f>
        <v>0</v>
      </c>
      <c r="O124" s="2010"/>
      <c r="P124" s="753"/>
    </row>
    <row r="125" spans="1:16" ht="20.100000000000001" customHeight="1" x14ac:dyDescent="0.3">
      <c r="B125" s="4476" t="s">
        <v>1007</v>
      </c>
      <c r="C125" s="4477"/>
      <c r="E125" s="2008">
        <f>ROUND(E122*E119,0)</f>
        <v>0</v>
      </c>
      <c r="F125" s="2009"/>
      <c r="H125" s="2008">
        <f>ROUND(H122*H119,0)</f>
        <v>0</v>
      </c>
      <c r="I125" s="2009"/>
      <c r="K125" s="2008">
        <f>ROUND(K122*K119,0)</f>
        <v>0</v>
      </c>
      <c r="L125" s="2009"/>
      <c r="N125" s="2008">
        <f>ROUND(N122*N119,0)</f>
        <v>0</v>
      </c>
      <c r="O125" s="2009"/>
      <c r="P125" s="753"/>
    </row>
    <row r="126" spans="1:16" ht="21.9" customHeight="1" x14ac:dyDescent="0.3">
      <c r="B126" s="4471" t="s">
        <v>703</v>
      </c>
      <c r="C126" s="4472"/>
      <c r="D126" s="2"/>
      <c r="E126" s="1992">
        <f>SUM(E124:E125)</f>
        <v>0</v>
      </c>
      <c r="F126" s="2012"/>
      <c r="G126" s="2"/>
      <c r="H126" s="1992">
        <f>SUM(H124:H125)</f>
        <v>0</v>
      </c>
      <c r="I126" s="2012"/>
      <c r="J126" s="2"/>
      <c r="K126" s="1992">
        <f>SUM(K124:K125)</f>
        <v>0</v>
      </c>
      <c r="L126" s="2012"/>
      <c r="M126" s="2"/>
      <c r="N126" s="1992">
        <f>SUM(N124:N125)</f>
        <v>0</v>
      </c>
      <c r="O126" s="2012"/>
      <c r="P126" s="753"/>
    </row>
    <row r="127" spans="1:16" ht="20.100000000000001" customHeight="1" x14ac:dyDescent="0.3">
      <c r="D127" s="61"/>
      <c r="G127" s="61"/>
      <c r="J127" s="61"/>
      <c r="M127" s="61"/>
    </row>
    <row r="128" spans="1:16" ht="20.100000000000001" customHeight="1" x14ac:dyDescent="0.3">
      <c r="C128" s="1027"/>
      <c r="D128" s="1028"/>
      <c r="E128" s="544">
        <f>E59+E60-E81+E86</f>
        <v>0</v>
      </c>
      <c r="F128" s="309"/>
      <c r="G128" s="1029"/>
      <c r="H128" s="544">
        <f>H59+H60-H81+H86</f>
        <v>0</v>
      </c>
      <c r="J128" s="1029"/>
      <c r="K128" s="544">
        <f>K59+K60-K81+K86</f>
        <v>0</v>
      </c>
      <c r="M128" s="1029"/>
      <c r="N128" s="544">
        <f>N59+N60-N81+N86</f>
        <v>0</v>
      </c>
    </row>
    <row r="129" spans="3:13" ht="20.100000000000001" customHeight="1" x14ac:dyDescent="0.3">
      <c r="C129" s="1027"/>
      <c r="D129" s="54"/>
      <c r="G129" s="54"/>
      <c r="J129" s="54"/>
      <c r="M129" s="54"/>
    </row>
    <row r="130" spans="3:13" ht="20.100000000000001" customHeight="1" x14ac:dyDescent="0.3">
      <c r="C130" s="1027"/>
      <c r="D130" s="52"/>
      <c r="G130" s="52"/>
      <c r="J130" s="52"/>
      <c r="M130" s="52"/>
    </row>
    <row r="131" spans="3:13" ht="20.100000000000001" customHeight="1" x14ac:dyDescent="0.3">
      <c r="C131" s="1027"/>
    </row>
    <row r="132" spans="3:13" ht="20.100000000000001" customHeight="1" x14ac:dyDescent="0.3">
      <c r="C132" s="1027"/>
    </row>
    <row r="133" spans="3:13" ht="20.100000000000001" customHeight="1" x14ac:dyDescent="0.3">
      <c r="C133" s="1027"/>
      <c r="D133" s="55"/>
      <c r="G133" s="55"/>
      <c r="J133" s="55"/>
      <c r="M133" s="55"/>
    </row>
    <row r="134" spans="3:13" ht="20.100000000000001" customHeight="1" x14ac:dyDescent="0.3">
      <c r="C134" s="1027"/>
      <c r="D134" s="2"/>
      <c r="G134" s="2"/>
      <c r="J134" s="2"/>
      <c r="M134" s="2"/>
    </row>
    <row r="135" spans="3:13" ht="20.100000000000001" customHeight="1" x14ac:dyDescent="0.3">
      <c r="C135" s="1027"/>
      <c r="D135" s="152"/>
      <c r="G135" s="152"/>
      <c r="J135" s="152"/>
      <c r="M135" s="152"/>
    </row>
    <row r="136" spans="3:13" ht="20.100000000000001" customHeight="1" x14ac:dyDescent="0.3">
      <c r="C136" s="1027"/>
      <c r="D136" s="2"/>
      <c r="G136" s="2"/>
      <c r="J136" s="2"/>
      <c r="M136" s="2"/>
    </row>
    <row r="137" spans="3:13" ht="20.100000000000001" customHeight="1" x14ac:dyDescent="0.3">
      <c r="C137" s="1027"/>
      <c r="D137" s="1030"/>
      <c r="G137" s="1030"/>
      <c r="J137" s="1030"/>
      <c r="M137" s="1030"/>
    </row>
    <row r="138" spans="3:13" ht="20.100000000000001" customHeight="1" x14ac:dyDescent="0.3">
      <c r="D138" s="53"/>
      <c r="G138" s="53"/>
      <c r="J138" s="53"/>
      <c r="M138" s="53"/>
    </row>
    <row r="139" spans="3:13" ht="20.100000000000001" customHeight="1" x14ac:dyDescent="0.3">
      <c r="D139" s="60"/>
      <c r="G139" s="60"/>
      <c r="J139" s="60"/>
      <c r="M139" s="60"/>
    </row>
    <row r="140" spans="3:13" ht="20.100000000000001" customHeight="1" x14ac:dyDescent="0.3"/>
    <row r="141" spans="3:13" ht="20.100000000000001" customHeight="1" x14ac:dyDescent="0.3">
      <c r="D141" s="2"/>
      <c r="G141" s="2"/>
      <c r="J141" s="2"/>
      <c r="M141" s="2"/>
    </row>
    <row r="142" spans="3:13" ht="20.100000000000001" customHeight="1" x14ac:dyDescent="0.3">
      <c r="D142" s="61"/>
      <c r="G142" s="61"/>
      <c r="J142" s="61"/>
      <c r="M142" s="61"/>
    </row>
    <row r="143" spans="3:13" ht="20.100000000000001" customHeight="1" x14ac:dyDescent="0.3">
      <c r="D143" s="316"/>
      <c r="G143" s="316"/>
      <c r="J143" s="316"/>
      <c r="M143" s="316"/>
    </row>
    <row r="144" spans="3:13" ht="20.100000000000001" customHeight="1" x14ac:dyDescent="0.3">
      <c r="D144" s="54"/>
      <c r="G144" s="54"/>
      <c r="J144" s="54"/>
      <c r="M144" s="54"/>
    </row>
    <row r="145" spans="4:13" ht="20.100000000000001" customHeight="1" x14ac:dyDescent="0.3">
      <c r="D145" s="52"/>
      <c r="G145" s="52"/>
      <c r="J145" s="52"/>
      <c r="M145" s="52"/>
    </row>
    <row r="146" spans="4:13" ht="20.100000000000001" customHeight="1" x14ac:dyDescent="0.3"/>
    <row r="147" spans="4:13" ht="20.100000000000001" customHeight="1" x14ac:dyDescent="0.3"/>
    <row r="148" spans="4:13" ht="20.100000000000001" customHeight="1" x14ac:dyDescent="0.3">
      <c r="D148" s="56"/>
      <c r="G148" s="56"/>
      <c r="J148" s="56"/>
      <c r="M148" s="56"/>
    </row>
    <row r="149" spans="4:13" ht="20.100000000000001" customHeight="1" x14ac:dyDescent="0.3"/>
    <row r="150" spans="4:13" ht="20.100000000000001" customHeight="1" x14ac:dyDescent="0.3"/>
    <row r="240" spans="4:13" x14ac:dyDescent="0.3">
      <c r="D240" s="52"/>
      <c r="G240" s="52"/>
      <c r="J240" s="52"/>
      <c r="M240" s="52"/>
    </row>
  </sheetData>
  <sheetProtection algorithmName="SHA-512" hashValue="DQCWi+uyhDpn/saWy49Y0M+zPLDJ/rrI7Nn/cz5640WNGI523/ipvDPpp2KNgyYpNG38jwiQUgWEx68VdEFPVw==" saltValue="7mWn5RlcAkQNLPRcYq1s6w==" spinCount="100000" sheet="1" objects="1" scenarios="1" formatCells="0" formatColumns="0" formatRows="0" insertColumns="0" insertRows="0" insertHyperlinks="0" deleteColumns="0" deleteRows="0" sort="0" autoFilter="0" pivotTables="0"/>
  <mergeCells count="55">
    <mergeCell ref="C2:O2"/>
    <mergeCell ref="B4:E4"/>
    <mergeCell ref="B26:C26"/>
    <mergeCell ref="N6:O6"/>
    <mergeCell ref="E9:F9"/>
    <mergeCell ref="H9:I9"/>
    <mergeCell ref="K9:L9"/>
    <mergeCell ref="N7:O7"/>
    <mergeCell ref="N9:O9"/>
    <mergeCell ref="K6:L6"/>
    <mergeCell ref="B19:C19"/>
    <mergeCell ref="I4:O4"/>
    <mergeCell ref="B6:B8"/>
    <mergeCell ref="K7:L7"/>
    <mergeCell ref="E7:F7"/>
    <mergeCell ref="E6:F6"/>
    <mergeCell ref="H6:I6"/>
    <mergeCell ref="H7:I7"/>
    <mergeCell ref="B54:C54"/>
    <mergeCell ref="B62:C62"/>
    <mergeCell ref="B93:C93"/>
    <mergeCell ref="B36:C36"/>
    <mergeCell ref="B35:C35"/>
    <mergeCell ref="B27:C27"/>
    <mergeCell ref="B34:C34"/>
    <mergeCell ref="B103:C103"/>
    <mergeCell ref="B95:C95"/>
    <mergeCell ref="B42:C42"/>
    <mergeCell ref="B94:C94"/>
    <mergeCell ref="B91:C91"/>
    <mergeCell ref="B43:C43"/>
    <mergeCell ref="B92:C92"/>
    <mergeCell ref="B99:C99"/>
    <mergeCell ref="B58:C58"/>
    <mergeCell ref="B73:C73"/>
    <mergeCell ref="E106:F106"/>
    <mergeCell ref="H106:I106"/>
    <mergeCell ref="B104:C104"/>
    <mergeCell ref="K106:L106"/>
    <mergeCell ref="N106:O106"/>
    <mergeCell ref="B107:C107"/>
    <mergeCell ref="B114:C114"/>
    <mergeCell ref="B115:C115"/>
    <mergeCell ref="B108:C108"/>
    <mergeCell ref="B109:C109"/>
    <mergeCell ref="B113:C113"/>
    <mergeCell ref="N120:O120"/>
    <mergeCell ref="B120:C120"/>
    <mergeCell ref="B126:C126"/>
    <mergeCell ref="E120:F120"/>
    <mergeCell ref="H120:I120"/>
    <mergeCell ref="K120:L120"/>
    <mergeCell ref="B123:C123"/>
    <mergeCell ref="B124:C124"/>
    <mergeCell ref="B125:C125"/>
  </mergeCells>
  <phoneticPr fontId="0" type="noConversion"/>
  <conditionalFormatting sqref="E73 K73 H73 N73">
    <cfRule type="cellIs" dxfId="446" priority="76" stopIfTrue="1" operator="lessThan">
      <formula>0</formula>
    </cfRule>
  </conditionalFormatting>
  <conditionalFormatting sqref="E52 H52 K52 N52 K8 H8 E8 N8">
    <cfRule type="cellIs" dxfId="445" priority="78" stopIfTrue="1" operator="equal">
      <formula>0</formula>
    </cfRule>
  </conditionalFormatting>
  <conditionalFormatting sqref="E91:F91 H91:I91 K91:L91 N91:O91">
    <cfRule type="cellIs" dxfId="444" priority="75" stopIfTrue="1" operator="lessThan">
      <formula>0</formula>
    </cfRule>
  </conditionalFormatting>
  <conditionalFormatting sqref="N7:O7 E7:F7 H7:I7 K7:L7">
    <cfRule type="cellIs" dxfId="443" priority="103" stopIfTrue="1" operator="notEqual">
      <formula>12</formula>
    </cfRule>
  </conditionalFormatting>
  <conditionalFormatting sqref="F97 I97 L97 O97">
    <cfRule type="cellIs" dxfId="442" priority="31" stopIfTrue="1" operator="lessThan">
      <formula>0</formula>
    </cfRule>
  </conditionalFormatting>
  <conditionalFormatting sqref="E58:F58 H58:I58 K58:L58 N58:O58 E75:F75 E77:F77 H75:I75 H77:I77 K75:L75 K77:L77 N75:O75 N77:O77 E90:F90 H90:I90 K90:L90 N90:O90 E99:F99 H99:I99 K99:L99 N99:O99 N62:O62 K62:L62 H62:I62 E62:F62">
    <cfRule type="cellIs" dxfId="441" priority="30" stopIfTrue="1" operator="lessThan">
      <formula>0</formula>
    </cfRule>
  </conditionalFormatting>
  <conditionalFormatting sqref="E9:F9">
    <cfRule type="cellIs" dxfId="440" priority="19" operator="equal">
      <formula>"Durée de l'exercice ?"</formula>
    </cfRule>
  </conditionalFormatting>
  <conditionalFormatting sqref="H9:I9">
    <cfRule type="cellIs" dxfId="439" priority="18" operator="equal">
      <formula>"Durée de l'exercice ?"</formula>
    </cfRule>
  </conditionalFormatting>
  <conditionalFormatting sqref="K9:L9">
    <cfRule type="cellIs" dxfId="438" priority="17" operator="equal">
      <formula>"Durée de l'exercice ?"</formula>
    </cfRule>
  </conditionalFormatting>
  <conditionalFormatting sqref="N9:O9">
    <cfRule type="cellIs" dxfId="437" priority="16" operator="equal">
      <formula>"Durée de l'exercice ?"</formula>
    </cfRule>
  </conditionalFormatting>
  <conditionalFormatting sqref="B2">
    <cfRule type="cellIs" dxfId="436" priority="15" stopIfTrue="1" operator="equal">
      <formula>0</formula>
    </cfRule>
  </conditionalFormatting>
  <conditionalFormatting sqref="E6:F6">
    <cfRule type="expression" dxfId="435" priority="13">
      <formula>E7&lt;&gt;12</formula>
    </cfRule>
    <cfRule type="cellIs" dxfId="434" priority="14" operator="equal">
      <formula>0</formula>
    </cfRule>
  </conditionalFormatting>
  <conditionalFormatting sqref="H6:I6">
    <cfRule type="expression" dxfId="433" priority="5">
      <formula>H7&lt;&gt;12</formula>
    </cfRule>
    <cfRule type="cellIs" dxfId="432" priority="6" operator="equal">
      <formula>0</formula>
    </cfRule>
  </conditionalFormatting>
  <conditionalFormatting sqref="K6:L6">
    <cfRule type="expression" dxfId="431" priority="3">
      <formula>K7&lt;&gt;12</formula>
    </cfRule>
    <cfRule type="cellIs" dxfId="430" priority="4" operator="equal">
      <formula>0</formula>
    </cfRule>
  </conditionalFormatting>
  <conditionalFormatting sqref="N6:O6">
    <cfRule type="expression" dxfId="429" priority="1">
      <formula>N7&lt;&gt;12</formula>
    </cfRule>
    <cfRule type="cellIs" dxfId="428" priority="2" operator="equal">
      <formula>0</formula>
    </cfRule>
  </conditionalFormatting>
  <dataValidations count="3">
    <dataValidation allowBlank="1" showInputMessage="1" showErrorMessage="1" prompt="Si le coefficient n'a pas pu être calculé dans la case précédente, retenir, par défaut, un coefficient de 0,60 dans la présente case" sqref="G143 G128 J143 J128 M143 M128 D143 D128 E118 H118 K118 N118" xr:uid="{00000000-0002-0000-0A00-000000000000}"/>
    <dataValidation allowBlank="1" showInputMessage="1" showErrorMessage="1" prompt="Si le coefficient n'a pas pu être calculé dans la case précédente, retenir, par défaut, un coefficient de 0,75 dans la présente case" sqref="E112 H112 K112 N112" xr:uid="{00000000-0002-0000-0A00-000001000000}"/>
    <dataValidation allowBlank="1" showInputMessage="1" showErrorMessage="1" prompt="renseigner l&quot;année du 1°exercice du compte de résultat prévisionnel" sqref="E6:F6" xr:uid="{00000000-0002-0000-0A00-000002000000}"/>
  </dataValidations>
  <printOptions horizontalCentered="1" verticalCentered="1"/>
  <pageMargins left="0" right="0" top="0" bottom="0" header="0" footer="0"/>
  <pageSetup paperSize="9" scale="64" fitToHeight="0" orientation="portrait" r:id="rId1"/>
  <headerFooter alignWithMargins="0"/>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tabColor theme="0" tint="-0.499984740745262"/>
    <pageSetUpPr fitToPage="1"/>
  </sheetPr>
  <dimension ref="A1:U185"/>
  <sheetViews>
    <sheetView showGridLines="0" showRowColHeaders="0" workbookViewId="0">
      <pane xSplit="4" ySplit="6" topLeftCell="E7" activePane="bottomRight" state="frozenSplit"/>
      <selection pane="topRight" activeCell="K1" sqref="K1"/>
      <selection pane="bottomLeft" activeCell="A10" sqref="A10"/>
      <selection pane="bottomRight" activeCell="D2" sqref="D2:P2"/>
    </sheetView>
  </sheetViews>
  <sheetFormatPr baseColWidth="10" defaultColWidth="10.77734375" defaultRowHeight="13.8" x14ac:dyDescent="0.3"/>
  <cols>
    <col min="1" max="1" width="1.77734375" style="1" customWidth="1"/>
    <col min="2" max="2" width="49.109375" style="1" customWidth="1"/>
    <col min="3" max="3" width="7.77734375" style="645" customWidth="1"/>
    <col min="4" max="4" width="8.77734375" style="651" customWidth="1"/>
    <col min="5" max="5" width="0.44140625" style="311" customWidth="1"/>
    <col min="6" max="6" width="12.77734375" style="1" customWidth="1"/>
    <col min="7" max="7" width="8.77734375" style="138" customWidth="1"/>
    <col min="8" max="8" width="0.6640625" style="311" customWidth="1"/>
    <col min="9" max="9" width="12.77734375" style="1" customWidth="1"/>
    <col min="10" max="10" width="8.77734375" style="138" customWidth="1"/>
    <col min="11" max="11" width="0.6640625" style="311" customWidth="1"/>
    <col min="12" max="12" width="12.77734375" style="1" customWidth="1"/>
    <col min="13" max="13" width="8.77734375" style="138" customWidth="1"/>
    <col min="14" max="14" width="0.6640625" style="311" customWidth="1"/>
    <col min="15" max="15" width="12.77734375" style="1" customWidth="1"/>
    <col min="16" max="16" width="8.77734375" style="138" customWidth="1"/>
    <col min="17" max="17" width="1.77734375" style="1" customWidth="1"/>
    <col min="18" max="18" width="10.77734375" style="304"/>
    <col min="19" max="19" width="10.77734375" style="19"/>
    <col min="20" max="16384" width="10.77734375" style="1"/>
  </cols>
  <sheetData>
    <row r="1" spans="2:19" ht="6" customHeight="1" x14ac:dyDescent="0.3"/>
    <row r="2" spans="2:19" ht="21.9" customHeight="1" x14ac:dyDescent="0.3">
      <c r="B2" s="4435" t="str">
        <f>IF(ISBLANK(nom)," ",nom)</f>
        <v xml:space="preserve"> </v>
      </c>
      <c r="C2" s="4436"/>
      <c r="D2" s="4244" t="s">
        <v>905</v>
      </c>
      <c r="E2" s="4594"/>
      <c r="F2" s="4594"/>
      <c r="G2" s="4594"/>
      <c r="H2" s="4594"/>
      <c r="I2" s="4594"/>
      <c r="J2" s="4594"/>
      <c r="K2" s="4594"/>
      <c r="L2" s="4594"/>
      <c r="M2" s="4594"/>
      <c r="N2" s="4594"/>
      <c r="O2" s="4594"/>
      <c r="P2" s="4595"/>
      <c r="Q2" s="304"/>
    </row>
    <row r="3" spans="2:19" ht="20.100000000000001" customHeight="1" x14ac:dyDescent="0.3">
      <c r="B3" s="4587" t="s">
        <v>692</v>
      </c>
      <c r="C3" s="4587"/>
      <c r="D3" s="4587"/>
      <c r="E3" s="4587"/>
      <c r="F3" s="4587"/>
      <c r="G3" s="4587"/>
      <c r="H3" s="4587"/>
      <c r="I3" s="4587"/>
      <c r="J3" s="4587"/>
      <c r="K3" s="4587"/>
      <c r="L3" s="4587"/>
      <c r="M3" s="4587"/>
      <c r="N3" s="4587"/>
      <c r="O3" s="4587"/>
      <c r="P3" s="4587"/>
    </row>
    <row r="4" spans="2:19" ht="20.100000000000001" customHeight="1" x14ac:dyDescent="0.3">
      <c r="B4" s="4518" t="s">
        <v>48</v>
      </c>
      <c r="C4" s="4588" t="s">
        <v>684</v>
      </c>
      <c r="D4" s="4589"/>
      <c r="E4" s="317"/>
      <c r="F4" s="4570" t="str">
        <f>IF(ISBLANK(An)," ",An-1)</f>
        <v xml:space="preserve"> </v>
      </c>
      <c r="G4" s="4571"/>
      <c r="H4" s="317"/>
      <c r="I4" s="4570" t="str">
        <f>IF(ISBLANK(An)," ",An-2)</f>
        <v xml:space="preserve"> </v>
      </c>
      <c r="J4" s="4571"/>
      <c r="K4" s="317"/>
      <c r="L4" s="4570" t="str">
        <f>IF(ISBLANK(An)," ",An-3)</f>
        <v xml:space="preserve"> </v>
      </c>
      <c r="M4" s="4571"/>
      <c r="N4" s="317"/>
      <c r="O4" s="4570" t="str">
        <f>IF(ISBLANK(An)," ",An-4)</f>
        <v xml:space="preserve"> </v>
      </c>
      <c r="P4" s="4571"/>
      <c r="R4" s="30"/>
    </row>
    <row r="5" spans="2:19" ht="20.100000000000001" customHeight="1" x14ac:dyDescent="0.3">
      <c r="B5" s="4519"/>
      <c r="C5" s="4590" t="s">
        <v>685</v>
      </c>
      <c r="D5" s="4591"/>
      <c r="E5" s="318"/>
      <c r="F5" s="4531" t="str">
        <f>IF(ISBLANK(durée_1)," ",durée_1)</f>
        <v xml:space="preserve"> </v>
      </c>
      <c r="G5" s="4532"/>
      <c r="H5" s="796"/>
      <c r="I5" s="4531" t="str">
        <f>IF(ISBLANK(durée_2)," ",durée_2)</f>
        <v xml:space="preserve"> </v>
      </c>
      <c r="J5" s="4532"/>
      <c r="K5" s="796"/>
      <c r="L5" s="4531" t="str">
        <f>IF(ISBLANK(durée_3)," ",durée_3)</f>
        <v xml:space="preserve"> </v>
      </c>
      <c r="M5" s="4532"/>
      <c r="N5" s="796"/>
      <c r="O5" s="4531" t="str">
        <f>IF(ISBLANK(durée_4)," ",durée_4)</f>
        <v xml:space="preserve"> </v>
      </c>
      <c r="P5" s="4532"/>
      <c r="R5" s="30"/>
    </row>
    <row r="6" spans="2:19" ht="20.100000000000001" customHeight="1" x14ac:dyDescent="0.3">
      <c r="B6" s="4520"/>
      <c r="C6" s="4592" t="s">
        <v>78</v>
      </c>
      <c r="D6" s="4593"/>
      <c r="E6" s="303"/>
      <c r="F6" s="2308" t="s">
        <v>176</v>
      </c>
      <c r="G6" s="2307" t="s">
        <v>1</v>
      </c>
      <c r="H6" s="303"/>
      <c r="I6" s="2308" t="s">
        <v>176</v>
      </c>
      <c r="J6" s="2307" t="s">
        <v>1</v>
      </c>
      <c r="K6" s="303"/>
      <c r="L6" s="2308" t="s">
        <v>176</v>
      </c>
      <c r="M6" s="2307" t="s">
        <v>1</v>
      </c>
      <c r="N6" s="303"/>
      <c r="O6" s="2308" t="s">
        <v>176</v>
      </c>
      <c r="P6" s="2307" t="s">
        <v>1</v>
      </c>
      <c r="R6" s="30"/>
    </row>
    <row r="7" spans="2:19" s="2" customFormat="1" ht="3" customHeight="1" x14ac:dyDescent="0.3">
      <c r="B7" s="381"/>
      <c r="C7" s="639"/>
      <c r="D7" s="647"/>
      <c r="E7" s="303"/>
      <c r="F7" s="385"/>
      <c r="G7" s="303"/>
      <c r="H7" s="303"/>
      <c r="I7" s="385"/>
      <c r="J7" s="303"/>
      <c r="K7" s="303"/>
      <c r="L7" s="385"/>
      <c r="M7" s="303"/>
      <c r="N7" s="303"/>
      <c r="O7" s="385"/>
      <c r="P7" s="303"/>
      <c r="R7" s="301"/>
      <c r="S7" s="158"/>
    </row>
    <row r="8" spans="2:19" ht="20.100000000000001" customHeight="1" x14ac:dyDescent="0.3">
      <c r="B8" s="3274" t="s">
        <v>681</v>
      </c>
      <c r="C8" s="2281">
        <v>2051</v>
      </c>
      <c r="D8" s="2061" t="s">
        <v>166</v>
      </c>
      <c r="E8" s="246"/>
      <c r="F8" s="3275"/>
      <c r="G8" s="2016"/>
      <c r="H8" s="246"/>
      <c r="I8" s="3275"/>
      <c r="J8" s="2016"/>
      <c r="K8" s="246"/>
      <c r="L8" s="3275"/>
      <c r="M8" s="2016"/>
      <c r="N8" s="246"/>
      <c r="O8" s="3275"/>
      <c r="P8" s="2016"/>
      <c r="R8" s="30"/>
    </row>
    <row r="9" spans="2:19" ht="20.100000000000001" customHeight="1" x14ac:dyDescent="0.3">
      <c r="B9" s="2062" t="s">
        <v>80</v>
      </c>
      <c r="C9" s="2270">
        <v>2051</v>
      </c>
      <c r="D9" s="2063" t="s">
        <v>81</v>
      </c>
      <c r="E9" s="246"/>
      <c r="F9" s="2043"/>
      <c r="G9" s="2044"/>
      <c r="H9" s="246"/>
      <c r="I9" s="2043"/>
      <c r="J9" s="2044"/>
      <c r="K9" s="246"/>
      <c r="L9" s="2043"/>
      <c r="M9" s="2044"/>
      <c r="N9" s="246"/>
      <c r="O9" s="2043"/>
      <c r="P9" s="2044"/>
      <c r="R9" s="258"/>
    </row>
    <row r="10" spans="2:19" ht="20.100000000000001" customHeight="1" x14ac:dyDescent="0.3">
      <c r="B10" s="2064" t="s">
        <v>82</v>
      </c>
      <c r="C10" s="2273">
        <v>2050</v>
      </c>
      <c r="D10" s="2065" t="s">
        <v>83</v>
      </c>
      <c r="E10" s="246"/>
      <c r="F10" s="2045"/>
      <c r="G10" s="2017"/>
      <c r="H10" s="246"/>
      <c r="I10" s="2045"/>
      <c r="J10" s="2017"/>
      <c r="K10" s="246"/>
      <c r="L10" s="2045"/>
      <c r="M10" s="2017"/>
      <c r="N10" s="246"/>
      <c r="O10" s="2045"/>
      <c r="P10" s="2017"/>
      <c r="R10" s="30"/>
    </row>
    <row r="11" spans="2:19" ht="20.100000000000001" customHeight="1" x14ac:dyDescent="0.3">
      <c r="B11" s="2066" t="s">
        <v>84</v>
      </c>
      <c r="C11" s="2270">
        <v>2051</v>
      </c>
      <c r="D11" s="2063" t="s">
        <v>85</v>
      </c>
      <c r="E11" s="246"/>
      <c r="F11" s="1563"/>
      <c r="G11" s="2017"/>
      <c r="H11" s="246"/>
      <c r="I11" s="1563"/>
      <c r="J11" s="2017"/>
      <c r="K11" s="246"/>
      <c r="L11" s="1563"/>
      <c r="M11" s="2017"/>
      <c r="N11" s="246"/>
      <c r="O11" s="1563"/>
      <c r="P11" s="2017"/>
      <c r="R11" s="30"/>
    </row>
    <row r="12" spans="2:19" ht="20.100000000000001" customHeight="1" x14ac:dyDescent="0.3">
      <c r="B12" s="2067" t="s">
        <v>86</v>
      </c>
      <c r="C12" s="2260">
        <v>2051</v>
      </c>
      <c r="D12" s="2068" t="s">
        <v>87</v>
      </c>
      <c r="E12" s="246"/>
      <c r="F12" s="1566"/>
      <c r="G12" s="2018"/>
      <c r="H12" s="246"/>
      <c r="I12" s="1566"/>
      <c r="J12" s="2018"/>
      <c r="K12" s="246"/>
      <c r="L12" s="1566"/>
      <c r="M12" s="2018"/>
      <c r="N12" s="246"/>
      <c r="O12" s="1566"/>
      <c r="P12" s="2018"/>
      <c r="R12" s="30"/>
    </row>
    <row r="13" spans="2:19" ht="20.100000000000001" customHeight="1" x14ac:dyDescent="0.3">
      <c r="B13" s="2077" t="s">
        <v>88</v>
      </c>
      <c r="C13" s="2282">
        <v>2051</v>
      </c>
      <c r="D13" s="2078" t="s">
        <v>89</v>
      </c>
      <c r="E13" s="246"/>
      <c r="F13" s="2079"/>
      <c r="G13" s="2080"/>
      <c r="H13" s="246"/>
      <c r="I13" s="2079"/>
      <c r="J13" s="2080"/>
      <c r="K13" s="246"/>
      <c r="L13" s="2079"/>
      <c r="M13" s="2080"/>
      <c r="N13" s="246"/>
      <c r="O13" s="2079"/>
      <c r="P13" s="2080"/>
      <c r="R13" s="30"/>
    </row>
    <row r="14" spans="2:19" ht="20.100000000000001" customHeight="1" x14ac:dyDescent="0.3">
      <c r="B14" s="2064" t="s">
        <v>90</v>
      </c>
      <c r="C14" s="2273">
        <v>2050</v>
      </c>
      <c r="D14" s="2065" t="s">
        <v>91</v>
      </c>
      <c r="E14" s="246"/>
      <c r="F14" s="2045"/>
      <c r="G14" s="2017"/>
      <c r="H14" s="246"/>
      <c r="I14" s="2045"/>
      <c r="J14" s="2017"/>
      <c r="K14" s="246"/>
      <c r="L14" s="2045"/>
      <c r="M14" s="2017"/>
      <c r="N14" s="246"/>
      <c r="O14" s="2045"/>
      <c r="P14" s="2017"/>
      <c r="R14" s="30"/>
    </row>
    <row r="15" spans="2:19" ht="20.100000000000001" customHeight="1" x14ac:dyDescent="0.3">
      <c r="B15" s="2064" t="s">
        <v>798</v>
      </c>
      <c r="C15" s="2273">
        <v>2050</v>
      </c>
      <c r="D15" s="2065" t="s">
        <v>796</v>
      </c>
      <c r="E15" s="246"/>
      <c r="F15" s="2045"/>
      <c r="G15" s="2017"/>
      <c r="H15" s="246"/>
      <c r="I15" s="2045"/>
      <c r="J15" s="2017"/>
      <c r="K15" s="246"/>
      <c r="L15" s="2045"/>
      <c r="M15" s="2017"/>
      <c r="N15" s="246"/>
      <c r="O15" s="2045"/>
      <c r="P15" s="2017"/>
      <c r="R15" s="30"/>
    </row>
    <row r="16" spans="2:19" ht="20.100000000000001" customHeight="1" x14ac:dyDescent="0.3">
      <c r="B16" s="2069" t="s">
        <v>799</v>
      </c>
      <c r="C16" s="2273">
        <v>2050</v>
      </c>
      <c r="D16" s="2065" t="s">
        <v>797</v>
      </c>
      <c r="E16" s="246"/>
      <c r="F16" s="2046"/>
      <c r="G16" s="2017"/>
      <c r="H16" s="246"/>
      <c r="I16" s="2046"/>
      <c r="J16" s="2017"/>
      <c r="K16" s="246"/>
      <c r="L16" s="2046"/>
      <c r="M16" s="2017"/>
      <c r="N16" s="246"/>
      <c r="O16" s="2046"/>
      <c r="P16" s="2017"/>
      <c r="R16" s="727"/>
    </row>
    <row r="17" spans="2:21" ht="20.100000000000001" customHeight="1" x14ac:dyDescent="0.3">
      <c r="B17" s="2064" t="s">
        <v>372</v>
      </c>
      <c r="C17" s="2273">
        <v>2050</v>
      </c>
      <c r="D17" s="2065" t="s">
        <v>379</v>
      </c>
      <c r="E17" s="246"/>
      <c r="F17" s="2045"/>
      <c r="G17" s="2017"/>
      <c r="H17" s="246"/>
      <c r="I17" s="2045"/>
      <c r="J17" s="2017"/>
      <c r="K17" s="246"/>
      <c r="L17" s="2045"/>
      <c r="M17" s="2017"/>
      <c r="N17" s="246"/>
      <c r="O17" s="2045"/>
      <c r="P17" s="2017"/>
      <c r="R17" s="30"/>
    </row>
    <row r="18" spans="2:21" ht="20.100000000000001" customHeight="1" x14ac:dyDescent="0.3">
      <c r="B18" s="2070" t="s">
        <v>371</v>
      </c>
      <c r="C18" s="2283">
        <v>2050</v>
      </c>
      <c r="D18" s="2071" t="s">
        <v>93</v>
      </c>
      <c r="E18" s="246"/>
      <c r="F18" s="2047"/>
      <c r="G18" s="2018"/>
      <c r="H18" s="246"/>
      <c r="I18" s="2047"/>
      <c r="J18" s="2018"/>
      <c r="K18" s="246"/>
      <c r="L18" s="2047"/>
      <c r="M18" s="2018"/>
      <c r="N18" s="246"/>
      <c r="O18" s="2047"/>
      <c r="P18" s="2018"/>
      <c r="R18" s="30"/>
    </row>
    <row r="19" spans="2:21" s="2091" customFormat="1" ht="21.9" customHeight="1" x14ac:dyDescent="0.3">
      <c r="B19" s="4567" t="s">
        <v>94</v>
      </c>
      <c r="C19" s="4568"/>
      <c r="D19" s="4569"/>
      <c r="E19" s="303"/>
      <c r="F19" s="2081">
        <f>F9-F10+F11+F12+F13-F14-F15+F16-F17-F18</f>
        <v>0</v>
      </c>
      <c r="G19" s="2082" t="str">
        <f>IF(ISERROR(F19/total_bilan_1)," ",F19/total_bilan_1)</f>
        <v xml:space="preserve"> </v>
      </c>
      <c r="H19" s="303"/>
      <c r="I19" s="2081">
        <f>I9-I10+I11+I12+I13-I14-I15+I16-I17-I18</f>
        <v>0</v>
      </c>
      <c r="J19" s="2082" t="str">
        <f>IF(ISERROR(I19/total_bilan_2)," ",I19/total_bilan_2)</f>
        <v xml:space="preserve"> </v>
      </c>
      <c r="K19" s="303"/>
      <c r="L19" s="2081">
        <f>L9-L10+L11+L12+L13-L14-L15+L16-L17-L18</f>
        <v>0</v>
      </c>
      <c r="M19" s="2082" t="str">
        <f>IF(ISERROR(L19/total_bilan_3)," ",L19/total_bilan_3)</f>
        <v xml:space="preserve"> </v>
      </c>
      <c r="N19" s="303"/>
      <c r="O19" s="2081">
        <f>O9-O10+O11+O12+O13-O14-O15+O16-O17-O18</f>
        <v>0</v>
      </c>
      <c r="P19" s="2082" t="str">
        <f>IF(ISERROR(O19/total_bilan_4)," ",O19/total_bilan_4)</f>
        <v xml:space="preserve"> </v>
      </c>
      <c r="R19" s="314"/>
      <c r="S19" s="2092"/>
      <c r="U19" s="1"/>
    </row>
    <row r="20" spans="2:21" ht="20.100000000000001" customHeight="1" x14ac:dyDescent="0.3">
      <c r="B20" s="2067" t="s">
        <v>95</v>
      </c>
      <c r="C20" s="2266">
        <v>2051</v>
      </c>
      <c r="D20" s="2072" t="s">
        <v>96</v>
      </c>
      <c r="E20" s="246"/>
      <c r="F20" s="1566"/>
      <c r="G20" s="2018"/>
      <c r="H20" s="246"/>
      <c r="I20" s="1566"/>
      <c r="J20" s="2018"/>
      <c r="K20" s="246"/>
      <c r="L20" s="1566"/>
      <c r="M20" s="2018"/>
      <c r="N20" s="246"/>
      <c r="O20" s="1566"/>
      <c r="P20" s="2018"/>
      <c r="R20" s="30"/>
    </row>
    <row r="21" spans="2:21" ht="20.100000000000001" customHeight="1" x14ac:dyDescent="0.3">
      <c r="B21" s="2066" t="s">
        <v>97</v>
      </c>
      <c r="C21" s="2270">
        <v>2051</v>
      </c>
      <c r="D21" s="2063" t="s">
        <v>98</v>
      </c>
      <c r="E21" s="246"/>
      <c r="F21" s="1563"/>
      <c r="G21" s="2017"/>
      <c r="H21" s="246"/>
      <c r="I21" s="1563"/>
      <c r="J21" s="2017"/>
      <c r="K21" s="246"/>
      <c r="L21" s="1563"/>
      <c r="M21" s="2017"/>
      <c r="N21" s="246"/>
      <c r="O21" s="1563"/>
      <c r="P21" s="2017"/>
      <c r="R21" s="30"/>
    </row>
    <row r="22" spans="2:21" ht="20.100000000000001" customHeight="1" x14ac:dyDescent="0.3">
      <c r="B22" s="2066" t="s">
        <v>99</v>
      </c>
      <c r="C22" s="2270">
        <v>2051</v>
      </c>
      <c r="D22" s="2063" t="s">
        <v>100</v>
      </c>
      <c r="E22" s="246"/>
      <c r="F22" s="2048"/>
      <c r="G22" s="2017"/>
      <c r="H22" s="246"/>
      <c r="I22" s="1563"/>
      <c r="J22" s="2017"/>
      <c r="K22" s="246"/>
      <c r="L22" s="1563"/>
      <c r="M22" s="2017"/>
      <c r="N22" s="246"/>
      <c r="O22" s="1563"/>
      <c r="P22" s="2017"/>
      <c r="R22" s="30"/>
    </row>
    <row r="23" spans="2:21" ht="20.100000000000001" customHeight="1" x14ac:dyDescent="0.3">
      <c r="B23" s="2066" t="s">
        <v>101</v>
      </c>
      <c r="C23" s="2270">
        <v>2051</v>
      </c>
      <c r="D23" s="2063" t="s">
        <v>102</v>
      </c>
      <c r="E23" s="246"/>
      <c r="F23" s="2048"/>
      <c r="G23" s="2017"/>
      <c r="H23" s="246"/>
      <c r="I23" s="1563"/>
      <c r="J23" s="2017"/>
      <c r="K23" s="246"/>
      <c r="L23" s="1563"/>
      <c r="M23" s="2017"/>
      <c r="N23" s="246"/>
      <c r="O23" s="1563"/>
      <c r="P23" s="2017"/>
      <c r="R23" s="752"/>
    </row>
    <row r="24" spans="2:21" ht="20.100000000000001" customHeight="1" x14ac:dyDescent="0.3">
      <c r="B24" s="2073" t="s">
        <v>804</v>
      </c>
      <c r="C24" s="2260"/>
      <c r="D24" s="2072"/>
      <c r="E24" s="246"/>
      <c r="F24" s="2049">
        <f>F84+F89+F101</f>
        <v>0</v>
      </c>
      <c r="G24" s="2018"/>
      <c r="H24" s="246"/>
      <c r="I24" s="2049">
        <f>I84+I89+I101</f>
        <v>0</v>
      </c>
      <c r="J24" s="2018"/>
      <c r="K24" s="246"/>
      <c r="L24" s="2049">
        <f>L84+L89+L101</f>
        <v>0</v>
      </c>
      <c r="M24" s="2018"/>
      <c r="N24" s="246"/>
      <c r="O24" s="2049">
        <f>O84+O89+O101</f>
        <v>0</v>
      </c>
      <c r="P24" s="2018"/>
      <c r="R24" s="752"/>
    </row>
    <row r="25" spans="2:21" ht="21.9" customHeight="1" x14ac:dyDescent="0.3">
      <c r="B25" s="2085" t="s">
        <v>457</v>
      </c>
      <c r="C25" s="2086"/>
      <c r="D25" s="2087"/>
      <c r="E25" s="246"/>
      <c r="F25" s="2088">
        <f>SUM(F20:F24)</f>
        <v>0</v>
      </c>
      <c r="G25" s="2089" t="str">
        <f>IF(ISERROR(F25/total_bilan_1)," ",F25/total_bilan_1)</f>
        <v xml:space="preserve"> </v>
      </c>
      <c r="H25" s="246"/>
      <c r="I25" s="2088">
        <f>SUM(I20:I24)</f>
        <v>0</v>
      </c>
      <c r="J25" s="2090" t="str">
        <f>IF(ISERROR(I25/total_bilan_2)," ",I25/total_bilan_2)</f>
        <v xml:space="preserve"> </v>
      </c>
      <c r="K25" s="246"/>
      <c r="L25" s="2088">
        <f>SUM(L20:L24)</f>
        <v>0</v>
      </c>
      <c r="M25" s="2090" t="str">
        <f>IF(ISERROR(L25/total_bilan_3)," ",L25/total_bilan_3)</f>
        <v xml:space="preserve"> </v>
      </c>
      <c r="N25" s="246"/>
      <c r="O25" s="2088">
        <f>SUM(O20:O24)</f>
        <v>0</v>
      </c>
      <c r="P25" s="2090" t="str">
        <f>IF(ISERROR(O25/total_bilan_4)," ",O25/total_bilan_4)</f>
        <v xml:space="preserve"> </v>
      </c>
      <c r="R25" s="30"/>
    </row>
    <row r="26" spans="2:21" ht="20.100000000000001" customHeight="1" x14ac:dyDescent="0.3">
      <c r="B26" s="1907" t="s">
        <v>103</v>
      </c>
      <c r="C26" s="2266">
        <v>2051</v>
      </c>
      <c r="D26" s="2072" t="s">
        <v>104</v>
      </c>
      <c r="E26" s="246"/>
      <c r="F26" s="2050"/>
      <c r="G26" s="1949"/>
      <c r="H26" s="246"/>
      <c r="I26" s="2050"/>
      <c r="J26" s="1949"/>
      <c r="K26" s="246"/>
      <c r="L26" s="2050"/>
      <c r="M26" s="1949"/>
      <c r="N26" s="246"/>
      <c r="O26" s="2050"/>
      <c r="P26" s="1949"/>
      <c r="R26" s="695"/>
    </row>
    <row r="27" spans="2:21" s="2091" customFormat="1" ht="21.9" customHeight="1" x14ac:dyDescent="0.3">
      <c r="B27" s="4578" t="s">
        <v>105</v>
      </c>
      <c r="C27" s="4579"/>
      <c r="D27" s="4580"/>
      <c r="E27" s="303"/>
      <c r="F27" s="2083">
        <f>F25-F26</f>
        <v>0</v>
      </c>
      <c r="G27" s="2084" t="str">
        <f>IF(ISERROR(F27/total_bilan_1)," ",F27/total_bilan_1)</f>
        <v xml:space="preserve"> </v>
      </c>
      <c r="H27" s="303"/>
      <c r="I27" s="2083">
        <f>I25-I26</f>
        <v>0</v>
      </c>
      <c r="J27" s="2084" t="str">
        <f>IF(ISERROR(I27/total_bilan_2)," ",I27/total_bilan_2)</f>
        <v xml:space="preserve"> </v>
      </c>
      <c r="K27" s="303"/>
      <c r="L27" s="2083">
        <f>L25-L26</f>
        <v>0</v>
      </c>
      <c r="M27" s="2084" t="str">
        <f>IF(ISERROR(L27/total_bilan_3)," ",L27/total_bilan_3)</f>
        <v xml:space="preserve"> </v>
      </c>
      <c r="N27" s="303"/>
      <c r="O27" s="2083">
        <f>O25-O26</f>
        <v>0</v>
      </c>
      <c r="P27" s="2084" t="str">
        <f>IF(ISERROR(O27/total_bilan_4)," ",O27/total_bilan_4)</f>
        <v xml:space="preserve"> </v>
      </c>
      <c r="R27" s="2093"/>
      <c r="S27" s="2094"/>
      <c r="T27" s="260"/>
      <c r="U27" s="260"/>
    </row>
    <row r="28" spans="2:21" s="310" customFormat="1" ht="21.9" customHeight="1" x14ac:dyDescent="0.3">
      <c r="B28" s="4489" t="s">
        <v>106</v>
      </c>
      <c r="C28" s="4542"/>
      <c r="D28" s="4543"/>
      <c r="E28" s="303"/>
      <c r="F28" s="2013">
        <f>F19+F27</f>
        <v>0</v>
      </c>
      <c r="G28" s="2019" t="str">
        <f>IF(ISERROR(F28/total_bilan_1)," ",F28/total_bilan_1)</f>
        <v xml:space="preserve"> </v>
      </c>
      <c r="H28" s="303"/>
      <c r="I28" s="2013">
        <f>I19+I27</f>
        <v>0</v>
      </c>
      <c r="J28" s="2019" t="str">
        <f>IF(ISERROR(I28/total_bilan_2)," ",I28/total_bilan_2)</f>
        <v xml:space="preserve"> </v>
      </c>
      <c r="K28" s="303"/>
      <c r="L28" s="2013">
        <f>L19+L27</f>
        <v>0</v>
      </c>
      <c r="M28" s="2019" t="str">
        <f>IF(ISERROR(L28/total_bilan_3)," ",L28/total_bilan_3)</f>
        <v xml:space="preserve"> </v>
      </c>
      <c r="N28" s="303"/>
      <c r="O28" s="2013">
        <f>O19+O27</f>
        <v>0</v>
      </c>
      <c r="P28" s="2019" t="str">
        <f>IF(ISERROR(O28/total_bilan_4)," ",O28/total_bilan_4)</f>
        <v xml:space="preserve"> </v>
      </c>
      <c r="R28" s="752"/>
      <c r="S28" s="19"/>
      <c r="T28" s="1"/>
      <c r="U28" s="1"/>
    </row>
    <row r="29" spans="2:21" s="310" customFormat="1" ht="20.100000000000001" customHeight="1" x14ac:dyDescent="0.3">
      <c r="B29" s="2067" t="s">
        <v>380</v>
      </c>
      <c r="C29" s="2266">
        <v>2050</v>
      </c>
      <c r="D29" s="2072" t="s">
        <v>381</v>
      </c>
      <c r="E29" s="246"/>
      <c r="F29" s="1566"/>
      <c r="G29" s="2018"/>
      <c r="H29" s="246"/>
      <c r="I29" s="1566"/>
      <c r="J29" s="2018"/>
      <c r="K29" s="246"/>
      <c r="L29" s="1566"/>
      <c r="M29" s="2018"/>
      <c r="N29" s="246"/>
      <c r="O29" s="1566"/>
      <c r="P29" s="2018"/>
      <c r="R29" s="752"/>
      <c r="S29" s="19"/>
      <c r="T29" s="1"/>
      <c r="U29" s="1"/>
    </row>
    <row r="30" spans="2:21" s="310" customFormat="1" ht="20.100000000000001" customHeight="1" x14ac:dyDescent="0.25">
      <c r="B30" s="2073" t="s">
        <v>798</v>
      </c>
      <c r="C30" s="2260"/>
      <c r="D30" s="2068"/>
      <c r="E30" s="303"/>
      <c r="F30" s="2051">
        <f>-F15</f>
        <v>0</v>
      </c>
      <c r="G30" s="2052"/>
      <c r="H30" s="246"/>
      <c r="I30" s="2051">
        <f>-I15</f>
        <v>0</v>
      </c>
      <c r="J30" s="2052"/>
      <c r="K30" s="246"/>
      <c r="L30" s="2051">
        <f>-L15</f>
        <v>0</v>
      </c>
      <c r="M30" s="2052"/>
      <c r="N30" s="246"/>
      <c r="O30" s="2051">
        <f>-O15</f>
        <v>0</v>
      </c>
      <c r="P30" s="2052"/>
      <c r="R30" s="138"/>
      <c r="S30" s="319"/>
    </row>
    <row r="31" spans="2:21" s="260" customFormat="1" ht="20.100000000000001" customHeight="1" x14ac:dyDescent="0.3">
      <c r="B31" s="4581" t="s">
        <v>380</v>
      </c>
      <c r="C31" s="4582"/>
      <c r="D31" s="4583"/>
      <c r="E31" s="321"/>
      <c r="F31" s="2081">
        <f>SUM(F29:F30)</f>
        <v>0</v>
      </c>
      <c r="G31" s="2098"/>
      <c r="H31" s="2096"/>
      <c r="I31" s="2081">
        <f>SUM(I29:I30)</f>
        <v>0</v>
      </c>
      <c r="J31" s="2098"/>
      <c r="K31" s="2096"/>
      <c r="L31" s="2081">
        <f>SUM(L29:L30)</f>
        <v>0</v>
      </c>
      <c r="M31" s="2098"/>
      <c r="N31" s="2096"/>
      <c r="O31" s="2081">
        <f>SUM(O29:O30)</f>
        <v>0</v>
      </c>
      <c r="P31" s="2098"/>
      <c r="R31" s="2093"/>
      <c r="S31" s="2097"/>
    </row>
    <row r="32" spans="2:21" s="343" customFormat="1" ht="20.100000000000001" customHeight="1" x14ac:dyDescent="0.3">
      <c r="B32" s="2074" t="s">
        <v>383</v>
      </c>
      <c r="C32" s="2279">
        <v>2050</v>
      </c>
      <c r="D32" s="2075" t="s">
        <v>382</v>
      </c>
      <c r="E32" s="382"/>
      <c r="F32" s="2053"/>
      <c r="G32" s="2054"/>
      <c r="H32" s="382"/>
      <c r="I32" s="2053"/>
      <c r="J32" s="2054"/>
      <c r="K32" s="382"/>
      <c r="L32" s="2053"/>
      <c r="M32" s="2054"/>
      <c r="N32" s="382"/>
      <c r="O32" s="2053"/>
      <c r="P32" s="2054"/>
      <c r="R32" s="383"/>
      <c r="S32" s="732"/>
    </row>
    <row r="33" spans="2:19" s="343" customFormat="1" ht="20.100000000000001" customHeight="1" x14ac:dyDescent="0.3">
      <c r="B33" s="2076" t="s">
        <v>799</v>
      </c>
      <c r="C33" s="2260"/>
      <c r="D33" s="2068"/>
      <c r="E33" s="382"/>
      <c r="F33" s="2055">
        <f>-F16</f>
        <v>0</v>
      </c>
      <c r="G33" s="2056"/>
      <c r="H33" s="382"/>
      <c r="I33" s="2055">
        <f>-I16</f>
        <v>0</v>
      </c>
      <c r="J33" s="2056"/>
      <c r="K33" s="382"/>
      <c r="L33" s="2055">
        <f>-L16</f>
        <v>0</v>
      </c>
      <c r="M33" s="2056"/>
      <c r="N33" s="382"/>
      <c r="O33" s="2055">
        <f>-O16</f>
        <v>0</v>
      </c>
      <c r="P33" s="2056"/>
      <c r="R33" s="383"/>
      <c r="S33" s="732"/>
    </row>
    <row r="34" spans="2:19" s="11" customFormat="1" ht="20.100000000000001" customHeight="1" x14ac:dyDescent="0.25">
      <c r="B34" s="2099" t="s">
        <v>378</v>
      </c>
      <c r="C34" s="2280"/>
      <c r="D34" s="2101"/>
      <c r="E34" s="278"/>
      <c r="F34" s="2102" t="str">
        <f>IF(ISERROR((F32+F33)/F31)," ",(F32+F33)/F31)</f>
        <v xml:space="preserve"> </v>
      </c>
      <c r="G34" s="2103"/>
      <c r="H34" s="278"/>
      <c r="I34" s="2102" t="str">
        <f>IF(ISERROR(I32/I31)," ",I32/I31)</f>
        <v xml:space="preserve"> </v>
      </c>
      <c r="J34" s="2103"/>
      <c r="K34" s="278"/>
      <c r="L34" s="2102" t="str">
        <f>IF(ISERROR(L32/L31)," ",L32/L31)</f>
        <v xml:space="preserve"> </v>
      </c>
      <c r="M34" s="2103"/>
      <c r="N34" s="278"/>
      <c r="O34" s="2102" t="str">
        <f>IF(ISERROR(O32/O31)," ",O32/O31)</f>
        <v xml:space="preserve"> </v>
      </c>
      <c r="P34" s="2103"/>
      <c r="R34" s="5"/>
      <c r="S34" s="731"/>
    </row>
    <row r="35" spans="2:19" ht="21.9" customHeight="1" x14ac:dyDescent="0.3">
      <c r="B35" s="4584" t="s">
        <v>107</v>
      </c>
      <c r="C35" s="4585"/>
      <c r="D35" s="4586"/>
      <c r="E35" s="246"/>
      <c r="F35" s="2057">
        <f>F31-F32-F33</f>
        <v>0</v>
      </c>
      <c r="G35" s="2058" t="str">
        <f>IF(ISERROR(F35/total_bilan_1)," ",F35/total_bilan_1)</f>
        <v xml:space="preserve"> </v>
      </c>
      <c r="H35" s="246"/>
      <c r="I35" s="2057">
        <f>I31-I32-I33</f>
        <v>0</v>
      </c>
      <c r="J35" s="2058" t="str">
        <f>IF(ISERROR(I35/total_bilan_2)," ",I35/total_bilan_2)</f>
        <v xml:space="preserve"> </v>
      </c>
      <c r="K35" s="246"/>
      <c r="L35" s="2057">
        <f>L31-L32-L33</f>
        <v>0</v>
      </c>
      <c r="M35" s="2058" t="str">
        <f>IF(ISERROR(L35/total_bilan_3)," ",L35/total_bilan_3)</f>
        <v xml:space="preserve"> </v>
      </c>
      <c r="N35" s="246"/>
      <c r="O35" s="2057">
        <f>O31-O32-O33</f>
        <v>0</v>
      </c>
      <c r="P35" s="2058" t="str">
        <f>IF(ISERROR(O35/total_bilan_3)," ",O35/total_bilan_3)</f>
        <v xml:space="preserve"> </v>
      </c>
      <c r="R35" s="30"/>
    </row>
    <row r="36" spans="2:19" s="310" customFormat="1" ht="21.9" customHeight="1" x14ac:dyDescent="0.3">
      <c r="B36" s="4544" t="s">
        <v>108</v>
      </c>
      <c r="C36" s="4545"/>
      <c r="D36" s="4546"/>
      <c r="E36" s="320"/>
      <c r="F36" s="2059">
        <f>F28-F35</f>
        <v>0</v>
      </c>
      <c r="G36" s="2060"/>
      <c r="H36" s="127"/>
      <c r="I36" s="2059">
        <f>I28-I35</f>
        <v>0</v>
      </c>
      <c r="J36" s="2060"/>
      <c r="K36" s="127"/>
      <c r="L36" s="2059">
        <f>L28-L35</f>
        <v>0</v>
      </c>
      <c r="M36" s="2060"/>
      <c r="N36" s="127"/>
      <c r="O36" s="2059">
        <f>O28-O35</f>
        <v>0</v>
      </c>
      <c r="P36" s="2060"/>
      <c r="R36" s="322"/>
      <c r="S36" s="323"/>
    </row>
    <row r="37" spans="2:19" ht="24.9" customHeight="1" x14ac:dyDescent="0.3">
      <c r="B37" s="616" t="s">
        <v>858</v>
      </c>
      <c r="C37" s="640"/>
      <c r="D37" s="648"/>
      <c r="E37" s="246"/>
      <c r="F37" s="65"/>
      <c r="G37" s="286"/>
      <c r="H37" s="246"/>
      <c r="I37" s="65"/>
      <c r="J37" s="286"/>
      <c r="K37" s="246"/>
      <c r="L37" s="65"/>
      <c r="M37" s="286"/>
      <c r="N37" s="246"/>
      <c r="O37" s="65"/>
      <c r="P37" s="286"/>
      <c r="R37" s="30"/>
    </row>
    <row r="38" spans="2:19" ht="20.100000000000001" customHeight="1" x14ac:dyDescent="0.3">
      <c r="B38" s="2104" t="s">
        <v>109</v>
      </c>
      <c r="C38" s="2259">
        <v>2050</v>
      </c>
      <c r="D38" s="2105" t="s">
        <v>110</v>
      </c>
      <c r="E38" s="246"/>
      <c r="F38" s="2121"/>
      <c r="G38" s="2016"/>
      <c r="H38" s="246"/>
      <c r="I38" s="2121"/>
      <c r="J38" s="2016"/>
      <c r="K38" s="246"/>
      <c r="L38" s="2121"/>
      <c r="M38" s="2016"/>
      <c r="N38" s="246"/>
      <c r="O38" s="2121"/>
      <c r="P38" s="2016"/>
      <c r="R38" s="324"/>
    </row>
    <row r="39" spans="2:19" s="343" customFormat="1" ht="20.100000000000001" customHeight="1" x14ac:dyDescent="0.3">
      <c r="B39" s="2106" t="s">
        <v>373</v>
      </c>
      <c r="C39" s="2270">
        <v>2050</v>
      </c>
      <c r="D39" s="2063" t="s">
        <v>111</v>
      </c>
      <c r="E39" s="382"/>
      <c r="F39" s="2122"/>
      <c r="G39" s="2123"/>
      <c r="H39" s="382"/>
      <c r="I39" s="2122"/>
      <c r="J39" s="2123"/>
      <c r="K39" s="382"/>
      <c r="L39" s="2122"/>
      <c r="M39" s="2123"/>
      <c r="N39" s="382"/>
      <c r="O39" s="2122"/>
      <c r="P39" s="2123"/>
      <c r="R39" s="383"/>
      <c r="S39" s="384"/>
    </row>
    <row r="40" spans="2:19" s="11" customFormat="1" ht="20.100000000000001" customHeight="1" x14ac:dyDescent="0.25">
      <c r="B40" s="2107" t="s">
        <v>378</v>
      </c>
      <c r="C40" s="2277"/>
      <c r="D40" s="2108"/>
      <c r="E40" s="278"/>
      <c r="F40" s="2124" t="str">
        <f>IF(ISERROR(F39/bl_1)," ",F39/bl_1)</f>
        <v xml:space="preserve"> </v>
      </c>
      <c r="G40" s="2125"/>
      <c r="H40" s="278"/>
      <c r="I40" s="2124" t="str">
        <f>IF(ISERROR(I39/bl_2)," ",I39/bl_2)</f>
        <v xml:space="preserve"> </v>
      </c>
      <c r="J40" s="2125"/>
      <c r="K40" s="278"/>
      <c r="L40" s="2124" t="str">
        <f>IF(ISERROR(L39/bl_3)," ",L39/bl_3)</f>
        <v xml:space="preserve"> </v>
      </c>
      <c r="M40" s="2125"/>
      <c r="N40" s="278"/>
      <c r="O40" s="2124" t="str">
        <f>IF(ISERROR(O39/bl_4)," ",O39/bl_4)</f>
        <v xml:space="preserve"> </v>
      </c>
      <c r="P40" s="2125"/>
      <c r="R40" s="5"/>
      <c r="S40" s="25"/>
    </row>
    <row r="41" spans="2:19" ht="20.100000000000001" customHeight="1" x14ac:dyDescent="0.3">
      <c r="B41" s="2067" t="s">
        <v>112</v>
      </c>
      <c r="C41" s="2266">
        <v>2050</v>
      </c>
      <c r="D41" s="2072" t="s">
        <v>113</v>
      </c>
      <c r="E41" s="246"/>
      <c r="F41" s="2126"/>
      <c r="G41" s="2018"/>
      <c r="H41" s="246"/>
      <c r="I41" s="2126"/>
      <c r="J41" s="2018"/>
      <c r="K41" s="246"/>
      <c r="L41" s="2126"/>
      <c r="M41" s="2018"/>
      <c r="N41" s="246"/>
      <c r="O41" s="2126"/>
      <c r="P41" s="2018"/>
      <c r="R41" s="324"/>
      <c r="S41" s="325"/>
    </row>
    <row r="42" spans="2:19" s="343" customFormat="1" ht="20.100000000000001" customHeight="1" x14ac:dyDescent="0.3">
      <c r="B42" s="2106" t="s">
        <v>374</v>
      </c>
      <c r="C42" s="2270">
        <v>2050</v>
      </c>
      <c r="D42" s="2063" t="s">
        <v>114</v>
      </c>
      <c r="E42" s="382"/>
      <c r="F42" s="2122"/>
      <c r="G42" s="2123"/>
      <c r="H42" s="382"/>
      <c r="I42" s="2122"/>
      <c r="J42" s="2123"/>
      <c r="K42" s="382"/>
      <c r="L42" s="2122"/>
      <c r="M42" s="2123"/>
      <c r="N42" s="382"/>
      <c r="O42" s="2122"/>
      <c r="P42" s="2123"/>
      <c r="R42" s="383"/>
      <c r="S42" s="384"/>
    </row>
    <row r="43" spans="2:19" s="11" customFormat="1" ht="20.100000000000001" customHeight="1" x14ac:dyDescent="0.25">
      <c r="B43" s="2107" t="s">
        <v>378</v>
      </c>
      <c r="C43" s="2277"/>
      <c r="D43" s="2108"/>
      <c r="E43" s="278"/>
      <c r="F43" s="2124" t="str">
        <f>IF(ISERROR(F42/bn_1)," ",F42/bn_1)</f>
        <v xml:space="preserve"> </v>
      </c>
      <c r="G43" s="2125"/>
      <c r="H43" s="278"/>
      <c r="I43" s="2124" t="str">
        <f>IF(ISERROR(I42/bn_2)," ",I42/bn_2)</f>
        <v xml:space="preserve"> </v>
      </c>
      <c r="J43" s="2125"/>
      <c r="K43" s="278"/>
      <c r="L43" s="2124" t="str">
        <f>IF(ISERROR(L42/bn_3)," ",L42/bn_3)</f>
        <v xml:space="preserve"> </v>
      </c>
      <c r="M43" s="2125"/>
      <c r="N43" s="278"/>
      <c r="O43" s="2124" t="str">
        <f>IF(ISERROR(O42/bn_4)," ",O42/bn_4)</f>
        <v xml:space="preserve"> </v>
      </c>
      <c r="P43" s="2125"/>
      <c r="R43" s="5"/>
      <c r="S43" s="25"/>
    </row>
    <row r="44" spans="2:19" ht="20.100000000000001" customHeight="1" x14ac:dyDescent="0.3">
      <c r="B44" s="2109" t="s">
        <v>115</v>
      </c>
      <c r="C44" s="2278">
        <v>2050</v>
      </c>
      <c r="D44" s="2110" t="s">
        <v>116</v>
      </c>
      <c r="E44" s="246"/>
      <c r="F44" s="2127"/>
      <c r="G44" s="2128"/>
      <c r="H44" s="246"/>
      <c r="I44" s="2127"/>
      <c r="J44" s="2128"/>
      <c r="K44" s="246"/>
      <c r="L44" s="2127"/>
      <c r="M44" s="2128"/>
      <c r="N44" s="246"/>
      <c r="O44" s="2127"/>
      <c r="P44" s="2128"/>
      <c r="R44" s="324"/>
    </row>
    <row r="45" spans="2:19" s="343" customFormat="1" ht="20.100000000000001" customHeight="1" x14ac:dyDescent="0.3">
      <c r="B45" s="2106" t="s">
        <v>375</v>
      </c>
      <c r="C45" s="2270">
        <v>2050</v>
      </c>
      <c r="D45" s="2063" t="s">
        <v>117</v>
      </c>
      <c r="E45" s="382"/>
      <c r="F45" s="2129"/>
      <c r="G45" s="2123"/>
      <c r="H45" s="382"/>
      <c r="I45" s="2129"/>
      <c r="J45" s="2123"/>
      <c r="K45" s="382"/>
      <c r="L45" s="2129"/>
      <c r="M45" s="2123"/>
      <c r="N45" s="382"/>
      <c r="O45" s="2129"/>
      <c r="P45" s="2123"/>
      <c r="R45" s="383"/>
      <c r="S45" s="384"/>
    </row>
    <row r="46" spans="2:19" s="11" customFormat="1" ht="20.100000000000001" customHeight="1" x14ac:dyDescent="0.25">
      <c r="B46" s="2107" t="s">
        <v>378</v>
      </c>
      <c r="C46" s="2277"/>
      <c r="D46" s="2108"/>
      <c r="E46" s="278"/>
      <c r="F46" s="2124" t="str">
        <f>IF(ISERROR(F45/bp_1)," ",F45/bp_1)</f>
        <v xml:space="preserve"> </v>
      </c>
      <c r="G46" s="2125"/>
      <c r="H46" s="278"/>
      <c r="I46" s="2124" t="str">
        <f>IF(ISERROR(I45/bp_2)," ",I45/bp_2)</f>
        <v xml:space="preserve"> </v>
      </c>
      <c r="J46" s="2125"/>
      <c r="K46" s="278"/>
      <c r="L46" s="2124" t="str">
        <f>IF(ISERROR(L45/bp_3)," ",L45/bp_3)</f>
        <v xml:space="preserve"> </v>
      </c>
      <c r="M46" s="2125"/>
      <c r="N46" s="278"/>
      <c r="O46" s="2124" t="str">
        <f>IF(ISERROR(O45/bp_4)," ",O45/bp_4)</f>
        <v xml:space="preserve"> </v>
      </c>
      <c r="P46" s="2125"/>
      <c r="R46" s="5"/>
      <c r="S46" s="25"/>
    </row>
    <row r="47" spans="2:19" ht="20.100000000000001" customHeight="1" x14ac:dyDescent="0.3">
      <c r="B47" s="2109" t="s">
        <v>118</v>
      </c>
      <c r="C47" s="2278">
        <v>2050</v>
      </c>
      <c r="D47" s="2110" t="s">
        <v>119</v>
      </c>
      <c r="E47" s="246"/>
      <c r="F47" s="2127"/>
      <c r="G47" s="2128"/>
      <c r="H47" s="246"/>
      <c r="I47" s="2127"/>
      <c r="J47" s="2128"/>
      <c r="K47" s="246"/>
      <c r="L47" s="2127"/>
      <c r="M47" s="2128"/>
      <c r="N47" s="246"/>
      <c r="O47" s="2127"/>
      <c r="P47" s="2128"/>
      <c r="R47" s="324"/>
      <c r="S47" s="325"/>
    </row>
    <row r="48" spans="2:19" s="343" customFormat="1" ht="20.100000000000001" customHeight="1" x14ac:dyDescent="0.3">
      <c r="B48" s="2106" t="s">
        <v>376</v>
      </c>
      <c r="C48" s="2270">
        <v>2050</v>
      </c>
      <c r="D48" s="2063" t="s">
        <v>120</v>
      </c>
      <c r="E48" s="382"/>
      <c r="F48" s="2122"/>
      <c r="G48" s="2123"/>
      <c r="H48" s="382"/>
      <c r="I48" s="2122"/>
      <c r="J48" s="2123"/>
      <c r="K48" s="382"/>
      <c r="L48" s="2122"/>
      <c r="M48" s="2123"/>
      <c r="N48" s="382"/>
      <c r="O48" s="2122"/>
      <c r="P48" s="2123"/>
      <c r="R48" s="383"/>
      <c r="S48" s="384"/>
    </row>
    <row r="49" spans="2:19" s="11" customFormat="1" ht="20.100000000000001" customHeight="1" x14ac:dyDescent="0.25">
      <c r="B49" s="2107" t="s">
        <v>378</v>
      </c>
      <c r="C49" s="2277"/>
      <c r="D49" s="2108"/>
      <c r="E49" s="278"/>
      <c r="F49" s="2124" t="str">
        <f>IF(ISERROR(F48/br_1)," ",F48/br_1)</f>
        <v xml:space="preserve"> </v>
      </c>
      <c r="G49" s="2125"/>
      <c r="H49" s="278"/>
      <c r="I49" s="2124" t="str">
        <f>IF(ISERROR(I48/br_2)," ",I48/br_2)</f>
        <v xml:space="preserve"> </v>
      </c>
      <c r="J49" s="2125"/>
      <c r="K49" s="278"/>
      <c r="L49" s="2124" t="str">
        <f>IF(ISERROR(L48/br_3)," ",L48/br_3)</f>
        <v xml:space="preserve"> </v>
      </c>
      <c r="M49" s="2125"/>
      <c r="N49" s="278"/>
      <c r="O49" s="2124" t="str">
        <f>IF(ISERROR(O48/br_4)," ",O48/br_4)</f>
        <v xml:space="preserve"> </v>
      </c>
      <c r="P49" s="2125"/>
      <c r="R49" s="5"/>
      <c r="S49" s="25"/>
    </row>
    <row r="50" spans="2:19" ht="20.100000000000001" customHeight="1" x14ac:dyDescent="0.3">
      <c r="B50" s="2067" t="s">
        <v>121</v>
      </c>
      <c r="C50" s="2266">
        <v>2050</v>
      </c>
      <c r="D50" s="2072" t="s">
        <v>122</v>
      </c>
      <c r="E50" s="246"/>
      <c r="F50" s="2126"/>
      <c r="G50" s="2018"/>
      <c r="H50" s="246"/>
      <c r="I50" s="2126"/>
      <c r="J50" s="2018"/>
      <c r="K50" s="246"/>
      <c r="L50" s="2126"/>
      <c r="M50" s="2018"/>
      <c r="N50" s="246"/>
      <c r="O50" s="2126"/>
      <c r="P50" s="2018"/>
      <c r="R50" s="324"/>
      <c r="S50" s="325"/>
    </row>
    <row r="51" spans="2:19" s="343" customFormat="1" ht="20.100000000000001" customHeight="1" x14ac:dyDescent="0.3">
      <c r="B51" s="2106" t="s">
        <v>377</v>
      </c>
      <c r="C51" s="2270">
        <v>2050</v>
      </c>
      <c r="D51" s="2063" t="s">
        <v>123</v>
      </c>
      <c r="E51" s="382"/>
      <c r="F51" s="2122"/>
      <c r="G51" s="2123"/>
      <c r="H51" s="382"/>
      <c r="I51" s="2122"/>
      <c r="J51" s="2123"/>
      <c r="K51" s="382"/>
      <c r="L51" s="2122"/>
      <c r="M51" s="2123"/>
      <c r="N51" s="382"/>
      <c r="O51" s="2122"/>
      <c r="P51" s="2123"/>
      <c r="R51" s="383"/>
      <c r="S51" s="384"/>
    </row>
    <row r="52" spans="2:19" s="11" customFormat="1" ht="20.100000000000001" customHeight="1" x14ac:dyDescent="0.25">
      <c r="B52" s="2111" t="s">
        <v>378</v>
      </c>
      <c r="C52" s="2271"/>
      <c r="D52" s="2072"/>
      <c r="E52" s="278"/>
      <c r="F52" s="2130" t="str">
        <f>IF(ISERROR(F51/bt_1)," ",F51/bt_1)</f>
        <v xml:space="preserve"> </v>
      </c>
      <c r="G52" s="2131"/>
      <c r="H52" s="278"/>
      <c r="I52" s="2130" t="str">
        <f>IF(ISERROR(I51/bt_2)," ",I51/bt_2)</f>
        <v xml:space="preserve"> </v>
      </c>
      <c r="J52" s="2131"/>
      <c r="K52" s="278"/>
      <c r="L52" s="2130" t="str">
        <f>IF(ISERROR(L51/bt_3)," ",L51/bt_3)</f>
        <v xml:space="preserve"> </v>
      </c>
      <c r="M52" s="2131"/>
      <c r="N52" s="278"/>
      <c r="O52" s="2130" t="str">
        <f>IF(ISERROR(O51/bt_4)," ",O51/bt_4)</f>
        <v xml:space="preserve"> </v>
      </c>
      <c r="P52" s="2131"/>
      <c r="R52" s="5"/>
      <c r="S52" s="25"/>
    </row>
    <row r="53" spans="2:19" s="260" customFormat="1" ht="20.100000000000001" customHeight="1" x14ac:dyDescent="0.3">
      <c r="B53" s="4572" t="s">
        <v>453</v>
      </c>
      <c r="C53" s="4573"/>
      <c r="D53" s="4574"/>
      <c r="E53" s="321"/>
      <c r="F53" s="2146">
        <f>bl_1+bn_1+bp_1+br_1+bt_1</f>
        <v>0</v>
      </c>
      <c r="G53" s="2147"/>
      <c r="H53" s="321"/>
      <c r="I53" s="2146">
        <f>bl_2+bn_2+bp_2+br_2+bt_2</f>
        <v>0</v>
      </c>
      <c r="J53" s="2147"/>
      <c r="K53" s="321"/>
      <c r="L53" s="2146">
        <f>bl_3+bn_3+bp_3+br_3+bt_3</f>
        <v>0</v>
      </c>
      <c r="M53" s="2147"/>
      <c r="N53" s="321"/>
      <c r="O53" s="2146">
        <f>bl_4+bn_4+bp_4+br_4+bt_4</f>
        <v>0</v>
      </c>
      <c r="P53" s="2147"/>
      <c r="R53" s="2093"/>
      <c r="S53" s="2094"/>
    </row>
    <row r="54" spans="2:19" s="2151" customFormat="1" ht="20.100000000000001" customHeight="1" x14ac:dyDescent="0.25">
      <c r="B54" s="4575"/>
      <c r="C54" s="4576"/>
      <c r="D54" s="4577"/>
      <c r="E54" s="2150"/>
      <c r="F54" s="2148" t="str">
        <f>IF(ISERROR(stock_1/ca_1)," ",stock_1/ca_1)</f>
        <v xml:space="preserve"> </v>
      </c>
      <c r="G54" s="2149"/>
      <c r="H54" s="1045"/>
      <c r="I54" s="2148" t="str">
        <f>IF(ISERROR(stock_2/ca_2)," ",stock_2/ca_2)</f>
        <v xml:space="preserve"> </v>
      </c>
      <c r="J54" s="2149"/>
      <c r="K54" s="1045"/>
      <c r="L54" s="2148" t="str">
        <f>IF(ISERROR(stock_3/ca_3)," ",stock_3/ca_3)</f>
        <v xml:space="preserve"> </v>
      </c>
      <c r="M54" s="2149"/>
      <c r="N54" s="1045"/>
      <c r="O54" s="2148" t="str">
        <f>IF(ISERROR(stock_4/ca_4)," ",stock_4/ca_4)</f>
        <v xml:space="preserve"> </v>
      </c>
      <c r="P54" s="2149"/>
      <c r="R54" s="2152"/>
      <c r="S54" s="2153"/>
    </row>
    <row r="55" spans="2:19" s="343" customFormat="1" ht="20.100000000000001" customHeight="1" x14ac:dyDescent="0.3">
      <c r="B55" s="2112" t="s">
        <v>451</v>
      </c>
      <c r="C55" s="2275"/>
      <c r="D55" s="2113"/>
      <c r="E55" s="615"/>
      <c r="F55" s="2132">
        <f>F39+F42+F45+F48+F51</f>
        <v>0</v>
      </c>
      <c r="G55" s="2133"/>
      <c r="H55" s="615"/>
      <c r="I55" s="2132">
        <f>I39+I42+I45+I48+I51</f>
        <v>0</v>
      </c>
      <c r="J55" s="2133"/>
      <c r="K55" s="615"/>
      <c r="L55" s="2132">
        <f>L39+L42+L45+L48+L51</f>
        <v>0</v>
      </c>
      <c r="M55" s="2133"/>
      <c r="N55" s="382"/>
      <c r="O55" s="2132">
        <f>O39+O42+O45+O48+O51</f>
        <v>0</v>
      </c>
      <c r="P55" s="2133"/>
      <c r="R55" s="383"/>
      <c r="S55" s="384"/>
    </row>
    <row r="56" spans="2:19" ht="20.100000000000001" customHeight="1" x14ac:dyDescent="0.3">
      <c r="B56" s="2111" t="s">
        <v>378</v>
      </c>
      <c r="C56" s="2276"/>
      <c r="D56" s="2114"/>
      <c r="E56" s="128"/>
      <c r="F56" s="2134" t="str">
        <f>IF(ISERROR(F55/F53)," ",F55/F53)</f>
        <v xml:space="preserve"> </v>
      </c>
      <c r="G56" s="2135"/>
      <c r="H56" s="128"/>
      <c r="I56" s="2134" t="str">
        <f>IF(ISERROR(I55/I53)," ",I55/I53)</f>
        <v xml:space="preserve"> </v>
      </c>
      <c r="J56" s="2135"/>
      <c r="K56" s="128"/>
      <c r="L56" s="2134" t="str">
        <f>IF(ISERROR(L55/L53)," ",L55/L53)</f>
        <v xml:space="preserve"> </v>
      </c>
      <c r="M56" s="2135"/>
      <c r="N56" s="246"/>
      <c r="O56" s="2134" t="str">
        <f>IF(ISERROR(O55/O53)," ",O55/O53)</f>
        <v xml:space="preserve"> </v>
      </c>
      <c r="P56" s="2135"/>
      <c r="R56" s="30"/>
    </row>
    <row r="57" spans="2:19" s="260" customFormat="1" ht="20.100000000000001" customHeight="1" x14ac:dyDescent="0.3">
      <c r="B57" s="4562" t="s">
        <v>452</v>
      </c>
      <c r="C57" s="4573"/>
      <c r="D57" s="4574"/>
      <c r="E57" s="321"/>
      <c r="F57" s="2154">
        <f>F53-F55</f>
        <v>0</v>
      </c>
      <c r="G57" s="2155" t="str">
        <f>IF(ISERROR(F57/total_bilan_1)," ",F57/total_bilan_1)</f>
        <v xml:space="preserve"> </v>
      </c>
      <c r="H57" s="321"/>
      <c r="I57" s="2154">
        <f>I53-I55</f>
        <v>0</v>
      </c>
      <c r="J57" s="2155" t="str">
        <f>IF(ISERROR(I57/total_bilan_2)," ",I57/total_bilan_2)</f>
        <v xml:space="preserve"> </v>
      </c>
      <c r="K57" s="321"/>
      <c r="L57" s="2154">
        <f>L53-L55</f>
        <v>0</v>
      </c>
      <c r="M57" s="2155" t="str">
        <f>IF(ISERROR(L57/total_bilan_3)," ",L57/total_bilan_3)</f>
        <v xml:space="preserve"> </v>
      </c>
      <c r="N57" s="321"/>
      <c r="O57" s="2154">
        <f>O53-O55</f>
        <v>0</v>
      </c>
      <c r="P57" s="2155" t="str">
        <f>IF(ISERROR(O57/total_bilan_3)," ",O57/total_bilan_3)</f>
        <v xml:space="preserve"> </v>
      </c>
      <c r="R57" s="2093"/>
    </row>
    <row r="58" spans="2:19" s="2151" customFormat="1" ht="20.100000000000001" customHeight="1" x14ac:dyDescent="0.25">
      <c r="B58" s="4575"/>
      <c r="C58" s="4576"/>
      <c r="D58" s="4577"/>
      <c r="E58" s="1044"/>
      <c r="F58" s="2156" t="str">
        <f>IF(ISERROR(stn_1/ca_1)," ",stn_1/ca_1)</f>
        <v xml:space="preserve"> </v>
      </c>
      <c r="G58" s="2157"/>
      <c r="H58" s="1044"/>
      <c r="I58" s="2156" t="str">
        <f>IF(ISERROR(stn_2/ca_2)," ",stn_2/ca_2)</f>
        <v xml:space="preserve"> </v>
      </c>
      <c r="J58" s="2157"/>
      <c r="K58" s="1044"/>
      <c r="L58" s="2156" t="str">
        <f>IF(ISERROR(stn_3/ca_3)," ",stn_3/ca_3)</f>
        <v xml:space="preserve"> </v>
      </c>
      <c r="M58" s="2157"/>
      <c r="N58" s="1044"/>
      <c r="O58" s="2156" t="str">
        <f>IF(ISERROR(stn_4/ca_4)," ",stn_4/ca_4)</f>
        <v xml:space="preserve"> </v>
      </c>
      <c r="P58" s="2157"/>
      <c r="R58" s="2152"/>
      <c r="S58" s="2153"/>
    </row>
    <row r="59" spans="2:19" ht="20.100000000000001" customHeight="1" x14ac:dyDescent="0.3">
      <c r="B59" s="2067" t="s">
        <v>124</v>
      </c>
      <c r="C59" s="2266">
        <v>2050</v>
      </c>
      <c r="D59" s="2072" t="s">
        <v>125</v>
      </c>
      <c r="E59" s="246"/>
      <c r="F59" s="2126"/>
      <c r="G59" s="2018"/>
      <c r="H59" s="246"/>
      <c r="I59" s="2126"/>
      <c r="J59" s="2018"/>
      <c r="K59" s="246"/>
      <c r="L59" s="2126"/>
      <c r="M59" s="2018"/>
      <c r="N59" s="246"/>
      <c r="O59" s="2126"/>
      <c r="P59" s="2018"/>
      <c r="R59" s="30"/>
    </row>
    <row r="60" spans="2:19" ht="20.100000000000001" customHeight="1" x14ac:dyDescent="0.3">
      <c r="B60" s="2066" t="s">
        <v>128</v>
      </c>
      <c r="C60" s="2273" t="s">
        <v>79</v>
      </c>
      <c r="D60" s="2065" t="s">
        <v>129</v>
      </c>
      <c r="E60" s="246"/>
      <c r="F60" s="2136">
        <v>0</v>
      </c>
      <c r="G60" s="2017"/>
      <c r="H60" s="246"/>
      <c r="I60" s="2136"/>
      <c r="J60" s="2017"/>
      <c r="K60" s="246"/>
      <c r="L60" s="2136"/>
      <c r="M60" s="2017"/>
      <c r="N60" s="246"/>
      <c r="O60" s="2136"/>
      <c r="P60" s="2017"/>
      <c r="R60" s="30"/>
    </row>
    <row r="61" spans="2:19" ht="20.100000000000001" customHeight="1" x14ac:dyDescent="0.3">
      <c r="B61" s="2066" t="s">
        <v>130</v>
      </c>
      <c r="C61" s="2274" t="s">
        <v>674</v>
      </c>
      <c r="D61" s="2115" t="s">
        <v>675</v>
      </c>
      <c r="E61" s="246"/>
      <c r="F61" s="2136"/>
      <c r="G61" s="2017"/>
      <c r="H61" s="246"/>
      <c r="I61" s="2136"/>
      <c r="J61" s="2017"/>
      <c r="K61" s="246"/>
      <c r="L61" s="2136"/>
      <c r="M61" s="2017"/>
      <c r="N61" s="246"/>
      <c r="O61" s="2136"/>
      <c r="P61" s="2017"/>
      <c r="R61" s="30"/>
    </row>
    <row r="62" spans="2:19" ht="20.100000000000001" customHeight="1" x14ac:dyDescent="0.3">
      <c r="B62" s="2116" t="s">
        <v>454</v>
      </c>
      <c r="C62" s="2271"/>
      <c r="D62" s="2072"/>
      <c r="E62" s="246"/>
      <c r="F62" s="2137" t="str">
        <f>IF(ISERROR((F60+F61)/clt_brut_1)," ",(F60+F61)/clt_brut_1)</f>
        <v xml:space="preserve"> </v>
      </c>
      <c r="G62" s="2135"/>
      <c r="H62" s="129"/>
      <c r="I62" s="2137" t="str">
        <f>IF(ISERROR((I60+I61)/clt_brut_2)," ",(I60+I61)/clt_brut_2)</f>
        <v xml:space="preserve"> </v>
      </c>
      <c r="J62" s="2135"/>
      <c r="K62" s="129"/>
      <c r="L62" s="2137" t="str">
        <f>IF(ISERROR((L60+L61)/clt_brut_3)," ",(L60+L61)/clt_brut_3)</f>
        <v xml:space="preserve"> </v>
      </c>
      <c r="M62" s="2135"/>
      <c r="N62" s="129"/>
      <c r="O62" s="2137" t="str">
        <f>IF(ISERROR((O60+O61)/clt_brut_4)," ",(O60+O61)/clt_brut_4)</f>
        <v xml:space="preserve"> </v>
      </c>
      <c r="P62" s="2135"/>
      <c r="R62" s="30"/>
    </row>
    <row r="63" spans="2:19" ht="20.100000000000001" customHeight="1" x14ac:dyDescent="0.3">
      <c r="B63" s="4572" t="s">
        <v>456</v>
      </c>
      <c r="C63" s="4563"/>
      <c r="D63" s="4477"/>
      <c r="E63" s="321"/>
      <c r="F63" s="2146">
        <f>SUM(F59:F61)</f>
        <v>0</v>
      </c>
      <c r="G63" s="2147"/>
      <c r="H63" s="321"/>
      <c r="I63" s="2146">
        <f>SUM(I59:I61)</f>
        <v>0</v>
      </c>
      <c r="J63" s="2147"/>
      <c r="K63" s="321"/>
      <c r="L63" s="2146">
        <f>SUM(L59:L61)</f>
        <v>0</v>
      </c>
      <c r="M63" s="2147"/>
      <c r="N63" s="321"/>
      <c r="O63" s="2146">
        <f>SUM(O59:O61)</f>
        <v>0</v>
      </c>
      <c r="P63" s="2147"/>
      <c r="R63" s="326"/>
    </row>
    <row r="64" spans="2:19" s="1043" customFormat="1" ht="20.100000000000001" customHeight="1" x14ac:dyDescent="0.25">
      <c r="B64" s="4564"/>
      <c r="C64" s="4565"/>
      <c r="D64" s="4566"/>
      <c r="E64" s="1044"/>
      <c r="F64" s="2148" t="str">
        <f>IF(ISERROR(clt_brut_1/ca_1)," ",clt_brut_1/ca_1)</f>
        <v xml:space="preserve"> </v>
      </c>
      <c r="G64" s="2149"/>
      <c r="H64" s="1045"/>
      <c r="I64" s="2148" t="str">
        <f>IF(ISERROR(clt_brut_2/ca_2)," ",clt_brut_2/ca_2)</f>
        <v xml:space="preserve"> </v>
      </c>
      <c r="J64" s="2149"/>
      <c r="K64" s="1045"/>
      <c r="L64" s="2148" t="str">
        <f>IF(ISERROR(clt_brut_3/ca_3)," ",clt_brut_3/ca_3)</f>
        <v xml:space="preserve"> </v>
      </c>
      <c r="M64" s="2149"/>
      <c r="N64" s="1045"/>
      <c r="O64" s="2148" t="str">
        <f>IF(ISERROR(clt_brut_4/ca_4)," ",clt_brut_4/ca_4)</f>
        <v xml:space="preserve"> </v>
      </c>
      <c r="P64" s="2149"/>
      <c r="R64" s="1049"/>
      <c r="S64" s="1047"/>
    </row>
    <row r="65" spans="2:19" s="343" customFormat="1" ht="20.100000000000001" customHeight="1" x14ac:dyDescent="0.3">
      <c r="B65" s="2074" t="s">
        <v>370</v>
      </c>
      <c r="C65" s="2266">
        <v>2050</v>
      </c>
      <c r="D65" s="2072" t="s">
        <v>126</v>
      </c>
      <c r="E65" s="382"/>
      <c r="F65" s="2138"/>
      <c r="G65" s="2054"/>
      <c r="H65" s="382"/>
      <c r="I65" s="2138"/>
      <c r="J65" s="2054"/>
      <c r="K65" s="382"/>
      <c r="L65" s="2138"/>
      <c r="M65" s="2054"/>
      <c r="N65" s="382"/>
      <c r="O65" s="2138"/>
      <c r="P65" s="2054"/>
      <c r="R65" s="383"/>
      <c r="S65" s="384"/>
    </row>
    <row r="66" spans="2:19" s="11" customFormat="1" ht="20.100000000000001" customHeight="1" x14ac:dyDescent="0.25">
      <c r="B66" s="2111" t="s">
        <v>378</v>
      </c>
      <c r="C66" s="2263"/>
      <c r="D66" s="2117"/>
      <c r="E66" s="278"/>
      <c r="F66" s="2139" t="str">
        <f>IF(ISERROR(F65/F59)," ",F65/F59)</f>
        <v xml:space="preserve"> </v>
      </c>
      <c r="G66" s="2131"/>
      <c r="H66" s="278"/>
      <c r="I66" s="2139" t="str">
        <f>IF(ISERROR(I65/I59)," ",I65/I59)</f>
        <v xml:space="preserve"> </v>
      </c>
      <c r="J66" s="2131"/>
      <c r="K66" s="278"/>
      <c r="L66" s="2139" t="str">
        <f>IF(ISERROR(L65/L59)," ",L65/L59)</f>
        <v xml:space="preserve"> </v>
      </c>
      <c r="M66" s="2131"/>
      <c r="N66" s="278"/>
      <c r="O66" s="2139" t="str">
        <f>IF(ISERROR(O65/O59)," ",O65/O59)</f>
        <v xml:space="preserve"> </v>
      </c>
      <c r="P66" s="2131"/>
      <c r="R66" s="5"/>
      <c r="S66" s="25"/>
    </row>
    <row r="67" spans="2:19" ht="20.100000000000001" customHeight="1" x14ac:dyDescent="0.3">
      <c r="B67" s="4562" t="s">
        <v>455</v>
      </c>
      <c r="C67" s="4563"/>
      <c r="D67" s="4477"/>
      <c r="E67" s="246"/>
      <c r="F67" s="2154">
        <f>clt_brut_1-F65</f>
        <v>0</v>
      </c>
      <c r="G67" s="2155" t="str">
        <f>IF(ISERROR(F67/total_bilan_1)," ",F67/total_bilan_1)</f>
        <v xml:space="preserve"> </v>
      </c>
      <c r="H67" s="246"/>
      <c r="I67" s="2154">
        <f>clt_brut_2-I65</f>
        <v>0</v>
      </c>
      <c r="J67" s="2155" t="str">
        <f>IF(ISERROR(I67/total_bilan_2)," ",I67/total_bilan_2)</f>
        <v xml:space="preserve"> </v>
      </c>
      <c r="K67" s="246"/>
      <c r="L67" s="2154">
        <f>clt_brut_3-L65</f>
        <v>0</v>
      </c>
      <c r="M67" s="2155" t="str">
        <f>IF(ISERROR(L67/total_bilan_3)," ",L67/total_bilan_3)</f>
        <v xml:space="preserve"> </v>
      </c>
      <c r="N67" s="246"/>
      <c r="O67" s="2154">
        <f>clt_brut_4-O65</f>
        <v>0</v>
      </c>
      <c r="P67" s="2155" t="str">
        <f>IF(ISERROR(O67/total_bilan_4)," ",O67/total_bilan_4)</f>
        <v xml:space="preserve"> </v>
      </c>
      <c r="R67" s="30"/>
      <c r="S67" s="1"/>
    </row>
    <row r="68" spans="2:19" s="1043" customFormat="1" ht="20.100000000000001" customHeight="1" x14ac:dyDescent="0.25">
      <c r="B68" s="4564"/>
      <c r="C68" s="4565"/>
      <c r="D68" s="4566"/>
      <c r="E68" s="1048"/>
      <c r="F68" s="2156" t="str">
        <f>IF(ISERROR(clt_net_1/ca_1)," ",clt_net_1/ca_1)</f>
        <v xml:space="preserve"> </v>
      </c>
      <c r="G68" s="2157"/>
      <c r="H68" s="1048"/>
      <c r="I68" s="2156" t="str">
        <f>IF(ISERROR(clt_net_2/ca_2)," ",clt_net_2/ca_2)</f>
        <v xml:space="preserve"> </v>
      </c>
      <c r="J68" s="2157"/>
      <c r="K68" s="1048"/>
      <c r="L68" s="2156" t="str">
        <f>IF(ISERROR(clt_net_3/ca_3)," ",clt_net_3/ca_3)</f>
        <v xml:space="preserve"> </v>
      </c>
      <c r="M68" s="2157"/>
      <c r="N68" s="1048"/>
      <c r="O68" s="2156" t="str">
        <f>IF(ISERROR(clt_net_4/ca_4)," ",clt_net_4/ca_4)</f>
        <v xml:space="preserve"> </v>
      </c>
      <c r="P68" s="2157"/>
      <c r="R68" s="1046"/>
      <c r="S68" s="1047"/>
    </row>
    <row r="69" spans="2:19" ht="20.100000000000001" customHeight="1" x14ac:dyDescent="0.3">
      <c r="B69" s="2067" t="s">
        <v>458</v>
      </c>
      <c r="C69" s="2272">
        <v>2050</v>
      </c>
      <c r="D69" s="2236" t="s">
        <v>136</v>
      </c>
      <c r="E69" s="246"/>
      <c r="F69" s="2140"/>
      <c r="G69" s="2018"/>
      <c r="H69" s="246"/>
      <c r="I69" s="2140"/>
      <c r="J69" s="2018"/>
      <c r="K69" s="246"/>
      <c r="L69" s="2140"/>
      <c r="M69" s="2018"/>
      <c r="N69" s="246"/>
      <c r="O69" s="2140"/>
      <c r="P69" s="2018"/>
      <c r="R69" s="30"/>
    </row>
    <row r="70" spans="2:19" ht="20.100000000000001" customHeight="1" x14ac:dyDescent="0.3">
      <c r="B70" s="2066" t="s">
        <v>131</v>
      </c>
      <c r="C70" s="2270">
        <v>2050</v>
      </c>
      <c r="D70" s="2063" t="s">
        <v>392</v>
      </c>
      <c r="E70" s="246"/>
      <c r="F70" s="2136"/>
      <c r="G70" s="2141"/>
      <c r="H70" s="246"/>
      <c r="I70" s="2136"/>
      <c r="J70" s="2141"/>
      <c r="K70" s="246"/>
      <c r="L70" s="2136"/>
      <c r="M70" s="2141"/>
      <c r="N70" s="246"/>
      <c r="O70" s="2136"/>
      <c r="P70" s="2141"/>
      <c r="R70" s="30"/>
    </row>
    <row r="71" spans="2:19" ht="20.100000000000001" customHeight="1" x14ac:dyDescent="0.3">
      <c r="B71" s="2118" t="s">
        <v>515</v>
      </c>
      <c r="C71" s="2273">
        <v>2057</v>
      </c>
      <c r="D71" s="2065" t="s">
        <v>517</v>
      </c>
      <c r="E71" s="246"/>
      <c r="F71" s="2142">
        <v>0</v>
      </c>
      <c r="G71" s="2141"/>
      <c r="H71" s="246"/>
      <c r="I71" s="2142"/>
      <c r="J71" s="2141"/>
      <c r="K71" s="246"/>
      <c r="L71" s="2142"/>
      <c r="M71" s="2141"/>
      <c r="N71" s="246"/>
      <c r="O71" s="2142"/>
      <c r="P71" s="2141"/>
      <c r="R71" s="30"/>
    </row>
    <row r="72" spans="2:19" ht="20.100000000000001" customHeight="1" x14ac:dyDescent="0.3">
      <c r="B72" s="2119" t="s">
        <v>516</v>
      </c>
      <c r="C72" s="2273">
        <v>2057</v>
      </c>
      <c r="D72" s="2065" t="s">
        <v>518</v>
      </c>
      <c r="E72" s="246"/>
      <c r="F72" s="2142">
        <v>0</v>
      </c>
      <c r="G72" s="2141"/>
      <c r="H72" s="246"/>
      <c r="I72" s="2142"/>
      <c r="J72" s="2141"/>
      <c r="K72" s="246"/>
      <c r="L72" s="2142"/>
      <c r="M72" s="2141"/>
      <c r="N72" s="246"/>
      <c r="O72" s="2142"/>
      <c r="P72" s="2141"/>
      <c r="R72" s="30"/>
    </row>
    <row r="73" spans="2:19" ht="20.100000000000001" customHeight="1" x14ac:dyDescent="0.3">
      <c r="B73" s="2119" t="s">
        <v>520</v>
      </c>
      <c r="C73" s="2273">
        <v>2057</v>
      </c>
      <c r="D73" s="2065" t="s">
        <v>519</v>
      </c>
      <c r="E73" s="246"/>
      <c r="F73" s="2142"/>
      <c r="G73" s="2141"/>
      <c r="H73" s="246"/>
      <c r="I73" s="2142"/>
      <c r="J73" s="2141"/>
      <c r="K73" s="246"/>
      <c r="L73" s="2142"/>
      <c r="M73" s="2141"/>
      <c r="N73" s="246"/>
      <c r="O73" s="2142"/>
      <c r="P73" s="2141"/>
      <c r="R73" s="30"/>
    </row>
    <row r="74" spans="2:19" ht="20.100000000000001" customHeight="1" x14ac:dyDescent="0.3">
      <c r="B74" s="2118" t="s">
        <v>459</v>
      </c>
      <c r="C74" s="4547" t="s">
        <v>460</v>
      </c>
      <c r="D74" s="4548"/>
      <c r="E74" s="246"/>
      <c r="F74" s="2143"/>
      <c r="G74" s="2018"/>
      <c r="H74" s="246"/>
      <c r="I74" s="2143"/>
      <c r="J74" s="2018"/>
      <c r="K74" s="246"/>
      <c r="L74" s="2143"/>
      <c r="M74" s="2018"/>
      <c r="N74" s="246"/>
      <c r="O74" s="2143"/>
      <c r="P74" s="2018"/>
      <c r="R74" s="30"/>
    </row>
    <row r="75" spans="2:19" ht="21.9" customHeight="1" x14ac:dyDescent="0.3">
      <c r="B75" s="4609" t="s">
        <v>461</v>
      </c>
      <c r="C75" s="4607"/>
      <c r="D75" s="4608"/>
      <c r="E75" s="246"/>
      <c r="F75" s="2158">
        <f>F69+F70-F71-F72-F73-F74</f>
        <v>0</v>
      </c>
      <c r="G75" s="2095"/>
      <c r="H75" s="130"/>
      <c r="I75" s="2158">
        <f>I69+I70-I71-I72-I73-I74</f>
        <v>0</v>
      </c>
      <c r="J75" s="2095"/>
      <c r="K75" s="130"/>
      <c r="L75" s="2158">
        <f>L69+L70-L71-L72-L73-L74</f>
        <v>0</v>
      </c>
      <c r="M75" s="2095"/>
      <c r="N75" s="130"/>
      <c r="O75" s="2158">
        <f>O69+O70-O71-O72-O73-O74</f>
        <v>0</v>
      </c>
      <c r="P75" s="2095"/>
      <c r="R75" s="30"/>
    </row>
    <row r="76" spans="2:19" s="343" customFormat="1" ht="20.100000000000001" customHeight="1" x14ac:dyDescent="0.3">
      <c r="B76" s="2120" t="s">
        <v>462</v>
      </c>
      <c r="C76" s="2267">
        <v>2050</v>
      </c>
      <c r="D76" s="2075" t="s">
        <v>463</v>
      </c>
      <c r="E76" s="615"/>
      <c r="F76" s="2144"/>
      <c r="G76" s="2145"/>
      <c r="H76" s="615"/>
      <c r="I76" s="2144"/>
      <c r="J76" s="2145"/>
      <c r="K76" s="615"/>
      <c r="L76" s="2144"/>
      <c r="M76" s="2145"/>
      <c r="N76" s="615"/>
      <c r="O76" s="2144"/>
      <c r="P76" s="2145"/>
      <c r="R76" s="383"/>
      <c r="S76" s="384"/>
    </row>
    <row r="77" spans="2:19" s="343" customFormat="1" ht="20.100000000000001" customHeight="1" x14ac:dyDescent="0.3">
      <c r="B77" s="2106" t="s">
        <v>390</v>
      </c>
      <c r="C77" s="2270">
        <v>2050</v>
      </c>
      <c r="D77" s="2063" t="s">
        <v>391</v>
      </c>
      <c r="E77" s="382"/>
      <c r="F77" s="2122"/>
      <c r="G77" s="2123"/>
      <c r="H77" s="382"/>
      <c r="I77" s="2122"/>
      <c r="J77" s="2123"/>
      <c r="K77" s="382"/>
      <c r="L77" s="2122"/>
      <c r="M77" s="2123"/>
      <c r="N77" s="382"/>
      <c r="O77" s="2122"/>
      <c r="P77" s="2123"/>
      <c r="R77" s="383"/>
      <c r="S77" s="384"/>
    </row>
    <row r="78" spans="2:19" s="11" customFormat="1" ht="20.100000000000001" customHeight="1" x14ac:dyDescent="0.25">
      <c r="B78" s="2111" t="s">
        <v>378</v>
      </c>
      <c r="C78" s="2271"/>
      <c r="D78" s="2072"/>
      <c r="E78" s="278"/>
      <c r="F78" s="2139" t="str">
        <f>IF(ISERROR((F76+F77)/F70)," ",(F76+F77)/F70)</f>
        <v xml:space="preserve"> </v>
      </c>
      <c r="G78" s="2131"/>
      <c r="H78" s="278"/>
      <c r="I78" s="2139" t="str">
        <f>IF(ISERROR((I76+I77)/I70)," ",(I76+I77)/I70)</f>
        <v xml:space="preserve"> </v>
      </c>
      <c r="J78" s="2131"/>
      <c r="K78" s="278"/>
      <c r="L78" s="2139" t="str">
        <f>IF(ISERROR((L76+L77)/L70)," ",(L76+L77)/L70)</f>
        <v xml:space="preserve"> </v>
      </c>
      <c r="M78" s="2131"/>
      <c r="N78" s="278"/>
      <c r="O78" s="2139" t="str">
        <f>IF(ISERROR((O76+O77)/O70)," ",(O76+O77)/O70)</f>
        <v xml:space="preserve"> </v>
      </c>
      <c r="P78" s="2131"/>
      <c r="R78" s="5"/>
      <c r="S78" s="25"/>
    </row>
    <row r="79" spans="2:19" s="11" customFormat="1" ht="21.9" customHeight="1" x14ac:dyDescent="0.25">
      <c r="B79" s="4610" t="s">
        <v>464</v>
      </c>
      <c r="C79" s="4607"/>
      <c r="D79" s="4608"/>
      <c r="E79" s="278"/>
      <c r="F79" s="2159">
        <f>F75-F76-F77</f>
        <v>0</v>
      </c>
      <c r="G79" s="2027" t="str">
        <f>IF(ISERROR(F79/total_bilan_1)," ",F79/total_bilan_1)</f>
        <v xml:space="preserve"> </v>
      </c>
      <c r="H79" s="246"/>
      <c r="I79" s="2159">
        <f>I75-I76-I77</f>
        <v>0</v>
      </c>
      <c r="J79" s="2027" t="str">
        <f>IF(ISERROR(I79/total_bilan_2)," ",I79/total_bilan_2)</f>
        <v xml:space="preserve"> </v>
      </c>
      <c r="K79" s="246"/>
      <c r="L79" s="2159">
        <f>L75-L76-L77</f>
        <v>0</v>
      </c>
      <c r="M79" s="2027" t="str">
        <f>IF(ISERROR(L79/total_bilan_3)," ",L79/total_bilan_3)</f>
        <v xml:space="preserve"> </v>
      </c>
      <c r="N79" s="246"/>
      <c r="O79" s="2159">
        <f>O75-O76-O77</f>
        <v>0</v>
      </c>
      <c r="P79" s="2027" t="str">
        <f>IF(ISERROR(O79/total_bilan_4)," ",O79/total_bilan_4)</f>
        <v xml:space="preserve"> </v>
      </c>
      <c r="R79" s="5"/>
      <c r="S79" s="25"/>
    </row>
    <row r="80" spans="2:19" ht="24.9" customHeight="1" thickBot="1" x14ac:dyDescent="0.35">
      <c r="B80" s="2067" t="s">
        <v>132</v>
      </c>
      <c r="C80" s="2264">
        <v>2050</v>
      </c>
      <c r="D80" s="2072" t="s">
        <v>133</v>
      </c>
      <c r="E80" s="246"/>
      <c r="F80" s="2126"/>
      <c r="G80" s="2018"/>
      <c r="H80" s="246"/>
      <c r="I80" s="2126"/>
      <c r="J80" s="2018"/>
      <c r="K80" s="246"/>
      <c r="L80" s="2126"/>
      <c r="M80" s="2018"/>
      <c r="N80" s="246"/>
      <c r="O80" s="2126"/>
      <c r="P80" s="2018"/>
      <c r="R80" s="30"/>
    </row>
    <row r="81" spans="2:19" ht="21.9" customHeight="1" thickTop="1" x14ac:dyDescent="0.3">
      <c r="B81" s="4614" t="s">
        <v>465</v>
      </c>
      <c r="C81" s="4615"/>
      <c r="D81" s="4616"/>
      <c r="E81" s="127"/>
      <c r="F81" s="2160">
        <f>F67+F79+F80</f>
        <v>0</v>
      </c>
      <c r="G81" s="2161" t="str">
        <f>IF(ISERROR(F81/total_bilan_1)," ",F81/total_bilan_1)</f>
        <v xml:space="preserve"> </v>
      </c>
      <c r="H81" s="131"/>
      <c r="I81" s="2160">
        <f>I67+I79+I80</f>
        <v>0</v>
      </c>
      <c r="J81" s="2161" t="str">
        <f>IF(ISERROR(I81/total_bilan_2)," ",I81/total_bilan_2)</f>
        <v xml:space="preserve"> </v>
      </c>
      <c r="K81" s="131"/>
      <c r="L81" s="2160">
        <f>L67+L79+L80</f>
        <v>0</v>
      </c>
      <c r="M81" s="2161" t="str">
        <f>IF(ISERROR(L81/total_bilan_3)," ",L81/total_bilan_3)</f>
        <v xml:space="preserve"> </v>
      </c>
      <c r="N81" s="131"/>
      <c r="O81" s="2160">
        <f>O67+O79+O80</f>
        <v>0</v>
      </c>
      <c r="P81" s="2161" t="str">
        <f>IF(ISERROR(O81/total_bilan_4)," ",O81/total_bilan_4)</f>
        <v xml:space="preserve"> </v>
      </c>
      <c r="R81" s="30"/>
    </row>
    <row r="82" spans="2:19" ht="24.9" customHeight="1" x14ac:dyDescent="0.3">
      <c r="B82" s="616" t="s">
        <v>670</v>
      </c>
      <c r="C82" s="639"/>
      <c r="D82" s="647"/>
      <c r="E82" s="246"/>
      <c r="F82" s="65"/>
      <c r="G82" s="286"/>
      <c r="H82" s="246"/>
      <c r="I82" s="65"/>
      <c r="J82" s="286"/>
      <c r="K82" s="246"/>
      <c r="L82" s="65"/>
      <c r="M82" s="286"/>
      <c r="N82" s="246"/>
      <c r="O82" s="65"/>
      <c r="P82" s="286"/>
      <c r="R82" s="30"/>
    </row>
    <row r="83" spans="2:19" ht="20.100000000000001" customHeight="1" x14ac:dyDescent="0.3">
      <c r="B83" s="2164" t="s">
        <v>134</v>
      </c>
      <c r="C83" s="2269">
        <v>2051</v>
      </c>
      <c r="D83" s="2105" t="s">
        <v>135</v>
      </c>
      <c r="E83" s="246"/>
      <c r="F83" s="2162"/>
      <c r="G83" s="2171"/>
      <c r="H83" s="246"/>
      <c r="I83" s="2265"/>
      <c r="J83" s="2171"/>
      <c r="K83" s="246"/>
      <c r="L83" s="2162"/>
      <c r="M83" s="2171"/>
      <c r="N83" s="246"/>
      <c r="O83" s="2162"/>
      <c r="P83" s="2171"/>
      <c r="R83" s="30"/>
    </row>
    <row r="84" spans="2:19" ht="20.100000000000001" customHeight="1" x14ac:dyDescent="0.3">
      <c r="B84" s="4603" t="s">
        <v>806</v>
      </c>
      <c r="C84" s="4604"/>
      <c r="D84" s="4605"/>
      <c r="E84" s="246"/>
      <c r="F84" s="2055"/>
      <c r="G84" s="2172"/>
      <c r="H84" s="246"/>
      <c r="I84" s="2055"/>
      <c r="J84" s="2172"/>
      <c r="K84" s="246"/>
      <c r="L84" s="2055"/>
      <c r="M84" s="2172"/>
      <c r="N84" s="246"/>
      <c r="O84" s="2055"/>
      <c r="P84" s="2172"/>
      <c r="R84" s="752"/>
    </row>
    <row r="85" spans="2:19" ht="21.9" customHeight="1" x14ac:dyDescent="0.3">
      <c r="B85" s="4606" t="s">
        <v>805</v>
      </c>
      <c r="C85" s="4607"/>
      <c r="D85" s="4608"/>
      <c r="E85" s="246"/>
      <c r="F85" s="2176">
        <f>dx_1-F84</f>
        <v>0</v>
      </c>
      <c r="G85" s="2174" t="str">
        <f>IF(ISERROR(F85/total_bilan_1)," ",F85/total_bilan_1)</f>
        <v xml:space="preserve"> </v>
      </c>
      <c r="H85" s="246"/>
      <c r="I85" s="2176">
        <f>dx_2-I84</f>
        <v>0</v>
      </c>
      <c r="J85" s="2174" t="str">
        <f>IF(ISERROR(I85/total_bilan_2)," ",I85/total_bilan_2)</f>
        <v xml:space="preserve"> </v>
      </c>
      <c r="K85" s="246"/>
      <c r="L85" s="2176">
        <f>dx_3-L84</f>
        <v>0</v>
      </c>
      <c r="M85" s="2174" t="str">
        <f>IF(ISERROR(L85/total_bilan_3)," ",L85/total_bilan_3)</f>
        <v xml:space="preserve"> </v>
      </c>
      <c r="N85" s="246"/>
      <c r="O85" s="2176">
        <f>dx_4-O84</f>
        <v>0</v>
      </c>
      <c r="P85" s="2174" t="str">
        <f>IF(ISERROR(O85/total_bilan_4)," ",O85/total_bilan_4)</f>
        <v xml:space="preserve"> </v>
      </c>
      <c r="R85" s="752"/>
    </row>
    <row r="86" spans="2:19" ht="20.100000000000001" customHeight="1" x14ac:dyDescent="0.3">
      <c r="B86" s="2067" t="s">
        <v>466</v>
      </c>
      <c r="C86" s="2266">
        <v>2051</v>
      </c>
      <c r="D86" s="2072" t="s">
        <v>127</v>
      </c>
      <c r="E86" s="246"/>
      <c r="F86" s="1566"/>
      <c r="G86" s="2018"/>
      <c r="H86" s="246"/>
      <c r="I86" s="1566"/>
      <c r="J86" s="2018"/>
      <c r="K86" s="246"/>
      <c r="L86" s="1566"/>
      <c r="M86" s="2018"/>
      <c r="N86" s="246"/>
      <c r="O86" s="1566"/>
      <c r="P86" s="2018"/>
      <c r="R86" s="30"/>
    </row>
    <row r="87" spans="2:19" ht="20.100000000000001" customHeight="1" x14ac:dyDescent="0.3">
      <c r="B87" s="2177" t="s">
        <v>137</v>
      </c>
      <c r="C87" s="2267">
        <v>2051</v>
      </c>
      <c r="D87" s="2178" t="s">
        <v>138</v>
      </c>
      <c r="E87" s="246"/>
      <c r="F87" s="2179"/>
      <c r="G87" s="2180"/>
      <c r="H87" s="246"/>
      <c r="I87" s="2179"/>
      <c r="J87" s="2180"/>
      <c r="K87" s="246"/>
      <c r="L87" s="2179"/>
      <c r="M87" s="2180"/>
      <c r="N87" s="246"/>
      <c r="O87" s="2179"/>
      <c r="P87" s="2180"/>
      <c r="R87" s="30"/>
    </row>
    <row r="88" spans="2:19" ht="20.100000000000001" customHeight="1" x14ac:dyDescent="0.3">
      <c r="B88" s="2165" t="s">
        <v>515</v>
      </c>
      <c r="C88" s="2268">
        <v>2057</v>
      </c>
      <c r="D88" s="2166" t="s">
        <v>522</v>
      </c>
      <c r="E88" s="246"/>
      <c r="F88" s="2163"/>
      <c r="G88" s="2173"/>
      <c r="H88" s="246"/>
      <c r="I88" s="2163"/>
      <c r="J88" s="2173"/>
      <c r="K88" s="246"/>
      <c r="L88" s="2163"/>
      <c r="M88" s="2173"/>
      <c r="N88" s="246"/>
      <c r="O88" s="2163"/>
      <c r="P88" s="2173"/>
      <c r="R88" s="30"/>
    </row>
    <row r="89" spans="2:19" ht="20.100000000000001" customHeight="1" x14ac:dyDescent="0.3">
      <c r="B89" s="4603" t="s">
        <v>806</v>
      </c>
      <c r="C89" s="4604"/>
      <c r="D89" s="4605"/>
      <c r="E89" s="246"/>
      <c r="F89" s="2163"/>
      <c r="G89" s="2173"/>
      <c r="H89" s="246"/>
      <c r="I89" s="2163"/>
      <c r="J89" s="2173"/>
      <c r="K89" s="246"/>
      <c r="L89" s="2163"/>
      <c r="M89" s="2173"/>
      <c r="N89" s="246"/>
      <c r="O89" s="2163"/>
      <c r="P89" s="2173"/>
      <c r="R89" s="752"/>
    </row>
    <row r="90" spans="2:19" ht="21.9" customHeight="1" x14ac:dyDescent="0.3">
      <c r="B90" s="4596" t="s">
        <v>677</v>
      </c>
      <c r="C90" s="4607"/>
      <c r="D90" s="4608"/>
      <c r="E90" s="652"/>
      <c r="F90" s="2170">
        <f>F87-F88-F89</f>
        <v>0</v>
      </c>
      <c r="G90" s="2174" t="str">
        <f>IF(ISERROR(dfse_1/total_bilan_1)," ",dfse_1/total_bilan_1)</f>
        <v xml:space="preserve"> </v>
      </c>
      <c r="H90" s="131"/>
      <c r="I90" s="2170">
        <f>I87-I88-I89</f>
        <v>0</v>
      </c>
      <c r="J90" s="2174" t="str">
        <f>IF(ISERROR(dfse_2/total_bilan_2)," ",dfse_2/total_bilan_2)</f>
        <v xml:space="preserve"> </v>
      </c>
      <c r="K90" s="131"/>
      <c r="L90" s="2170">
        <f>L87-L88-L89</f>
        <v>0</v>
      </c>
      <c r="M90" s="2174" t="str">
        <f>IF(ISERROR(dfse_3/total_bilan_3)," ",dfse_3/total_bilan_3)</f>
        <v xml:space="preserve"> </v>
      </c>
      <c r="N90" s="131"/>
      <c r="O90" s="2170">
        <f>O87-O88-O89</f>
        <v>0</v>
      </c>
      <c r="P90" s="2174" t="str">
        <f>IF(ISERROR(dfse_4/total_bilan_4)," ",dfse_4/total_bilan_4)</f>
        <v xml:space="preserve"> </v>
      </c>
      <c r="R90" s="617"/>
    </row>
    <row r="91" spans="2:19" ht="21.9" customHeight="1" thickBot="1" x14ac:dyDescent="0.35">
      <c r="B91" s="2067" t="s">
        <v>139</v>
      </c>
      <c r="C91" s="2266">
        <v>2051</v>
      </c>
      <c r="D91" s="2072" t="s">
        <v>140</v>
      </c>
      <c r="E91" s="246"/>
      <c r="F91" s="1566">
        <v>0</v>
      </c>
      <c r="G91" s="2018"/>
      <c r="H91" s="246"/>
      <c r="I91" s="1566"/>
      <c r="J91" s="2018"/>
      <c r="K91" s="246"/>
      <c r="L91" s="1566"/>
      <c r="M91" s="2018"/>
      <c r="N91" s="246"/>
      <c r="O91" s="1566"/>
      <c r="P91" s="2018"/>
      <c r="R91" s="30"/>
    </row>
    <row r="92" spans="2:19" ht="21.9" customHeight="1" thickTop="1" x14ac:dyDescent="0.3">
      <c r="B92" s="4611" t="s">
        <v>676</v>
      </c>
      <c r="C92" s="4612"/>
      <c r="D92" s="4613"/>
      <c r="E92" s="127"/>
      <c r="F92" s="2167">
        <f>IF(ca_1=0,0,dx_1+dw_1+dfse_1+eb_1)</f>
        <v>0</v>
      </c>
      <c r="G92" s="2175" t="str">
        <f>IF(ISERROR(F92/total_bilan_1)," ",F92/total_bilan_1)</f>
        <v xml:space="preserve"> </v>
      </c>
      <c r="H92" s="131"/>
      <c r="I92" s="2167">
        <f>IF(ca_2=0,0,dx_2+dw_2+dfse_2+eb_2)</f>
        <v>0</v>
      </c>
      <c r="J92" s="2175" t="str">
        <f>IF(ISERROR(I92/total_bilan_2)," ",I92/total_bilan_2)</f>
        <v xml:space="preserve"> </v>
      </c>
      <c r="K92" s="131"/>
      <c r="L92" s="2167">
        <f>IF(ca_3=0,0,dx_3+dw_3+dfse_3+eb_3)</f>
        <v>0</v>
      </c>
      <c r="M92" s="2175" t="str">
        <f>IF(ISERROR(L92/total_bilan_3)," ",L92/total_bilan_3)</f>
        <v xml:space="preserve"> </v>
      </c>
      <c r="N92" s="131"/>
      <c r="O92" s="2167">
        <f>IF(ca_4=0,0,dx_4+dw_4+dfse_4+eb_4)</f>
        <v>0</v>
      </c>
      <c r="P92" s="2175" t="str">
        <f>IF(ISERROR(O92/total_bilan_4)," ",O92/total_bilan_4)</f>
        <v xml:space="preserve"> </v>
      </c>
      <c r="R92" s="30"/>
    </row>
    <row r="93" spans="2:19" s="310" customFormat="1" ht="21.9" customHeight="1" x14ac:dyDescent="0.3">
      <c r="B93" s="4599" t="s">
        <v>141</v>
      </c>
      <c r="C93" s="4600"/>
      <c r="D93" s="4601"/>
      <c r="E93" s="320"/>
      <c r="F93" s="2168">
        <f>F57+F81-fournisseurs_1-F86-F87+F88-F91</f>
        <v>0</v>
      </c>
      <c r="G93" s="2169"/>
      <c r="H93" s="696"/>
      <c r="I93" s="2168">
        <f>I57+I81-fournisseurs_2-I86-I87+I88-I91</f>
        <v>0</v>
      </c>
      <c r="J93" s="2169"/>
      <c r="K93" s="696"/>
      <c r="L93" s="2168">
        <f>L57+L81-fournisseurs_3-L86-L87+L88-L91</f>
        <v>0</v>
      </c>
      <c r="M93" s="2169"/>
      <c r="N93" s="696"/>
      <c r="O93" s="2168">
        <f>O57+O81-fournisseurs_4-O86-O87+O88-O91</f>
        <v>0</v>
      </c>
      <c r="P93" s="2169"/>
      <c r="R93" s="322"/>
      <c r="S93" s="323"/>
    </row>
    <row r="94" spans="2:19" ht="24.9" customHeight="1" x14ac:dyDescent="0.3">
      <c r="B94" s="616" t="s">
        <v>682</v>
      </c>
      <c r="C94" s="639"/>
      <c r="D94" s="647"/>
      <c r="E94" s="246"/>
      <c r="F94" s="65"/>
      <c r="G94" s="286"/>
      <c r="H94" s="246"/>
      <c r="I94" s="65"/>
      <c r="J94" s="286"/>
      <c r="K94" s="246"/>
      <c r="L94" s="65"/>
      <c r="M94" s="286"/>
      <c r="N94" s="246"/>
      <c r="O94" s="65"/>
      <c r="P94" s="286"/>
      <c r="R94" s="666"/>
    </row>
    <row r="95" spans="2:19" ht="20.100000000000001" customHeight="1" x14ac:dyDescent="0.3">
      <c r="B95" s="2104" t="s">
        <v>142</v>
      </c>
      <c r="C95" s="2259">
        <v>2050</v>
      </c>
      <c r="D95" s="2105" t="s">
        <v>143</v>
      </c>
      <c r="E95" s="246"/>
      <c r="F95" s="2181"/>
      <c r="G95" s="2016"/>
      <c r="H95" s="246"/>
      <c r="I95" s="2181"/>
      <c r="J95" s="2016"/>
      <c r="K95" s="246"/>
      <c r="L95" s="2181"/>
      <c r="M95" s="2016"/>
      <c r="N95" s="246"/>
      <c r="O95" s="2181"/>
      <c r="P95" s="2016"/>
      <c r="R95" s="30"/>
    </row>
    <row r="96" spans="2:19" s="343" customFormat="1" ht="20.100000000000001" customHeight="1" x14ac:dyDescent="0.3">
      <c r="B96" s="2197" t="s">
        <v>521</v>
      </c>
      <c r="C96" s="4555"/>
      <c r="D96" s="4556"/>
      <c r="E96" s="382"/>
      <c r="F96" s="2182">
        <f>F71+F72+F73</f>
        <v>0</v>
      </c>
      <c r="G96" s="2183"/>
      <c r="H96" s="382"/>
      <c r="I96" s="2182">
        <f>I71+I72+I73</f>
        <v>0</v>
      </c>
      <c r="J96" s="2183"/>
      <c r="K96" s="382"/>
      <c r="L96" s="2182">
        <f>L71+L72+L73</f>
        <v>0</v>
      </c>
      <c r="M96" s="2183"/>
      <c r="N96" s="382"/>
      <c r="O96" s="2182">
        <f>O71+O72+O73</f>
        <v>0</v>
      </c>
      <c r="P96" s="2183"/>
      <c r="R96" s="383"/>
      <c r="S96" s="384"/>
    </row>
    <row r="97" spans="1:21" s="832" customFormat="1" ht="20.100000000000001" customHeight="1" x14ac:dyDescent="0.3">
      <c r="A97" s="1469"/>
      <c r="B97" s="4559" t="s">
        <v>683</v>
      </c>
      <c r="C97" s="4560"/>
      <c r="D97" s="4561"/>
      <c r="E97" s="1042"/>
      <c r="F97" s="2205">
        <f>SUM(F95:F96)</f>
        <v>0</v>
      </c>
      <c r="G97" s="2206" t="str">
        <f>IF(ISERROR(F97/total_bilan_1)," ",F97/total_bilan_1)</f>
        <v xml:space="preserve"> </v>
      </c>
      <c r="H97" s="131"/>
      <c r="I97" s="2205">
        <f>SUM(I95:I96)</f>
        <v>0</v>
      </c>
      <c r="J97" s="2206" t="str">
        <f>IF(ISERROR(I97/total_bilan_2)," ",I97/total_bilan_2)</f>
        <v xml:space="preserve"> </v>
      </c>
      <c r="K97" s="131"/>
      <c r="L97" s="2205">
        <f>SUM(L95:L96)</f>
        <v>0</v>
      </c>
      <c r="M97" s="2206" t="str">
        <f>IF(ISERROR(L97/total_bilan_3)," ",L97/total_bilan_3)</f>
        <v xml:space="preserve"> </v>
      </c>
      <c r="N97" s="131"/>
      <c r="O97" s="2205">
        <f>SUM(O95:O96)</f>
        <v>0</v>
      </c>
      <c r="P97" s="2206" t="str">
        <f>IF(ISERROR(O97/total_bilan_4)," ",O97/total_bilan_4)</f>
        <v xml:space="preserve"> </v>
      </c>
    </row>
    <row r="98" spans="1:21" ht="20.100000000000001" customHeight="1" x14ac:dyDescent="0.3">
      <c r="B98" s="2198" t="s">
        <v>144</v>
      </c>
      <c r="C98" s="2266">
        <v>2051</v>
      </c>
      <c r="D98" s="2072" t="s">
        <v>145</v>
      </c>
      <c r="E98" s="246"/>
      <c r="F98" s="2184"/>
      <c r="G98" s="2185"/>
      <c r="H98" s="246"/>
      <c r="I98" s="2184"/>
      <c r="J98" s="2185"/>
      <c r="K98" s="246"/>
      <c r="L98" s="2184"/>
      <c r="M98" s="2185"/>
      <c r="N98" s="246"/>
      <c r="O98" s="2184"/>
      <c r="P98" s="2185"/>
      <c r="R98" s="30"/>
    </row>
    <row r="99" spans="1:21" s="343" customFormat="1" ht="20.100000000000001" customHeight="1" x14ac:dyDescent="0.3">
      <c r="B99" s="2197" t="s">
        <v>523</v>
      </c>
      <c r="C99" s="4557"/>
      <c r="D99" s="4558"/>
      <c r="E99" s="382"/>
      <c r="F99" s="2182">
        <f>F88</f>
        <v>0</v>
      </c>
      <c r="G99" s="2183"/>
      <c r="H99" s="382"/>
      <c r="I99" s="2182">
        <f>I88</f>
        <v>0</v>
      </c>
      <c r="J99" s="2183"/>
      <c r="K99" s="382"/>
      <c r="L99" s="2182">
        <f>L88</f>
        <v>0</v>
      </c>
      <c r="M99" s="2183"/>
      <c r="N99" s="382"/>
      <c r="O99" s="2182">
        <f>O88</f>
        <v>0</v>
      </c>
      <c r="P99" s="2183"/>
      <c r="R99" s="383"/>
      <c r="S99" s="384"/>
    </row>
    <row r="100" spans="1:21" ht="20.100000000000001" customHeight="1" x14ac:dyDescent="0.3">
      <c r="B100" s="2199" t="s">
        <v>146</v>
      </c>
      <c r="C100" s="2266">
        <v>2051</v>
      </c>
      <c r="D100" s="2072" t="s">
        <v>147</v>
      </c>
      <c r="E100" s="246"/>
      <c r="F100" s="2186"/>
      <c r="G100" s="2052"/>
      <c r="H100" s="246"/>
      <c r="I100" s="2186"/>
      <c r="J100" s="2052"/>
      <c r="K100" s="246"/>
      <c r="L100" s="2186"/>
      <c r="M100" s="2052"/>
      <c r="N100" s="246"/>
      <c r="O100" s="2186"/>
      <c r="P100" s="2052"/>
      <c r="R100" s="30"/>
    </row>
    <row r="101" spans="1:21" ht="20.100000000000001" customHeight="1" x14ac:dyDescent="0.3">
      <c r="B101" s="4602" t="s">
        <v>806</v>
      </c>
      <c r="C101" s="3751"/>
      <c r="D101" s="3908"/>
      <c r="E101" s="246"/>
      <c r="F101" s="2187"/>
      <c r="G101" s="2173"/>
      <c r="H101" s="246"/>
      <c r="I101" s="2187"/>
      <c r="J101" s="2173"/>
      <c r="K101" s="246"/>
      <c r="L101" s="2187"/>
      <c r="M101" s="2173"/>
      <c r="N101" s="246"/>
      <c r="O101" s="2187"/>
      <c r="P101" s="2173"/>
      <c r="R101" s="752"/>
    </row>
    <row r="102" spans="1:21" ht="20.100000000000001" customHeight="1" x14ac:dyDescent="0.3">
      <c r="B102" s="4559" t="s">
        <v>686</v>
      </c>
      <c r="C102" s="4560"/>
      <c r="D102" s="4561"/>
      <c r="E102" s="127"/>
      <c r="F102" s="2205">
        <f>(SUM(F98:F100))-F101</f>
        <v>0</v>
      </c>
      <c r="G102" s="2206" t="str">
        <f>IF(ISERROR(F102/total_bilan_1)," ",F102/total_bilan_1)</f>
        <v xml:space="preserve"> </v>
      </c>
      <c r="H102" s="131"/>
      <c r="I102" s="2205">
        <f>(SUM(I98:I100))-I101</f>
        <v>0</v>
      </c>
      <c r="J102" s="2206" t="str">
        <f>IF(ISERROR(I102/total_bilan_2)," ",I102/total_bilan_2)</f>
        <v xml:space="preserve"> </v>
      </c>
      <c r="K102" s="131"/>
      <c r="L102" s="2205">
        <f>(SUM(L98:L100))-L101</f>
        <v>0</v>
      </c>
      <c r="M102" s="2206" t="str">
        <f>IF(ISERROR(L102/total_bilan_3)," ",L102/total_bilan_3)</f>
        <v xml:space="preserve"> </v>
      </c>
      <c r="N102" s="131"/>
      <c r="O102" s="2205">
        <f>(SUM(O98:O100))-O101</f>
        <v>0</v>
      </c>
      <c r="P102" s="2206" t="str">
        <f>IF(ISERROR(O102/total_bilan_4)," ",O102/total_bilan_4)</f>
        <v xml:space="preserve"> </v>
      </c>
      <c r="R102" s="666"/>
    </row>
    <row r="103" spans="1:21" ht="21.9" customHeight="1" x14ac:dyDescent="0.3">
      <c r="B103" s="4596" t="s">
        <v>687</v>
      </c>
      <c r="C103" s="4597"/>
      <c r="D103" s="4598"/>
      <c r="E103" s="667"/>
      <c r="F103" s="2207">
        <f>F97-F102</f>
        <v>0</v>
      </c>
      <c r="G103" s="2174"/>
      <c r="H103" s="131"/>
      <c r="I103" s="2207">
        <f>I97-I102</f>
        <v>0</v>
      </c>
      <c r="J103" s="2174"/>
      <c r="K103" s="131"/>
      <c r="L103" s="2207">
        <f>L97-L102</f>
        <v>0</v>
      </c>
      <c r="M103" s="2174"/>
      <c r="N103" s="131"/>
      <c r="O103" s="2207">
        <f>O97-O102</f>
        <v>0</v>
      </c>
      <c r="P103" s="2174"/>
      <c r="R103" s="666"/>
    </row>
    <row r="104" spans="1:21" s="310" customFormat="1" ht="24.9" customHeight="1" x14ac:dyDescent="0.25">
      <c r="B104" s="2203" t="s">
        <v>1016</v>
      </c>
      <c r="C104" s="2204" t="s">
        <v>242</v>
      </c>
      <c r="D104" s="2200"/>
      <c r="E104" s="858"/>
      <c r="F104" s="2188">
        <f>IF((F93+F103)&gt;0,F93+F103,0)</f>
        <v>0</v>
      </c>
      <c r="G104" s="2189"/>
      <c r="H104" s="858"/>
      <c r="I104" s="2188">
        <f>IF((I93+I103)&gt;0,I93+I103,0)</f>
        <v>0</v>
      </c>
      <c r="J104" s="2189"/>
      <c r="K104" s="858"/>
      <c r="L104" s="2188">
        <f>IF((L93+L103)&gt;0,L93+L103,0)</f>
        <v>0</v>
      </c>
      <c r="M104" s="2189"/>
      <c r="N104" s="858"/>
      <c r="O104" s="2188">
        <f>IF((O93+O103)&gt;0,O93+O103,0)</f>
        <v>0</v>
      </c>
      <c r="P104" s="2189"/>
      <c r="R104" s="1052">
        <f>IF(AND(ca_3=0,ca_2&gt;0),AVERAGE(F104,I104),IF(AND(ca_3=0,ca_2=0),bfr_1,AVERAGE(F104,I104,L104)))</f>
        <v>0</v>
      </c>
      <c r="U104" s="255"/>
    </row>
    <row r="105" spans="1:21" s="310" customFormat="1" ht="24.9" customHeight="1" x14ac:dyDescent="0.25">
      <c r="B105" s="2201" t="s">
        <v>1017</v>
      </c>
      <c r="C105" s="2192" t="s">
        <v>450</v>
      </c>
      <c r="D105" s="2202"/>
      <c r="E105" s="696"/>
      <c r="F105" s="2193">
        <f>IF((F93+F103)&gt;0,0,(F93+F103)/-1)</f>
        <v>0</v>
      </c>
      <c r="G105" s="2194"/>
      <c r="H105" s="696"/>
      <c r="I105" s="2193">
        <f>IF((I93+I103)&gt;0,0,(I93+I103)/-1)</f>
        <v>0</v>
      </c>
      <c r="J105" s="2194"/>
      <c r="K105" s="696"/>
      <c r="L105" s="2193">
        <f>IF((L93+L103)&gt;0,0,(L93+L103)/-1)</f>
        <v>0</v>
      </c>
      <c r="M105" s="2194"/>
      <c r="N105" s="696"/>
      <c r="O105" s="2193">
        <f>IF((O93+O103)&gt;0,0,(O93+O103)/-1)</f>
        <v>0</v>
      </c>
      <c r="P105" s="2194"/>
      <c r="R105" s="1052">
        <f>IF(AND(ca_3=0,ca_2&gt;0),AVERAGE(F105,I105),IF(AND(ca_3=0,ca_2=0),dfr_1,AVERAGE(F105,I105,L105)))</f>
        <v>0</v>
      </c>
      <c r="U105" s="255"/>
    </row>
    <row r="106" spans="1:21" s="310" customFormat="1" ht="24.9" customHeight="1" x14ac:dyDescent="0.3">
      <c r="B106" s="4549" t="s">
        <v>148</v>
      </c>
      <c r="C106" s="4550"/>
      <c r="D106" s="4551"/>
      <c r="E106" s="696"/>
      <c r="F106" s="2195">
        <f>F36-F104+F105</f>
        <v>0</v>
      </c>
      <c r="G106" s="2196"/>
      <c r="H106" s="696"/>
      <c r="I106" s="2195">
        <f>I36-I104+I105</f>
        <v>0</v>
      </c>
      <c r="J106" s="2196"/>
      <c r="K106" s="696"/>
      <c r="L106" s="2195">
        <f>L36-L104+L105</f>
        <v>0</v>
      </c>
      <c r="M106" s="2196"/>
      <c r="N106" s="696"/>
      <c r="O106" s="2195">
        <f>O36-O104+O105</f>
        <v>0</v>
      </c>
      <c r="P106" s="2196"/>
      <c r="R106" s="322"/>
      <c r="S106" s="293"/>
      <c r="T106" s="312"/>
      <c r="U106" s="255"/>
    </row>
    <row r="107" spans="1:21" ht="6" customHeight="1" x14ac:dyDescent="0.3">
      <c r="B107" s="345"/>
      <c r="C107" s="641"/>
      <c r="D107" s="648"/>
      <c r="E107" s="321"/>
      <c r="F107" s="313"/>
      <c r="G107" s="314"/>
      <c r="H107" s="321"/>
      <c r="I107" s="313"/>
      <c r="J107" s="314"/>
      <c r="K107" s="321"/>
      <c r="L107" s="313"/>
      <c r="M107" s="314"/>
      <c r="N107" s="321"/>
      <c r="O107" s="313"/>
      <c r="P107" s="314"/>
      <c r="R107" s="30"/>
    </row>
    <row r="108" spans="1:21" ht="24.9" customHeight="1" x14ac:dyDescent="0.3">
      <c r="B108" s="344"/>
      <c r="C108" s="4536" t="s">
        <v>149</v>
      </c>
      <c r="D108" s="4537"/>
      <c r="E108" s="328"/>
      <c r="F108" s="2190">
        <f>cp_1+eh_1+fournisseurs_1+F14+F86+F87-F88+F91+F102</f>
        <v>0</v>
      </c>
      <c r="G108" s="2191">
        <v>1</v>
      </c>
      <c r="H108" s="328"/>
      <c r="I108" s="2190">
        <f>cp_2+eh_2+fournisseurs_2+I14+I86+I87-I88+I91+I102</f>
        <v>0</v>
      </c>
      <c r="J108" s="2191">
        <v>1</v>
      </c>
      <c r="K108" s="328"/>
      <c r="L108" s="2190">
        <f>cp_3+eh_3+fournisseurs_3+L14+L86+L87-L88+L91+L102</f>
        <v>0</v>
      </c>
      <c r="M108" s="2191">
        <v>1</v>
      </c>
      <c r="N108" s="328"/>
      <c r="O108" s="2190">
        <f>cp_4+eh_4+fournisseurs_4+O14+O86+O87-O88+O91+O102</f>
        <v>0</v>
      </c>
      <c r="P108" s="2191">
        <v>1</v>
      </c>
      <c r="R108" s="30"/>
    </row>
    <row r="109" spans="1:21" ht="20.100000000000001" customHeight="1" x14ac:dyDescent="0.3">
      <c r="B109" s="1050" t="s">
        <v>855</v>
      </c>
      <c r="C109" s="641"/>
      <c r="D109" s="648"/>
      <c r="E109" s="328"/>
      <c r="F109" s="313"/>
      <c r="G109" s="329"/>
      <c r="H109" s="328"/>
      <c r="I109" s="313"/>
      <c r="J109" s="329"/>
      <c r="K109" s="328"/>
      <c r="L109" s="313"/>
      <c r="M109" s="329"/>
      <c r="N109" s="328"/>
      <c r="O109" s="313"/>
      <c r="P109" s="329"/>
      <c r="R109" s="30"/>
    </row>
    <row r="110" spans="1:21" ht="20.100000000000001" customHeight="1" x14ac:dyDescent="0.3">
      <c r="B110" s="1932" t="s">
        <v>150</v>
      </c>
      <c r="C110" s="2259">
        <v>2050</v>
      </c>
      <c r="D110" s="2105" t="s">
        <v>151</v>
      </c>
      <c r="E110" s="246"/>
      <c r="F110" s="2181"/>
      <c r="G110" s="2016"/>
      <c r="H110" s="246"/>
      <c r="I110" s="2181"/>
      <c r="J110" s="2016"/>
      <c r="K110" s="246"/>
      <c r="L110" s="2181"/>
      <c r="M110" s="2016"/>
      <c r="N110" s="246"/>
      <c r="O110" s="2181"/>
      <c r="P110" s="2016"/>
      <c r="R110" s="30"/>
    </row>
    <row r="111" spans="1:21" ht="20.100000000000001" customHeight="1" x14ac:dyDescent="0.3">
      <c r="B111" s="2211" t="s">
        <v>1018</v>
      </c>
      <c r="C111" s="2260">
        <v>2050</v>
      </c>
      <c r="D111" s="2068" t="s">
        <v>153</v>
      </c>
      <c r="E111" s="246"/>
      <c r="F111" s="2186"/>
      <c r="G111" s="2052"/>
      <c r="H111" s="246"/>
      <c r="I111" s="2186"/>
      <c r="J111" s="2052"/>
      <c r="K111" s="246"/>
      <c r="L111" s="2186"/>
      <c r="M111" s="2052"/>
      <c r="N111" s="246"/>
      <c r="O111" s="2186"/>
      <c r="P111" s="2052"/>
      <c r="R111" s="30"/>
    </row>
    <row r="112" spans="1:21" ht="20.100000000000001" customHeight="1" x14ac:dyDescent="0.3">
      <c r="B112" s="2215" t="s">
        <v>1019</v>
      </c>
      <c r="C112" s="2261"/>
      <c r="D112" s="2216"/>
      <c r="E112" s="2217"/>
      <c r="F112" s="2218">
        <f>-F60</f>
        <v>0</v>
      </c>
      <c r="G112" s="2219"/>
      <c r="H112" s="386"/>
      <c r="I112" s="2218">
        <f>-I60</f>
        <v>0</v>
      </c>
      <c r="J112" s="2219"/>
      <c r="K112" s="386"/>
      <c r="L112" s="2218">
        <f>-L60</f>
        <v>0</v>
      </c>
      <c r="M112" s="2219"/>
      <c r="N112" s="386"/>
      <c r="O112" s="2218">
        <f>-O60</f>
        <v>0</v>
      </c>
      <c r="P112" s="2219"/>
      <c r="R112" s="30"/>
    </row>
    <row r="113" spans="2:19" ht="20.100000000000001" customHeight="1" x14ac:dyDescent="0.3">
      <c r="B113" s="2212" t="s">
        <v>1020</v>
      </c>
      <c r="C113" s="2262"/>
      <c r="D113" s="2213"/>
      <c r="E113" s="246"/>
      <c r="F113" s="2208">
        <f>-(F61-F74)</f>
        <v>0</v>
      </c>
      <c r="G113" s="2209"/>
      <c r="H113" s="386"/>
      <c r="I113" s="2208">
        <f>-(I61-I74)</f>
        <v>0</v>
      </c>
      <c r="J113" s="2209"/>
      <c r="K113" s="386"/>
      <c r="L113" s="2208">
        <f>-(L61-L74)</f>
        <v>0</v>
      </c>
      <c r="M113" s="2209"/>
      <c r="N113" s="386"/>
      <c r="O113" s="2208">
        <f>-(O61-O74)</f>
        <v>0</v>
      </c>
      <c r="P113" s="2209"/>
      <c r="R113" s="30"/>
    </row>
    <row r="114" spans="2:19" ht="20.100000000000001" customHeight="1" x14ac:dyDescent="0.3">
      <c r="B114" s="2214" t="s">
        <v>1021</v>
      </c>
      <c r="C114" s="2263"/>
      <c r="D114" s="2117"/>
      <c r="E114" s="246"/>
      <c r="F114" s="2210">
        <f>-F26</f>
        <v>0</v>
      </c>
      <c r="G114" s="2220"/>
      <c r="H114" s="386"/>
      <c r="I114" s="2210">
        <f>-I26</f>
        <v>0</v>
      </c>
      <c r="J114" s="2220"/>
      <c r="K114" s="386"/>
      <c r="L114" s="2210">
        <f>-L26</f>
        <v>0</v>
      </c>
      <c r="M114" s="2220"/>
      <c r="N114" s="386"/>
      <c r="O114" s="2210">
        <f>-O26</f>
        <v>0</v>
      </c>
      <c r="P114" s="2220"/>
      <c r="R114" s="30"/>
    </row>
    <row r="115" spans="2:19" ht="24.9" customHeight="1" x14ac:dyDescent="0.3">
      <c r="B115" s="4552" t="s">
        <v>1022</v>
      </c>
      <c r="C115" s="4553"/>
      <c r="D115" s="4554"/>
      <c r="E115" s="321"/>
      <c r="F115" s="2221">
        <f>SUM(F110:F114)</f>
        <v>0</v>
      </c>
      <c r="G115" s="2222"/>
      <c r="H115" s="321"/>
      <c r="I115" s="2221">
        <f>SUM(I110:I114)</f>
        <v>0</v>
      </c>
      <c r="J115" s="2222"/>
      <c r="K115" s="321"/>
      <c r="L115" s="2221">
        <f>SUM(L110:L114)</f>
        <v>0</v>
      </c>
      <c r="M115" s="2222"/>
      <c r="N115" s="321"/>
      <c r="O115" s="2221">
        <f>SUM(O110:O114)</f>
        <v>0</v>
      </c>
      <c r="P115" s="2222"/>
      <c r="R115" s="30"/>
    </row>
    <row r="116" spans="2:19" ht="3" customHeight="1" x14ac:dyDescent="0.3">
      <c r="B116" s="327"/>
      <c r="C116" s="642"/>
      <c r="D116" s="649"/>
      <c r="E116" s="321"/>
      <c r="F116" s="313"/>
      <c r="G116" s="314"/>
      <c r="H116" s="321"/>
      <c r="I116" s="313"/>
      <c r="J116" s="314"/>
      <c r="K116" s="321"/>
      <c r="L116" s="313"/>
      <c r="M116" s="314"/>
      <c r="N116" s="321"/>
      <c r="O116" s="313"/>
      <c r="P116" s="314"/>
      <c r="R116" s="30"/>
    </row>
    <row r="117" spans="2:19" s="240" customFormat="1" ht="20.100000000000001" customHeight="1" x14ac:dyDescent="0.3">
      <c r="B117" s="330"/>
      <c r="C117" s="643"/>
      <c r="D117" s="653" t="s">
        <v>164</v>
      </c>
      <c r="E117" s="331"/>
      <c r="F117" s="64">
        <f>tr_1-F115</f>
        <v>0</v>
      </c>
      <c r="G117" s="332"/>
      <c r="H117" s="331"/>
      <c r="I117" s="64">
        <f>tr_2-I115</f>
        <v>0</v>
      </c>
      <c r="J117" s="332"/>
      <c r="K117" s="331"/>
      <c r="L117" s="64">
        <f>tr_3-L115</f>
        <v>0</v>
      </c>
      <c r="M117" s="332"/>
      <c r="N117" s="331"/>
      <c r="O117" s="64">
        <f>tr_4-O115</f>
        <v>0</v>
      </c>
      <c r="P117" s="332"/>
      <c r="R117" s="333"/>
    </row>
    <row r="118" spans="2:19" s="335" customFormat="1" ht="6" customHeight="1" x14ac:dyDescent="0.3">
      <c r="B118" s="334"/>
      <c r="C118" s="644"/>
      <c r="D118" s="334"/>
      <c r="E118" s="62"/>
      <c r="F118" s="63"/>
      <c r="G118" s="50"/>
      <c r="H118" s="62"/>
      <c r="I118" s="63"/>
      <c r="J118" s="50"/>
      <c r="K118" s="62"/>
      <c r="L118" s="63"/>
      <c r="M118" s="50"/>
      <c r="N118" s="62"/>
      <c r="O118" s="63"/>
      <c r="P118" s="50"/>
      <c r="Q118" s="62"/>
      <c r="R118" s="63"/>
    </row>
    <row r="119" spans="2:19" s="335" customFormat="1" ht="20.100000000000001" customHeight="1" x14ac:dyDescent="0.3">
      <c r="B119" s="4539" t="s">
        <v>386</v>
      </c>
      <c r="C119" s="4540"/>
      <c r="D119" s="4541"/>
      <c r="F119" s="2736">
        <f>IF(total_bilan_1=" "," ",tr_1-tr_2)</f>
        <v>0</v>
      </c>
      <c r="G119" s="49"/>
      <c r="I119" s="2738">
        <f>IF(total_bilan_2=" "," ",tr_2-tr_3)</f>
        <v>0</v>
      </c>
      <c r="J119" s="49"/>
      <c r="L119" s="2739">
        <f>IF(total_bilan_3=" "," ",tr_3-tr_4)</f>
        <v>0</v>
      </c>
      <c r="M119" s="49"/>
      <c r="N119" s="49"/>
      <c r="O119" s="49"/>
      <c r="P119" s="49"/>
      <c r="Q119" s="336"/>
      <c r="R119" s="63"/>
    </row>
    <row r="120" spans="2:19" s="335" customFormat="1" ht="20.100000000000001" customHeight="1" x14ac:dyDescent="0.3">
      <c r="B120" s="4539" t="s">
        <v>403</v>
      </c>
      <c r="C120" s="4540"/>
      <c r="D120" s="4541"/>
      <c r="F120" s="2737">
        <f>IF(total_bilan_1=" "," ",tr_1-tr_4)</f>
        <v>0</v>
      </c>
      <c r="G120" s="49"/>
      <c r="I120" s="2737">
        <f>IF(total_bilan_2=" "," ",tr_2-tr_4)</f>
        <v>0</v>
      </c>
      <c r="J120" s="49"/>
      <c r="K120" s="49"/>
      <c r="L120" s="49"/>
      <c r="M120" s="49"/>
      <c r="N120" s="49"/>
      <c r="O120" s="49"/>
      <c r="P120" s="49"/>
      <c r="Q120" s="336"/>
      <c r="R120" s="63"/>
    </row>
    <row r="121" spans="2:19" ht="20.100000000000001" customHeight="1" x14ac:dyDescent="0.3">
      <c r="B121" s="1146" t="s">
        <v>1042</v>
      </c>
      <c r="C121" s="642"/>
      <c r="D121" s="649"/>
      <c r="E121" s="321"/>
      <c r="F121" s="313"/>
      <c r="G121" s="314"/>
      <c r="H121" s="321"/>
      <c r="I121" s="313"/>
      <c r="J121" s="314"/>
      <c r="K121" s="321"/>
      <c r="L121" s="313"/>
      <c r="M121" s="314"/>
      <c r="N121" s="321"/>
      <c r="O121" s="62"/>
      <c r="P121" s="314"/>
      <c r="R121" s="30"/>
      <c r="S121" s="1"/>
    </row>
    <row r="122" spans="2:19" ht="15" customHeight="1" x14ac:dyDescent="0.3">
      <c r="B122" s="2230" t="s">
        <v>527</v>
      </c>
      <c r="C122" s="2231" t="s">
        <v>79</v>
      </c>
      <c r="D122" s="2232" t="s">
        <v>528</v>
      </c>
      <c r="E122" s="246"/>
      <c r="F122" s="2237"/>
      <c r="G122" s="4521"/>
      <c r="H122" s="246"/>
      <c r="I122" s="2237"/>
      <c r="J122" s="4521"/>
      <c r="K122" s="246"/>
      <c r="L122" s="2237"/>
      <c r="M122" s="4521"/>
      <c r="N122" s="246"/>
      <c r="O122" s="4524"/>
      <c r="P122" s="4525"/>
      <c r="R122" s="30"/>
      <c r="S122" s="1"/>
    </row>
    <row r="123" spans="2:19" s="2227" customFormat="1" ht="15" customHeight="1" x14ac:dyDescent="0.25">
      <c r="B123" s="2229" t="s">
        <v>770</v>
      </c>
      <c r="C123" s="2224"/>
      <c r="D123" s="2225"/>
      <c r="E123" s="2226"/>
      <c r="F123" s="2238" t="str">
        <f>IF(ISERROR(F122/r_2)," ",F122/r_2)</f>
        <v xml:space="preserve"> </v>
      </c>
      <c r="G123" s="4522"/>
      <c r="H123" s="2226"/>
      <c r="I123" s="2238" t="str">
        <f>IF(ISERROR(I122/r_3)," ",I122/r_3)</f>
        <v xml:space="preserve"> </v>
      </c>
      <c r="J123" s="4522"/>
      <c r="K123" s="2226"/>
      <c r="L123" s="2238" t="str">
        <f>IF(ISERROR(L122/r_4)," ",L122/r_4)</f>
        <v xml:space="preserve"> </v>
      </c>
      <c r="M123" s="4522"/>
      <c r="N123" s="2226"/>
      <c r="O123" s="4526"/>
      <c r="P123" s="4527"/>
      <c r="R123" s="2228"/>
    </row>
    <row r="124" spans="2:19" ht="21.9" customHeight="1" x14ac:dyDescent="0.3">
      <c r="B124" s="1910" t="s">
        <v>484</v>
      </c>
      <c r="C124" s="2233">
        <v>2057</v>
      </c>
      <c r="D124" s="2234" t="s">
        <v>485</v>
      </c>
      <c r="E124" s="246"/>
      <c r="F124" s="2239"/>
      <c r="G124" s="4523"/>
      <c r="H124" s="246"/>
      <c r="I124" s="2239"/>
      <c r="J124" s="4523"/>
      <c r="K124" s="246"/>
      <c r="L124" s="2239"/>
      <c r="M124" s="4523"/>
      <c r="N124" s="246"/>
      <c r="O124" s="4528"/>
      <c r="P124" s="4527"/>
      <c r="R124" s="30"/>
      <c r="S124" s="1"/>
    </row>
    <row r="125" spans="2:19" ht="20.100000000000001" customHeight="1" x14ac:dyDescent="0.3">
      <c r="B125" s="1934" t="s">
        <v>154</v>
      </c>
      <c r="C125" s="889" t="s">
        <v>79</v>
      </c>
      <c r="D125" s="2072" t="s">
        <v>155</v>
      </c>
      <c r="E125" s="246"/>
      <c r="F125" s="2240"/>
      <c r="G125" s="2241">
        <f>IF(ISERROR(IF(ISBLANK(F125),0,F125/ca_1))," ",IF(ISBLANK(F125),0,F125/ca_1))</f>
        <v>0</v>
      </c>
      <c r="H125" s="246"/>
      <c r="I125" s="2240"/>
      <c r="J125" s="2241">
        <f>IF(ISERROR(IF(ISBLANK(I125),0,I125/ca_2))," ",IF(ISBLANK(I125),0,I125/ca_2))</f>
        <v>0</v>
      </c>
      <c r="K125" s="246"/>
      <c r="L125" s="2240"/>
      <c r="M125" s="2241">
        <f>IF(ISERROR(IF(ISBLANK(L125),0,L125/ca_3))," ",IF(ISBLANK(L125),0,L125/ca_3))</f>
        <v>0</v>
      </c>
      <c r="N125" s="246"/>
      <c r="O125" s="4528"/>
      <c r="P125" s="4527"/>
      <c r="R125" s="30"/>
      <c r="S125" s="1"/>
    </row>
    <row r="126" spans="2:19" ht="24.9" customHeight="1" x14ac:dyDescent="0.3">
      <c r="B126" s="2223" t="s">
        <v>530</v>
      </c>
      <c r="C126" s="2257"/>
      <c r="D126" s="2258"/>
      <c r="E126" s="246"/>
      <c r="F126" s="1662">
        <f>ROUND(IF(tvac_1=0,(ca_1-export_1)*$C$126,0),0)</f>
        <v>0</v>
      </c>
      <c r="G126" s="2241">
        <f>IF(G125=0,C126,0)</f>
        <v>0</v>
      </c>
      <c r="H126" s="246"/>
      <c r="I126" s="1662">
        <f>ROUND(IF(tvac_2=0,(ca_2-export_2)*$C$126,0),0)</f>
        <v>0</v>
      </c>
      <c r="J126" s="2241">
        <f>IF(J125=0,C126,0)</f>
        <v>0</v>
      </c>
      <c r="K126" s="246"/>
      <c r="L126" s="1662">
        <f>ROUND(IF(tvac_3=0,(ca_3-export_3)*'Analyse bilan'!$C$126,0),0)</f>
        <v>0</v>
      </c>
      <c r="M126" s="2241">
        <f>IF(M125=0,C126,0)</f>
        <v>0</v>
      </c>
      <c r="N126" s="246"/>
      <c r="O126" s="4528"/>
      <c r="P126" s="4527"/>
      <c r="R126" s="30"/>
      <c r="S126" s="1"/>
    </row>
    <row r="127" spans="2:19" ht="20.100000000000001" customHeight="1" x14ac:dyDescent="0.3">
      <c r="B127" s="1911" t="s">
        <v>156</v>
      </c>
      <c r="C127" s="2235" t="s">
        <v>79</v>
      </c>
      <c r="D127" s="2236" t="s">
        <v>157</v>
      </c>
      <c r="E127" s="246"/>
      <c r="F127" s="2242"/>
      <c r="G127" s="2243">
        <f>IF(ISERROR(IF(ISBLANK(tvad_1),0,tvad_1/(fs_1+transp_achatMses_1+fu_1+sous_traitance_1+transp_achatMat_1+fw_1)))," ",IF(ISBLANK(tvad_1),0,tvad_1/(fs_1+transp_achatMses_1+fu_1+sous_traitance_1+transp_achatMat_1+fw_1)))</f>
        <v>0</v>
      </c>
      <c r="H127" s="246"/>
      <c r="I127" s="2242"/>
      <c r="J127" s="2243">
        <f>IF(ISERROR(IF(ISBLANK(tvad_2),0,tvad_2/(fs_2+transp_achatMses_2+fu_2+sous_traitance_2+transp_achatMat_2+fw_2)))," ",IF(ISBLANK(tvad_2),0,tvad_2/(fs_2+transp_achatMses_2+fu_2+sous_traitance_2+transp_achatMat_2+fw_2)))</f>
        <v>0</v>
      </c>
      <c r="K127" s="246"/>
      <c r="L127" s="2242"/>
      <c r="M127" s="2243">
        <f>IF(ISERROR(IF(ISBLANK(tvad_3),0,tvad_3/(fs_3+transp_achatMses_3+fu_3+sous_traitance_3+transp_achatMat_3+fw_3)))," ",IF(ISBLANK(tvad_3),0,tvad_3/(fs_3+transp_achatMses_3+fu_3+sous_traitance_3+transp_achatMat_3+fw_3)))</f>
        <v>0</v>
      </c>
      <c r="N127" s="246"/>
      <c r="O127" s="4528"/>
      <c r="P127" s="4527"/>
      <c r="R127" s="30"/>
      <c r="S127" s="1"/>
    </row>
    <row r="128" spans="2:19" ht="24.9" customHeight="1" x14ac:dyDescent="0.3">
      <c r="B128" s="2223" t="s">
        <v>531</v>
      </c>
      <c r="C128" s="2257"/>
      <c r="D128" s="2258"/>
      <c r="E128" s="246"/>
      <c r="F128" s="1662">
        <f>ROUND(IF(tvad_1=0,(fs_1+fu_1+fw_1-hp_1-hq_1)*$C$128,0),0)</f>
        <v>0</v>
      </c>
      <c r="G128" s="2241">
        <f>IF(G127=0,C128,0)</f>
        <v>0</v>
      </c>
      <c r="H128" s="246"/>
      <c r="I128" s="1662">
        <f>ROUND(IF(tvad_2=0,(fs_2+fu_2+fw_2-hp_2-hq_2)*$C$128,0),0)</f>
        <v>0</v>
      </c>
      <c r="J128" s="2241">
        <f>IF(J127=0,C128,0)</f>
        <v>0</v>
      </c>
      <c r="K128" s="246"/>
      <c r="L128" s="1662">
        <f>ROUND(IF(tvad_3=0,(fs_3+fu_3+fw_3-hp_3-hq_3)*$C$128,0),0)</f>
        <v>0</v>
      </c>
      <c r="M128" s="2241">
        <f>IF(M127=0,C128,0)</f>
        <v>0</v>
      </c>
      <c r="N128" s="246"/>
      <c r="O128" s="4528"/>
      <c r="P128" s="4527"/>
      <c r="R128" s="30"/>
      <c r="S128" s="1"/>
    </row>
    <row r="129" spans="2:19" ht="21.9" customHeight="1" x14ac:dyDescent="0.3">
      <c r="B129" s="2252" t="s">
        <v>158</v>
      </c>
      <c r="C129" s="2233" t="s">
        <v>79</v>
      </c>
      <c r="D129" s="2234" t="s">
        <v>274</v>
      </c>
      <c r="E129" s="2250"/>
      <c r="F129" s="2255"/>
      <c r="G129" s="2251"/>
      <c r="H129" s="246"/>
      <c r="I129" s="2255"/>
      <c r="J129" s="2251"/>
      <c r="K129" s="246"/>
      <c r="L129" s="2255"/>
      <c r="M129" s="2251"/>
      <c r="N129" s="246"/>
      <c r="O129" s="4528"/>
      <c r="P129" s="4527"/>
      <c r="R129" s="30"/>
      <c r="S129" s="1"/>
    </row>
    <row r="130" spans="2:19" ht="17.100000000000001" customHeight="1" x14ac:dyDescent="0.3">
      <c r="B130" s="2244" t="s">
        <v>557</v>
      </c>
      <c r="C130" s="889"/>
      <c r="D130" s="2072"/>
      <c r="E130" s="246"/>
      <c r="F130" s="2246">
        <f>yu_1</f>
        <v>0</v>
      </c>
      <c r="G130" s="2248"/>
      <c r="H130" s="246"/>
      <c r="I130" s="2246">
        <f>yu_2</f>
        <v>0</v>
      </c>
      <c r="J130" s="2248"/>
      <c r="K130" s="246"/>
      <c r="L130" s="2246">
        <f>yu_3</f>
        <v>0</v>
      </c>
      <c r="M130" s="2248"/>
      <c r="N130" s="246"/>
      <c r="O130" s="4528"/>
      <c r="P130" s="4527"/>
      <c r="R130" s="30"/>
      <c r="S130" s="1"/>
    </row>
    <row r="131" spans="2:19" ht="17.100000000000001" customHeight="1" x14ac:dyDescent="0.3">
      <c r="B131" s="2245" t="s">
        <v>159</v>
      </c>
      <c r="C131" s="889"/>
      <c r="D131" s="2072"/>
      <c r="E131" s="241"/>
      <c r="F131" s="2247"/>
      <c r="G131" s="2248"/>
      <c r="H131" s="241"/>
      <c r="I131" s="2247"/>
      <c r="J131" s="2248"/>
      <c r="K131" s="241"/>
      <c r="L131" s="2247"/>
      <c r="M131" s="2248"/>
      <c r="N131" s="246"/>
      <c r="O131" s="4528"/>
      <c r="P131" s="4527"/>
      <c r="R131" s="30"/>
      <c r="S131" s="1"/>
    </row>
    <row r="132" spans="2:19" ht="21.9" customHeight="1" x14ac:dyDescent="0.3">
      <c r="B132" s="2253" t="s">
        <v>160</v>
      </c>
      <c r="C132" s="2100"/>
      <c r="D132" s="2101"/>
      <c r="E132" s="246"/>
      <c r="F132" s="2254">
        <f>IF(ISERROR(F130/F131),0,F130/F131)</f>
        <v>0</v>
      </c>
      <c r="G132" s="2249"/>
      <c r="H132" s="246"/>
      <c r="I132" s="2254">
        <f>IF(ISERROR(I130/I131),0,I130/I131)</f>
        <v>0</v>
      </c>
      <c r="J132" s="2249"/>
      <c r="K132" s="246"/>
      <c r="L132" s="2254">
        <f>IF(ISERROR(L130/L131),0,L130/L131)</f>
        <v>0</v>
      </c>
      <c r="M132" s="2249"/>
      <c r="N132" s="246"/>
      <c r="O132" s="4529"/>
      <c r="P132" s="4530"/>
      <c r="R132" s="30"/>
      <c r="S132" s="1"/>
    </row>
    <row r="133" spans="2:19" ht="3" customHeight="1" x14ac:dyDescent="0.3">
      <c r="B133" s="135"/>
      <c r="D133" s="649"/>
      <c r="E133" s="246"/>
      <c r="F133" s="65"/>
      <c r="G133" s="286"/>
      <c r="H133" s="246"/>
      <c r="I133" s="65"/>
      <c r="J133" s="286"/>
      <c r="K133" s="246"/>
      <c r="L133" s="65"/>
      <c r="M133" s="286"/>
      <c r="N133" s="246"/>
      <c r="O133" s="30"/>
      <c r="P133" s="30"/>
      <c r="R133" s="30"/>
    </row>
    <row r="134" spans="2:19" ht="20.100000000000001" customHeight="1" x14ac:dyDescent="0.3">
      <c r="B134" s="327"/>
      <c r="D134" s="681" t="s">
        <v>161</v>
      </c>
      <c r="E134" s="246"/>
      <c r="F134" s="2256">
        <f>F129+F132</f>
        <v>0</v>
      </c>
      <c r="G134" s="286"/>
      <c r="H134" s="246"/>
      <c r="I134" s="2256">
        <f>I129+I132</f>
        <v>0</v>
      </c>
      <c r="J134" s="286"/>
      <c r="K134" s="246"/>
      <c r="L134" s="2256">
        <f>L129+L132</f>
        <v>0</v>
      </c>
      <c r="M134" s="286"/>
      <c r="N134" s="286"/>
      <c r="O134" s="286"/>
      <c r="P134" s="286"/>
      <c r="R134" s="337"/>
      <c r="S134" s="29"/>
    </row>
    <row r="135" spans="2:19" x14ac:dyDescent="0.3">
      <c r="D135" s="649"/>
      <c r="R135" s="337"/>
      <c r="S135" s="357"/>
    </row>
    <row r="136" spans="2:19" s="503" customFormat="1" x14ac:dyDescent="0.3">
      <c r="B136" s="1053"/>
      <c r="C136" s="1054"/>
      <c r="D136" s="1055"/>
      <c r="E136" s="1056"/>
      <c r="F136" s="1057"/>
      <c r="G136" s="1058"/>
      <c r="H136" s="1056"/>
      <c r="I136" s="1057"/>
      <c r="J136" s="1058"/>
      <c r="K136" s="1056"/>
      <c r="L136" s="1057"/>
      <c r="M136" s="1058"/>
      <c r="N136" s="1056"/>
      <c r="O136" s="1057"/>
      <c r="P136" s="1058"/>
      <c r="R136" s="1059"/>
    </row>
    <row r="137" spans="2:19" s="503" customFormat="1" x14ac:dyDescent="0.3">
      <c r="B137" s="1060"/>
      <c r="C137" s="1054"/>
      <c r="D137" s="1055"/>
      <c r="E137" s="1061"/>
      <c r="F137" s="1062"/>
      <c r="G137" s="359"/>
      <c r="H137" s="1061"/>
      <c r="I137" s="1062"/>
      <c r="J137" s="359"/>
      <c r="K137" s="1061"/>
      <c r="L137" s="1062"/>
      <c r="M137" s="359"/>
      <c r="N137" s="1061"/>
      <c r="O137" s="1062"/>
      <c r="P137" s="359"/>
      <c r="R137" s="1059"/>
    </row>
    <row r="138" spans="2:19" s="503" customFormat="1" x14ac:dyDescent="0.3">
      <c r="C138" s="1054"/>
      <c r="D138" s="1055"/>
      <c r="E138" s="1061"/>
      <c r="G138" s="359"/>
      <c r="H138" s="1061"/>
      <c r="J138" s="359"/>
      <c r="K138" s="1061"/>
      <c r="M138" s="359"/>
      <c r="N138" s="1061"/>
      <c r="P138" s="359"/>
      <c r="R138" s="1059"/>
    </row>
    <row r="139" spans="2:19" s="1063" customFormat="1" ht="20.100000000000001" customHeight="1" x14ac:dyDescent="0.25">
      <c r="C139" s="4534" t="s">
        <v>177</v>
      </c>
      <c r="D139" s="4534"/>
      <c r="E139" s="1107"/>
      <c r="F139" s="1108">
        <f>F35</f>
        <v>0</v>
      </c>
      <c r="G139" s="1109" t="str">
        <f>IF(ISERROR(F139/$F$143)," ",F139/$F$143)</f>
        <v xml:space="preserve"> </v>
      </c>
      <c r="H139" s="1107"/>
      <c r="I139" s="1108">
        <f>I35</f>
        <v>0</v>
      </c>
      <c r="J139" s="1109" t="str">
        <f>IF(ISERROR(I139/$I$143)," ",I139/$I$143)</f>
        <v xml:space="preserve"> </v>
      </c>
      <c r="K139" s="1107"/>
      <c r="L139" s="1108">
        <f>L35</f>
        <v>0</v>
      </c>
      <c r="M139" s="1109" t="str">
        <f>IF(ISERROR(L139/$L$143)," ",L139/$L$143)</f>
        <v xml:space="preserve"> </v>
      </c>
      <c r="N139" s="1107"/>
      <c r="O139" s="1108">
        <f>O35</f>
        <v>0</v>
      </c>
      <c r="P139" s="1109" t="str">
        <f>IF(ISERROR(O139/$L$143)," ",O139/$L$143)</f>
        <v xml:space="preserve"> </v>
      </c>
      <c r="Q139" s="1110"/>
      <c r="R139" s="1111"/>
      <c r="S139" s="1110"/>
    </row>
    <row r="140" spans="2:19" s="1063" customFormat="1" ht="20.100000000000001" customHeight="1" x14ac:dyDescent="0.25">
      <c r="C140" s="4534" t="s">
        <v>178</v>
      </c>
      <c r="D140" s="4534"/>
      <c r="E140" s="1107"/>
      <c r="F140" s="1108">
        <f>stn_1</f>
        <v>0</v>
      </c>
      <c r="G140" s="1109" t="str">
        <f>IF(ISERROR(F140/$F$143)," ",F140/$F$143)</f>
        <v xml:space="preserve"> </v>
      </c>
      <c r="H140" s="1107"/>
      <c r="I140" s="1108">
        <f>stn_2</f>
        <v>0</v>
      </c>
      <c r="J140" s="1109" t="str">
        <f>IF(ISERROR(I140/$I$143)," ",I140/$I$143)</f>
        <v xml:space="preserve"> </v>
      </c>
      <c r="K140" s="1107"/>
      <c r="L140" s="1108">
        <f>stn_3</f>
        <v>0</v>
      </c>
      <c r="M140" s="1109" t="str">
        <f>IF(ISERROR(L140/$L$143)," ",L140/$L$143)</f>
        <v xml:space="preserve"> </v>
      </c>
      <c r="N140" s="1107"/>
      <c r="O140" s="1108">
        <f>stn_4</f>
        <v>0</v>
      </c>
      <c r="P140" s="1109" t="str">
        <f>IF(ISERROR(O140/$L$143)," ",O140/$L$143)</f>
        <v xml:space="preserve"> </v>
      </c>
      <c r="Q140" s="1110"/>
      <c r="R140" s="1111"/>
      <c r="S140" s="1108">
        <f>F140+F141+F142</f>
        <v>0</v>
      </c>
    </row>
    <row r="141" spans="2:19" s="1063" customFormat="1" ht="20.100000000000001" customHeight="1" x14ac:dyDescent="0.25">
      <c r="C141" s="4535" t="s">
        <v>181</v>
      </c>
      <c r="D141" s="4534"/>
      <c r="E141" s="1107"/>
      <c r="F141" s="1108">
        <f>F59-F65</f>
        <v>0</v>
      </c>
      <c r="G141" s="1109" t="str">
        <f>IF(ISERROR(F141/$F$143)," ",F141/$F$143)</f>
        <v xml:space="preserve"> </v>
      </c>
      <c r="H141" s="1107"/>
      <c r="I141" s="1108">
        <f>I59-I65</f>
        <v>0</v>
      </c>
      <c r="J141" s="1109" t="str">
        <f>IF(ISERROR(I141/$I$143)," ",I141/$I$143)</f>
        <v xml:space="preserve"> </v>
      </c>
      <c r="K141" s="1107"/>
      <c r="L141" s="1108">
        <f>L59-L65</f>
        <v>0</v>
      </c>
      <c r="M141" s="1109" t="str">
        <f>IF(ISERROR(L141/$L$143)," ",L141/$L$143)</f>
        <v xml:space="preserve"> </v>
      </c>
      <c r="N141" s="1107"/>
      <c r="O141" s="1108">
        <f>O59-O65</f>
        <v>0</v>
      </c>
      <c r="P141" s="1109" t="str">
        <f>IF(ISERROR(O141/$L$143)," ",O141/$L$143)</f>
        <v xml:space="preserve"> </v>
      </c>
      <c r="Q141" s="1110"/>
      <c r="R141" s="1111"/>
      <c r="S141" s="1110"/>
    </row>
    <row r="142" spans="2:19" s="1063" customFormat="1" ht="20.100000000000001" customHeight="1" x14ac:dyDescent="0.25">
      <c r="C142" s="4535" t="s">
        <v>152</v>
      </c>
      <c r="D142" s="4534"/>
      <c r="E142" s="1107"/>
      <c r="F142" s="1108">
        <f>F110+F111</f>
        <v>0</v>
      </c>
      <c r="G142" s="1109" t="str">
        <f>IF(ISERROR(F142/$F$143)," ",F142/$F$143)</f>
        <v xml:space="preserve"> </v>
      </c>
      <c r="H142" s="1107"/>
      <c r="I142" s="1108">
        <f>I110+I111</f>
        <v>0</v>
      </c>
      <c r="J142" s="1109" t="str">
        <f>IF(ISERROR(I142/$I$143)," ",I142/$I$143)</f>
        <v xml:space="preserve"> </v>
      </c>
      <c r="K142" s="1107"/>
      <c r="L142" s="1108">
        <f>L110+L111</f>
        <v>0</v>
      </c>
      <c r="M142" s="1109" t="str">
        <f>IF(ISERROR(L142/$L$143)," ",L142/$L$143)</f>
        <v xml:space="preserve"> </v>
      </c>
      <c r="N142" s="1107"/>
      <c r="O142" s="1108">
        <f>O110+O111</f>
        <v>0</v>
      </c>
      <c r="P142" s="1109" t="str">
        <f>IF(ISERROR(O142/$L$143)," ",O142/$L$143)</f>
        <v xml:space="preserve"> </v>
      </c>
      <c r="Q142" s="1110"/>
      <c r="R142" s="1111"/>
      <c r="S142" s="1110"/>
    </row>
    <row r="143" spans="2:19" s="1063" customFormat="1" ht="20.100000000000001" customHeight="1" x14ac:dyDescent="0.25">
      <c r="C143" s="1112" t="s">
        <v>508</v>
      </c>
      <c r="D143" s="1112"/>
      <c r="E143" s="1107"/>
      <c r="F143" s="1113">
        <f>(SUM(F139:F142))+F70+F80</f>
        <v>0</v>
      </c>
      <c r="G143" s="1109"/>
      <c r="H143" s="1107"/>
      <c r="I143" s="1113">
        <f>(SUM(I139:I142))+I70+I80</f>
        <v>0</v>
      </c>
      <c r="J143" s="1109"/>
      <c r="K143" s="1107"/>
      <c r="L143" s="1113">
        <f>(SUM(L139:L142))+L70+L80</f>
        <v>0</v>
      </c>
      <c r="M143" s="1109"/>
      <c r="N143" s="1107"/>
      <c r="O143" s="1113">
        <f>(SUM(O139:O142))+O70+O80</f>
        <v>0</v>
      </c>
      <c r="P143" s="1109"/>
      <c r="Q143" s="1110"/>
      <c r="R143" s="1111"/>
      <c r="S143" s="1110"/>
    </row>
    <row r="144" spans="2:19" s="1063" customFormat="1" ht="20.100000000000001" customHeight="1" x14ac:dyDescent="0.25">
      <c r="C144" s="4535" t="s">
        <v>782</v>
      </c>
      <c r="D144" s="4534"/>
      <c r="E144" s="1107"/>
      <c r="F144" s="1108">
        <f>F28</f>
        <v>0</v>
      </c>
      <c r="G144" s="1109" t="str">
        <f>IF(ISERROR(F144/$F$143)," ",F144/$F$143)</f>
        <v xml:space="preserve"> </v>
      </c>
      <c r="H144" s="1107"/>
      <c r="I144" s="1108">
        <f>I28</f>
        <v>0</v>
      </c>
      <c r="J144" s="1109" t="str">
        <f>IF(ISERROR(I144/$I$143)," ",I144/$I$143)</f>
        <v xml:space="preserve"> </v>
      </c>
      <c r="K144" s="1107"/>
      <c r="L144" s="1108">
        <f>L28</f>
        <v>0</v>
      </c>
      <c r="M144" s="1109" t="str">
        <f>IF(ISERROR(L144/$L$143)," ",L144/$L$143)</f>
        <v xml:space="preserve"> </v>
      </c>
      <c r="N144" s="1107"/>
      <c r="O144" s="1108">
        <f>O28</f>
        <v>0</v>
      </c>
      <c r="P144" s="1109" t="str">
        <f>IF(ISERROR(O144/$L$143)," ",O144/$L$143)</f>
        <v xml:space="preserve"> </v>
      </c>
      <c r="Q144" s="1110"/>
      <c r="R144" s="1111"/>
      <c r="S144" s="1110"/>
    </row>
    <row r="145" spans="3:19" s="1063" customFormat="1" ht="20.100000000000001" customHeight="1" x14ac:dyDescent="0.25">
      <c r="C145" s="4535" t="s">
        <v>180</v>
      </c>
      <c r="D145" s="4534"/>
      <c r="E145" s="1107"/>
      <c r="F145" s="1108">
        <f>fournisseurs_1</f>
        <v>0</v>
      </c>
      <c r="G145" s="1109" t="str">
        <f>IF(ISERROR(F145/$F$143)," ",F145/$F$143)</f>
        <v xml:space="preserve"> </v>
      </c>
      <c r="H145" s="1107"/>
      <c r="I145" s="1108">
        <f>fournisseurs_2</f>
        <v>0</v>
      </c>
      <c r="J145" s="1109" t="str">
        <f>IF(ISERROR(I145/$I$143)," ",I145/$I$143)</f>
        <v xml:space="preserve"> </v>
      </c>
      <c r="K145" s="1107"/>
      <c r="L145" s="1108">
        <f>fournisseurs_3</f>
        <v>0</v>
      </c>
      <c r="M145" s="1109" t="str">
        <f>IF(ISERROR(L145/$L$143)," ",L145/$L$143)</f>
        <v xml:space="preserve"> </v>
      </c>
      <c r="N145" s="1107"/>
      <c r="O145" s="1108">
        <f>fournisseurs_4</f>
        <v>0</v>
      </c>
      <c r="P145" s="1109" t="str">
        <f>IF(ISERROR(O145/$L$143)," ",O145/$L$143)</f>
        <v xml:space="preserve"> </v>
      </c>
      <c r="Q145" s="1110"/>
      <c r="R145" s="1111"/>
      <c r="S145" s="1110"/>
    </row>
    <row r="146" spans="3:19" s="1063" customFormat="1" ht="20.100000000000001" customHeight="1" x14ac:dyDescent="0.25">
      <c r="C146" s="4535" t="s">
        <v>783</v>
      </c>
      <c r="D146" s="4534"/>
      <c r="E146" s="1107"/>
      <c r="F146" s="1108">
        <f>F87</f>
        <v>0</v>
      </c>
      <c r="G146" s="1109" t="str">
        <f>IF(ISERROR(F146/$F$143)," ",F146/$F$143)</f>
        <v xml:space="preserve"> </v>
      </c>
      <c r="H146" s="1107"/>
      <c r="I146" s="1108">
        <f>I87</f>
        <v>0</v>
      </c>
      <c r="J146" s="1109" t="str">
        <f>IF(ISERROR(I146/$I$143)," ",I146/$I$143)</f>
        <v xml:space="preserve"> </v>
      </c>
      <c r="K146" s="1107"/>
      <c r="L146" s="1108">
        <f>L87</f>
        <v>0</v>
      </c>
      <c r="M146" s="1109" t="str">
        <f>IF(ISERROR(L146/$L$143)," ",L146/$L$143)</f>
        <v xml:space="preserve"> </v>
      </c>
      <c r="N146" s="1107"/>
      <c r="O146" s="1108">
        <f>O87</f>
        <v>0</v>
      </c>
      <c r="P146" s="1109" t="str">
        <f>IF(ISERROR(O146/$L$143)," ",O146/$L$143)</f>
        <v xml:space="preserve"> </v>
      </c>
      <c r="Q146" s="1110"/>
      <c r="R146" s="1111"/>
      <c r="S146" s="1110"/>
    </row>
    <row r="147" spans="3:19" s="1063" customFormat="1" ht="20.100000000000001" customHeight="1" x14ac:dyDescent="0.25">
      <c r="C147" s="4535" t="s">
        <v>146</v>
      </c>
      <c r="D147" s="4538"/>
      <c r="E147" s="1107"/>
      <c r="F147" s="1108">
        <f>total_bilan_1-F144-F145-F146</f>
        <v>0</v>
      </c>
      <c r="G147" s="1109" t="str">
        <f>IF(ISERROR(F147/$F$143)," ",F147/$F$143)</f>
        <v xml:space="preserve"> </v>
      </c>
      <c r="H147" s="1107"/>
      <c r="I147" s="1108">
        <f>total_bilan_2-I144-I145-I146</f>
        <v>0</v>
      </c>
      <c r="J147" s="1109" t="str">
        <f>IF(ISERROR(I147/$I$143)," ",I147/$I$143)</f>
        <v xml:space="preserve"> </v>
      </c>
      <c r="K147" s="1107"/>
      <c r="L147" s="1108">
        <f>total_bilan_3-L144-L145-L146</f>
        <v>0</v>
      </c>
      <c r="M147" s="1109" t="str">
        <f>IF(ISERROR(L147/$L$143)," ",L147/$L$143)</f>
        <v xml:space="preserve"> </v>
      </c>
      <c r="N147" s="1107"/>
      <c r="O147" s="1108">
        <f>total_bilan_4-O144-O145-O146</f>
        <v>0</v>
      </c>
      <c r="P147" s="1109" t="str">
        <f>IF(ISERROR(O147/$L$143)," ",O147/$L$143)</f>
        <v xml:space="preserve"> </v>
      </c>
      <c r="Q147" s="1110"/>
      <c r="R147" s="1111"/>
      <c r="S147" s="1110"/>
    </row>
    <row r="148" spans="3:19" s="1063" customFormat="1" ht="20.100000000000001" customHeight="1" x14ac:dyDescent="0.25">
      <c r="C148" s="4535" t="s">
        <v>784</v>
      </c>
      <c r="D148" s="4535"/>
      <c r="E148" s="1107"/>
      <c r="F148" s="1108">
        <f>SUM(F145:F147)</f>
        <v>0</v>
      </c>
      <c r="G148" s="1109" t="str">
        <f>IF(ISERROR(F148/$F$143)," ",F148/$F$143)</f>
        <v xml:space="preserve"> </v>
      </c>
      <c r="H148" s="1107"/>
      <c r="I148" s="1108">
        <f>SUM(I145:I147)</f>
        <v>0</v>
      </c>
      <c r="J148" s="1109"/>
      <c r="K148" s="1107"/>
      <c r="L148" s="1108">
        <f>SUM(L145:L147)</f>
        <v>0</v>
      </c>
      <c r="M148" s="1109"/>
      <c r="N148" s="1107"/>
      <c r="O148" s="1108">
        <f>SUM(O145:O147)</f>
        <v>0</v>
      </c>
      <c r="P148" s="1109"/>
      <c r="Q148" s="1110"/>
      <c r="R148" s="1111"/>
      <c r="S148" s="1110"/>
    </row>
    <row r="149" spans="3:19" s="1063" customFormat="1" ht="20.100000000000001" customHeight="1" x14ac:dyDescent="0.25">
      <c r="C149" s="1112" t="s">
        <v>508</v>
      </c>
      <c r="D149" s="1112"/>
      <c r="E149" s="1114"/>
      <c r="F149" s="1113">
        <f>+F144+F148</f>
        <v>0</v>
      </c>
      <c r="G149" s="1111"/>
      <c r="H149" s="1114"/>
      <c r="I149" s="1113">
        <f>+I144+I148</f>
        <v>0</v>
      </c>
      <c r="J149" s="1111"/>
      <c r="K149" s="1114"/>
      <c r="L149" s="1113">
        <f>+L144+L148</f>
        <v>0</v>
      </c>
      <c r="M149" s="1111"/>
      <c r="N149" s="1114"/>
      <c r="O149" s="1113">
        <f>O144+O148</f>
        <v>0</v>
      </c>
      <c r="P149" s="1111"/>
      <c r="Q149" s="1110"/>
      <c r="R149" s="1111"/>
      <c r="S149" s="1110"/>
    </row>
    <row r="150" spans="3:19" s="1063" customFormat="1" ht="20.100000000000001" customHeight="1" x14ac:dyDescent="0.25">
      <c r="C150" s="4533" t="s">
        <v>467</v>
      </c>
      <c r="D150" s="4534"/>
      <c r="E150" s="1114"/>
      <c r="F150" s="1113">
        <f>bfre_1+F55+F65+F76+F77</f>
        <v>0</v>
      </c>
      <c r="G150" s="1115"/>
      <c r="H150" s="1116"/>
      <c r="I150" s="1113">
        <f>bfre_2+I55+I65+I76+I77</f>
        <v>0</v>
      </c>
      <c r="J150" s="1115"/>
      <c r="K150" s="1116"/>
      <c r="L150" s="1113">
        <f>bfre_3+L55+L65+L76+L77</f>
        <v>0</v>
      </c>
      <c r="M150" s="1115"/>
      <c r="N150" s="1116"/>
      <c r="O150" s="1113">
        <f>bfre_4+O55+O65+O76+O77</f>
        <v>0</v>
      </c>
      <c r="P150" s="1111"/>
      <c r="Q150" s="1110"/>
      <c r="R150" s="1111"/>
      <c r="S150" s="1110"/>
    </row>
    <row r="151" spans="3:19" s="1063" customFormat="1" ht="20.100000000000001" customHeight="1" x14ac:dyDescent="0.25">
      <c r="C151" s="1117" t="s">
        <v>688</v>
      </c>
      <c r="D151" s="1112"/>
      <c r="E151" s="1114"/>
      <c r="F151" s="1108">
        <f>bfe_1-bfe_2</f>
        <v>0</v>
      </c>
      <c r="G151" s="1111"/>
      <c r="H151" s="1114"/>
      <c r="I151" s="1110">
        <f>bfe_2-bfe_3</f>
        <v>0</v>
      </c>
      <c r="J151" s="1111"/>
      <c r="K151" s="1114"/>
      <c r="L151" s="1110">
        <f>bfe_3-bfe_4</f>
        <v>0</v>
      </c>
      <c r="M151" s="1111"/>
      <c r="N151" s="1114"/>
      <c r="O151" s="1110"/>
      <c r="P151" s="1111"/>
      <c r="Q151" s="1110"/>
      <c r="R151" s="1111"/>
      <c r="S151" s="1110"/>
    </row>
    <row r="152" spans="3:19" s="1064" customFormat="1" ht="20.100000000000001" customHeight="1" x14ac:dyDescent="0.25">
      <c r="C152" s="1117" t="s">
        <v>689</v>
      </c>
      <c r="D152" s="1112"/>
      <c r="E152" s="1114"/>
      <c r="F152" s="1108">
        <f>F25-F91+F92+F102</f>
        <v>0</v>
      </c>
      <c r="G152" s="1111"/>
      <c r="H152" s="1114"/>
      <c r="I152" s="1108">
        <f>I25-I91+I92+I102</f>
        <v>0</v>
      </c>
      <c r="J152" s="1111"/>
      <c r="K152" s="1114"/>
      <c r="L152" s="1108">
        <f>L25-L91+L92+L102</f>
        <v>0</v>
      </c>
      <c r="M152" s="1111"/>
      <c r="N152" s="1114"/>
      <c r="O152" s="1108">
        <f>O25-O91+O92+O102</f>
        <v>0</v>
      </c>
      <c r="P152" s="1118"/>
      <c r="Q152" s="1119"/>
      <c r="R152" s="1118"/>
      <c r="S152" s="1120"/>
    </row>
    <row r="153" spans="3:19" s="1064" customFormat="1" ht="20.100000000000001" customHeight="1" x14ac:dyDescent="0.25">
      <c r="C153" s="1117" t="s">
        <v>690</v>
      </c>
      <c r="D153" s="1112"/>
      <c r="E153" s="1114"/>
      <c r="F153" s="1108">
        <f>F60</f>
        <v>0</v>
      </c>
      <c r="G153" s="1111"/>
      <c r="H153" s="1114"/>
      <c r="I153" s="1108">
        <f>I60</f>
        <v>0</v>
      </c>
      <c r="J153" s="1111"/>
      <c r="K153" s="1114"/>
      <c r="L153" s="1108">
        <f>L60</f>
        <v>0</v>
      </c>
      <c r="M153" s="1111"/>
      <c r="N153" s="1114"/>
      <c r="O153" s="1108">
        <f>O60</f>
        <v>0</v>
      </c>
      <c r="P153" s="1118"/>
      <c r="Q153" s="1119"/>
      <c r="R153" s="1118"/>
      <c r="S153" s="1120"/>
    </row>
    <row r="154" spans="3:19" s="1064" customFormat="1" ht="20.100000000000001" customHeight="1" x14ac:dyDescent="0.25">
      <c r="C154" s="1117" t="s">
        <v>704</v>
      </c>
      <c r="D154" s="1112"/>
      <c r="E154" s="1114"/>
      <c r="F154" s="1108">
        <f>creditbail_1</f>
        <v>0</v>
      </c>
      <c r="G154" s="1111"/>
      <c r="H154" s="1114"/>
      <c r="I154" s="1108">
        <f>creditbail_2</f>
        <v>0</v>
      </c>
      <c r="J154" s="1111"/>
      <c r="K154" s="1114"/>
      <c r="L154" s="1108">
        <f>creditbail_3</f>
        <v>0</v>
      </c>
      <c r="M154" s="1111"/>
      <c r="N154" s="1114"/>
      <c r="O154" s="1108">
        <f>creditbail_4</f>
        <v>0</v>
      </c>
      <c r="P154" s="1118"/>
      <c r="Q154" s="1119"/>
      <c r="R154" s="1118"/>
      <c r="S154" s="1120"/>
    </row>
    <row r="155" spans="3:19" s="1065" customFormat="1" ht="20.100000000000001" customHeight="1" x14ac:dyDescent="0.25">
      <c r="C155" s="1112" t="s">
        <v>680</v>
      </c>
      <c r="D155" s="1112"/>
      <c r="E155" s="1116"/>
      <c r="F155" s="1113">
        <f>SUM(F152:F154)</f>
        <v>0</v>
      </c>
      <c r="G155" s="1115"/>
      <c r="H155" s="1116"/>
      <c r="I155" s="1113">
        <f>SUM(I152:I154)</f>
        <v>0</v>
      </c>
      <c r="J155" s="1115"/>
      <c r="K155" s="1116"/>
      <c r="L155" s="1113">
        <f>SUM(L152:L154)</f>
        <v>0</v>
      </c>
      <c r="M155" s="1115"/>
      <c r="N155" s="1116"/>
      <c r="O155" s="1113">
        <f>SUM(O152:O154)</f>
        <v>0</v>
      </c>
      <c r="P155" s="1121"/>
      <c r="Q155" s="1122"/>
      <c r="R155" s="1121"/>
      <c r="S155" s="1123"/>
    </row>
    <row r="156" spans="3:19" s="1064" customFormat="1" ht="20.100000000000001" customHeight="1" x14ac:dyDescent="0.25">
      <c r="C156" s="1112" t="s">
        <v>691</v>
      </c>
      <c r="D156" s="1112"/>
      <c r="E156" s="1116"/>
      <c r="F156" s="1113">
        <f>total_bilan_1+F153+F154</f>
        <v>0</v>
      </c>
      <c r="G156" s="1115"/>
      <c r="H156" s="1116"/>
      <c r="I156" s="1113">
        <f>total_bilan_2+I153+I154</f>
        <v>0</v>
      </c>
      <c r="J156" s="1115"/>
      <c r="K156" s="1116"/>
      <c r="L156" s="1113">
        <f>total_bilan_3+L153+L154</f>
        <v>0</v>
      </c>
      <c r="M156" s="1115"/>
      <c r="N156" s="1116"/>
      <c r="O156" s="1113">
        <f>total_bilan_4+O153+O154</f>
        <v>0</v>
      </c>
      <c r="P156" s="1118"/>
      <c r="Q156" s="1119"/>
      <c r="R156" s="1118"/>
      <c r="S156" s="1120"/>
    </row>
    <row r="157" spans="3:19" s="1064" customFormat="1" ht="20.100000000000001" customHeight="1" x14ac:dyDescent="0.25">
      <c r="C157" s="1117" t="s">
        <v>800</v>
      </c>
      <c r="D157" s="1112"/>
      <c r="E157" s="1114"/>
      <c r="F157" s="1124">
        <f>IF(ISERROR(endettement_1/F156),0,endettement_1/F156)</f>
        <v>0</v>
      </c>
      <c r="G157" s="1111"/>
      <c r="H157" s="1114"/>
      <c r="I157" s="1124">
        <f>IF(ISERROR(endettement_2/I156),0,endettement_2/I156)</f>
        <v>0</v>
      </c>
      <c r="J157" s="1111"/>
      <c r="K157" s="1114"/>
      <c r="L157" s="1124">
        <f>IF(ISERROR(endettement_3/L156),0,endettement_3/L156)</f>
        <v>0</v>
      </c>
      <c r="M157" s="1111"/>
      <c r="N157" s="1114"/>
      <c r="O157" s="1110"/>
      <c r="P157" s="1118"/>
      <c r="Q157" s="1119"/>
      <c r="R157" s="1118"/>
      <c r="S157" s="1119"/>
    </row>
    <row r="158" spans="3:19" s="1064" customFormat="1" ht="20.100000000000001" customHeight="1" x14ac:dyDescent="0.25">
      <c r="C158" s="1117" t="s">
        <v>809</v>
      </c>
      <c r="D158" s="1112"/>
      <c r="E158" s="1114"/>
      <c r="F158" s="1108">
        <f>F25</f>
        <v>0</v>
      </c>
      <c r="G158" s="1111"/>
      <c r="H158" s="1114"/>
      <c r="I158" s="1108">
        <f>I25</f>
        <v>0</v>
      </c>
      <c r="J158" s="1111"/>
      <c r="K158" s="1114"/>
      <c r="L158" s="1108">
        <f>L25</f>
        <v>0</v>
      </c>
      <c r="M158" s="1111"/>
      <c r="N158" s="1114"/>
      <c r="O158" s="1108">
        <f>O25</f>
        <v>0</v>
      </c>
      <c r="P158" s="1118"/>
      <c r="Q158" s="1119"/>
      <c r="R158" s="1118"/>
      <c r="S158" s="1119"/>
    </row>
    <row r="159" spans="3:19" s="1064" customFormat="1" ht="20.100000000000001" customHeight="1" x14ac:dyDescent="0.25">
      <c r="C159" s="1117" t="s">
        <v>690</v>
      </c>
      <c r="D159" s="1112"/>
      <c r="E159" s="1114"/>
      <c r="F159" s="1108">
        <f>F153</f>
        <v>0</v>
      </c>
      <c r="G159" s="1111"/>
      <c r="H159" s="1114"/>
      <c r="I159" s="1108">
        <f>I153</f>
        <v>0</v>
      </c>
      <c r="J159" s="1111"/>
      <c r="K159" s="1114"/>
      <c r="L159" s="1108">
        <f>L153</f>
        <v>0</v>
      </c>
      <c r="M159" s="1111"/>
      <c r="N159" s="1114"/>
      <c r="O159" s="1108">
        <f>O153</f>
        <v>0</v>
      </c>
      <c r="P159" s="1118"/>
      <c r="Q159" s="1119"/>
      <c r="R159" s="1118"/>
      <c r="S159" s="1119"/>
    </row>
    <row r="160" spans="3:19" s="1064" customFormat="1" ht="20.100000000000001" customHeight="1" x14ac:dyDescent="0.25">
      <c r="C160" s="1117" t="s">
        <v>704</v>
      </c>
      <c r="D160" s="1112"/>
      <c r="E160" s="1114"/>
      <c r="F160" s="1108">
        <f>F154</f>
        <v>0</v>
      </c>
      <c r="G160" s="1111"/>
      <c r="H160" s="1114"/>
      <c r="I160" s="1108">
        <f>I154</f>
        <v>0</v>
      </c>
      <c r="J160" s="1111"/>
      <c r="K160" s="1114"/>
      <c r="L160" s="1108">
        <f>L154</f>
        <v>0</v>
      </c>
      <c r="M160" s="1111"/>
      <c r="N160" s="1114"/>
      <c r="O160" s="1108">
        <f>O154</f>
        <v>0</v>
      </c>
      <c r="P160" s="1118"/>
      <c r="Q160" s="1119"/>
      <c r="R160" s="1118"/>
      <c r="S160" s="1119"/>
    </row>
    <row r="161" spans="3:19" s="1064" customFormat="1" ht="20.100000000000001" customHeight="1" x14ac:dyDescent="0.25">
      <c r="C161" s="1117" t="s">
        <v>857</v>
      </c>
      <c r="D161" s="1112"/>
      <c r="E161" s="1114"/>
      <c r="F161" s="1108">
        <f>SUM(F158:F160)</f>
        <v>0</v>
      </c>
      <c r="G161" s="1111"/>
      <c r="H161" s="1114"/>
      <c r="I161" s="1108">
        <f>SUM(I158:I160)</f>
        <v>0</v>
      </c>
      <c r="J161" s="1111"/>
      <c r="K161" s="1114"/>
      <c r="L161" s="1108">
        <f>SUM(L158:L160)</f>
        <v>0</v>
      </c>
      <c r="M161" s="1111"/>
      <c r="N161" s="1114"/>
      <c r="O161" s="1108">
        <f>SUM(O158:O160)</f>
        <v>0</v>
      </c>
      <c r="P161" s="1118"/>
      <c r="Q161" s="1119"/>
      <c r="R161" s="1118"/>
      <c r="S161" s="1119"/>
    </row>
    <row r="162" spans="3:19" s="1064" customFormat="1" ht="20.100000000000001" customHeight="1" x14ac:dyDescent="0.25">
      <c r="C162" s="1117" t="s">
        <v>801</v>
      </c>
      <c r="D162" s="1112"/>
      <c r="E162" s="1114"/>
      <c r="F162" s="1125">
        <f>IF(ISERROR(F161/F156),0,F161/F156)</f>
        <v>0</v>
      </c>
      <c r="G162" s="1111"/>
      <c r="H162" s="1114"/>
      <c r="I162" s="1125">
        <f>IF(ISERROR(I161/I156),0,I161/I156)</f>
        <v>0</v>
      </c>
      <c r="J162" s="1111"/>
      <c r="K162" s="1114"/>
      <c r="L162" s="1125">
        <f>IF(ISERROR(L161/L156),0,L161/L156)</f>
        <v>0</v>
      </c>
      <c r="M162" s="1111"/>
      <c r="N162" s="1114"/>
      <c r="O162" s="1125">
        <f>IF(ISERROR(O161/O156),0,O161/O156)</f>
        <v>0</v>
      </c>
      <c r="P162" s="1118"/>
      <c r="Q162" s="1119"/>
      <c r="R162" s="1118"/>
      <c r="S162" s="1119"/>
    </row>
    <row r="163" spans="3:19" s="1064" customFormat="1" ht="20.100000000000001" customHeight="1" x14ac:dyDescent="0.25">
      <c r="C163" s="1117" t="s">
        <v>807</v>
      </c>
      <c r="D163" s="1112"/>
      <c r="E163" s="1114"/>
      <c r="F163" s="1108">
        <f>F161-F159-eh_1</f>
        <v>0</v>
      </c>
      <c r="G163" s="1111"/>
      <c r="H163" s="1114"/>
      <c r="I163" s="1108">
        <f>+I161-I159-eh_2</f>
        <v>0</v>
      </c>
      <c r="J163" s="1111"/>
      <c r="K163" s="1114"/>
      <c r="L163" s="1108">
        <f>+L161-L159-eh_3</f>
        <v>0</v>
      </c>
      <c r="M163" s="1111"/>
      <c r="N163" s="1114"/>
      <c r="O163" s="1108">
        <f>+O161-O159-eh_4</f>
        <v>0</v>
      </c>
      <c r="P163" s="1118"/>
      <c r="Q163" s="1119"/>
      <c r="R163" s="1118"/>
      <c r="S163" s="1119"/>
    </row>
    <row r="164" spans="3:19" s="1066" customFormat="1" ht="12" x14ac:dyDescent="0.25">
      <c r="C164" s="1117" t="s">
        <v>808</v>
      </c>
      <c r="D164" s="1126"/>
      <c r="E164" s="1114"/>
      <c r="F164" s="1127">
        <f>emp_élargi_1+'Analyse CR'!E121-creditbail_1</f>
        <v>0</v>
      </c>
      <c r="G164" s="1111"/>
      <c r="H164" s="1114"/>
      <c r="I164" s="1128">
        <f>emp_élargi_2-I160+'Analyse CR'!H121</f>
        <v>0</v>
      </c>
      <c r="J164" s="1111"/>
      <c r="K164" s="1114"/>
      <c r="L164" s="1128">
        <f>emp_élargi_3-L160+'Analyse CR'!K121</f>
        <v>0</v>
      </c>
      <c r="M164" s="1111"/>
      <c r="N164" s="1114"/>
      <c r="O164" s="1127"/>
      <c r="P164" s="1118"/>
      <c r="Q164" s="1129"/>
      <c r="R164" s="1130"/>
      <c r="S164" s="1129"/>
    </row>
    <row r="165" spans="3:19" s="503" customFormat="1" x14ac:dyDescent="0.3">
      <c r="C165" s="1131"/>
      <c r="D165" s="1132"/>
      <c r="E165" s="983"/>
      <c r="F165" s="1133"/>
      <c r="G165" s="1134"/>
      <c r="H165" s="983"/>
      <c r="I165" s="541"/>
      <c r="J165" s="1134"/>
      <c r="K165" s="983"/>
      <c r="L165" s="541"/>
      <c r="M165" s="1134"/>
      <c r="N165" s="983"/>
      <c r="O165" s="541"/>
      <c r="P165" s="1134"/>
      <c r="Q165" s="541"/>
      <c r="R165" s="1135"/>
      <c r="S165" s="541"/>
    </row>
    <row r="166" spans="3:19" s="503" customFormat="1" x14ac:dyDescent="0.3">
      <c r="C166" s="1054"/>
      <c r="D166" s="1067"/>
      <c r="E166" s="1061"/>
      <c r="G166" s="359"/>
      <c r="H166" s="1061"/>
      <c r="J166" s="359"/>
      <c r="K166" s="1061"/>
      <c r="M166" s="359"/>
      <c r="N166" s="1061"/>
      <c r="P166" s="359"/>
      <c r="R166" s="1068"/>
    </row>
    <row r="167" spans="3:19" s="503" customFormat="1" x14ac:dyDescent="0.3">
      <c r="C167" s="1054"/>
      <c r="D167" s="1067"/>
      <c r="E167" s="1061"/>
      <c r="G167" s="359"/>
      <c r="H167" s="1061"/>
      <c r="J167" s="359"/>
      <c r="K167" s="1061"/>
      <c r="M167" s="359"/>
      <c r="N167" s="1061"/>
      <c r="P167" s="359"/>
      <c r="R167" s="1068"/>
    </row>
    <row r="168" spans="3:19" s="503" customFormat="1" x14ac:dyDescent="0.3">
      <c r="C168" s="1054"/>
      <c r="D168" s="1067"/>
      <c r="E168" s="1061"/>
      <c r="G168" s="359"/>
      <c r="H168" s="1061"/>
      <c r="J168" s="359"/>
      <c r="K168" s="1061"/>
      <c r="M168" s="359"/>
      <c r="N168" s="1061"/>
      <c r="P168" s="359"/>
      <c r="R168" s="1068"/>
    </row>
    <row r="169" spans="3:19" s="503" customFormat="1" x14ac:dyDescent="0.3">
      <c r="C169" s="1054"/>
      <c r="D169" s="1067"/>
      <c r="E169" s="1061"/>
      <c r="G169" s="359"/>
      <c r="H169" s="1061"/>
      <c r="J169" s="359"/>
      <c r="K169" s="1061"/>
      <c r="M169" s="359"/>
      <c r="N169" s="1061"/>
      <c r="P169" s="359"/>
      <c r="R169" s="1068"/>
    </row>
    <row r="170" spans="3:19" s="503" customFormat="1" x14ac:dyDescent="0.3">
      <c r="C170" s="1054"/>
      <c r="D170" s="1067"/>
      <c r="E170" s="1061"/>
      <c r="G170" s="359"/>
      <c r="H170" s="1061"/>
      <c r="J170" s="359"/>
      <c r="K170" s="1061"/>
      <c r="M170" s="359"/>
      <c r="N170" s="1061"/>
      <c r="P170" s="359"/>
      <c r="R170" s="1068"/>
    </row>
    <row r="171" spans="3:19" s="503" customFormat="1" x14ac:dyDescent="0.3">
      <c r="C171" s="1054"/>
      <c r="D171" s="1067"/>
      <c r="E171" s="1061"/>
      <c r="G171" s="359"/>
      <c r="H171" s="1061"/>
      <c r="J171" s="359"/>
      <c r="K171" s="1061"/>
      <c r="M171" s="359"/>
      <c r="N171" s="1061"/>
      <c r="P171" s="359"/>
      <c r="R171" s="1068"/>
    </row>
    <row r="172" spans="3:19" s="503" customFormat="1" x14ac:dyDescent="0.3">
      <c r="C172" s="1054"/>
      <c r="D172" s="1067"/>
      <c r="E172" s="1061"/>
      <c r="G172" s="359"/>
      <c r="H172" s="1061"/>
      <c r="J172" s="359"/>
      <c r="K172" s="1061"/>
      <c r="M172" s="359"/>
      <c r="N172" s="1061"/>
      <c r="P172" s="359"/>
      <c r="R172" s="1068"/>
    </row>
    <row r="173" spans="3:19" s="503" customFormat="1" x14ac:dyDescent="0.3">
      <c r="C173" s="1054"/>
      <c r="D173" s="1067"/>
      <c r="E173" s="1061"/>
      <c r="G173" s="359"/>
      <c r="H173" s="1061"/>
      <c r="J173" s="359"/>
      <c r="K173" s="1061"/>
      <c r="M173" s="359"/>
      <c r="N173" s="1061"/>
      <c r="P173" s="359"/>
      <c r="R173" s="1068"/>
    </row>
    <row r="174" spans="3:19" s="503" customFormat="1" x14ac:dyDescent="0.3">
      <c r="C174" s="1054"/>
      <c r="D174" s="1067"/>
      <c r="E174" s="1061"/>
      <c r="G174" s="359"/>
      <c r="H174" s="1061"/>
      <c r="J174" s="359"/>
      <c r="K174" s="1061"/>
      <c r="M174" s="359"/>
      <c r="N174" s="1061"/>
      <c r="P174" s="359"/>
      <c r="R174" s="1068"/>
    </row>
    <row r="175" spans="3:19" s="503" customFormat="1" x14ac:dyDescent="0.3">
      <c r="C175" s="1054"/>
      <c r="D175" s="1067"/>
      <c r="E175" s="1061"/>
      <c r="G175" s="359"/>
      <c r="H175" s="1061"/>
      <c r="J175" s="359"/>
      <c r="K175" s="1061"/>
      <c r="M175" s="359"/>
      <c r="N175" s="1061"/>
      <c r="P175" s="359"/>
      <c r="R175" s="1068"/>
    </row>
    <row r="176" spans="3:19" s="503" customFormat="1" x14ac:dyDescent="0.3">
      <c r="C176" s="1054"/>
      <c r="D176" s="1067"/>
      <c r="E176" s="1061"/>
      <c r="G176" s="359"/>
      <c r="H176" s="1061"/>
      <c r="J176" s="359"/>
      <c r="K176" s="1061"/>
      <c r="M176" s="359"/>
      <c r="N176" s="1061"/>
      <c r="P176" s="359"/>
      <c r="R176" s="1068"/>
    </row>
    <row r="177" spans="3:18" s="503" customFormat="1" x14ac:dyDescent="0.3">
      <c r="C177" s="1054"/>
      <c r="D177" s="1067"/>
      <c r="E177" s="1061"/>
      <c r="G177" s="359"/>
      <c r="H177" s="1061"/>
      <c r="J177" s="359"/>
      <c r="K177" s="1061"/>
      <c r="M177" s="359"/>
      <c r="N177" s="1061"/>
      <c r="P177" s="359"/>
      <c r="R177" s="1068"/>
    </row>
    <row r="178" spans="3:18" s="503" customFormat="1" x14ac:dyDescent="0.3">
      <c r="C178" s="1054"/>
      <c r="D178" s="1067"/>
      <c r="E178" s="1061"/>
      <c r="G178" s="359"/>
      <c r="H178" s="1061"/>
      <c r="J178" s="359"/>
      <c r="K178" s="1061"/>
      <c r="M178" s="359"/>
      <c r="N178" s="1061"/>
      <c r="P178" s="359"/>
      <c r="R178" s="1068"/>
    </row>
    <row r="179" spans="3:18" s="503" customFormat="1" x14ac:dyDescent="0.3">
      <c r="C179" s="1054"/>
      <c r="D179" s="1067"/>
      <c r="E179" s="1061"/>
      <c r="G179" s="359"/>
      <c r="H179" s="1061"/>
      <c r="J179" s="359"/>
      <c r="K179" s="1061"/>
      <c r="M179" s="359"/>
      <c r="N179" s="1061"/>
      <c r="P179" s="359"/>
      <c r="R179" s="1068"/>
    </row>
    <row r="180" spans="3:18" s="503" customFormat="1" x14ac:dyDescent="0.3">
      <c r="C180" s="1054"/>
      <c r="D180" s="1067"/>
      <c r="E180" s="1061"/>
      <c r="G180" s="359"/>
      <c r="H180" s="1061"/>
      <c r="J180" s="359"/>
      <c r="K180" s="1061"/>
      <c r="M180" s="359"/>
      <c r="N180" s="1061"/>
      <c r="P180" s="359"/>
      <c r="R180" s="1068"/>
    </row>
    <row r="181" spans="3:18" s="503" customFormat="1" x14ac:dyDescent="0.3">
      <c r="C181" s="1054"/>
      <c r="D181" s="1067"/>
      <c r="E181" s="1061"/>
      <c r="G181" s="359"/>
      <c r="H181" s="1061"/>
      <c r="J181" s="359"/>
      <c r="K181" s="1061"/>
      <c r="M181" s="359"/>
      <c r="N181" s="1061"/>
      <c r="P181" s="359"/>
      <c r="R181" s="1068"/>
    </row>
    <row r="182" spans="3:18" s="503" customFormat="1" x14ac:dyDescent="0.3">
      <c r="C182" s="1054"/>
      <c r="D182" s="1067"/>
      <c r="E182" s="1061"/>
      <c r="G182" s="359"/>
      <c r="H182" s="1061"/>
      <c r="J182" s="359"/>
      <c r="K182" s="1061"/>
      <c r="M182" s="359"/>
      <c r="N182" s="1061"/>
      <c r="P182" s="359"/>
      <c r="R182" s="1068"/>
    </row>
    <row r="183" spans="3:18" s="503" customFormat="1" x14ac:dyDescent="0.3">
      <c r="C183" s="1054"/>
      <c r="D183" s="1067"/>
      <c r="E183" s="1061"/>
      <c r="G183" s="359"/>
      <c r="H183" s="1061"/>
      <c r="J183" s="359"/>
      <c r="K183" s="1061"/>
      <c r="M183" s="359"/>
      <c r="N183" s="1061"/>
      <c r="P183" s="359"/>
      <c r="R183" s="1068"/>
    </row>
    <row r="184" spans="3:18" s="635" customFormat="1" ht="13.2" x14ac:dyDescent="0.25">
      <c r="C184" s="646"/>
      <c r="D184" s="650"/>
      <c r="E184" s="636"/>
      <c r="G184" s="637"/>
      <c r="H184" s="636"/>
      <c r="J184" s="637"/>
      <c r="K184" s="636"/>
      <c r="M184" s="637"/>
      <c r="N184" s="636"/>
      <c r="P184" s="637"/>
      <c r="R184" s="638"/>
    </row>
    <row r="185" spans="3:18" s="635" customFormat="1" ht="13.2" x14ac:dyDescent="0.25">
      <c r="C185" s="646"/>
      <c r="D185" s="650"/>
      <c r="E185" s="636"/>
      <c r="G185" s="637"/>
      <c r="H185" s="636"/>
      <c r="J185" s="637"/>
      <c r="K185" s="636"/>
      <c r="M185" s="637"/>
      <c r="N185" s="636"/>
      <c r="P185" s="637"/>
      <c r="R185" s="638"/>
    </row>
  </sheetData>
  <sheetProtection algorithmName="SHA-512" hashValue="GETcju+9tr6LOzBKO7OF9N1gG8BAC3GcujMAwRQiyC1e31T3ttYfTfHlX2zz07LoGhDh7uBNshVzWqpOe67miA==" saltValue="KN38hBxkeHHvxa6B9cE5Jw==" spinCount="100000" sheet="1" objects="1" scenarios="1" formatCells="0" formatColumns="0" formatRows="0" insertColumns="0" insertRows="0" insertHyperlinks="0" deleteColumns="0" deleteRows="0" sort="0" autoFilter="0" pivotTables="0"/>
  <mergeCells count="60">
    <mergeCell ref="B75:D75"/>
    <mergeCell ref="B79:D79"/>
    <mergeCell ref="B90:D90"/>
    <mergeCell ref="B92:D92"/>
    <mergeCell ref="B81:D81"/>
    <mergeCell ref="B103:D103"/>
    <mergeCell ref="B102:D102"/>
    <mergeCell ref="B93:D93"/>
    <mergeCell ref="B101:D101"/>
    <mergeCell ref="B84:D84"/>
    <mergeCell ref="B89:D89"/>
    <mergeCell ref="B85:D85"/>
    <mergeCell ref="B2:C2"/>
    <mergeCell ref="O4:P4"/>
    <mergeCell ref="O5:P5"/>
    <mergeCell ref="B3:P3"/>
    <mergeCell ref="I4:J4"/>
    <mergeCell ref="L4:M4"/>
    <mergeCell ref="C4:D4"/>
    <mergeCell ref="B4:B6"/>
    <mergeCell ref="C5:D5"/>
    <mergeCell ref="C6:D6"/>
    <mergeCell ref="D2:P2"/>
    <mergeCell ref="B19:D19"/>
    <mergeCell ref="F4:G4"/>
    <mergeCell ref="B53:D54"/>
    <mergeCell ref="B57:D58"/>
    <mergeCell ref="B63:D64"/>
    <mergeCell ref="B27:D27"/>
    <mergeCell ref="B31:D31"/>
    <mergeCell ref="B35:D35"/>
    <mergeCell ref="G122:G124"/>
    <mergeCell ref="F5:G5"/>
    <mergeCell ref="C108:D108"/>
    <mergeCell ref="C147:D147"/>
    <mergeCell ref="B120:D120"/>
    <mergeCell ref="B28:D28"/>
    <mergeCell ref="B36:D36"/>
    <mergeCell ref="C145:D145"/>
    <mergeCell ref="C74:D74"/>
    <mergeCell ref="B119:D119"/>
    <mergeCell ref="B106:D106"/>
    <mergeCell ref="B115:D115"/>
    <mergeCell ref="C96:D96"/>
    <mergeCell ref="C99:D99"/>
    <mergeCell ref="B97:D97"/>
    <mergeCell ref="B67:D68"/>
    <mergeCell ref="C150:D150"/>
    <mergeCell ref="C139:D139"/>
    <mergeCell ref="C140:D140"/>
    <mergeCell ref="C141:D141"/>
    <mergeCell ref="C142:D142"/>
    <mergeCell ref="C144:D144"/>
    <mergeCell ref="C148:D148"/>
    <mergeCell ref="C146:D146"/>
    <mergeCell ref="J122:J124"/>
    <mergeCell ref="M122:M124"/>
    <mergeCell ref="O122:P132"/>
    <mergeCell ref="L5:M5"/>
    <mergeCell ref="I5:J5"/>
  </mergeCells>
  <phoneticPr fontId="13" type="noConversion"/>
  <conditionalFormatting sqref="J119 G119:G120 J120:K120 M119:N120">
    <cfRule type="cellIs" dxfId="427" priority="56" stopIfTrue="1" operator="lessThan">
      <formula>0</formula>
    </cfRule>
  </conditionalFormatting>
  <conditionalFormatting sqref="O9">
    <cfRule type="cellIs" dxfId="426" priority="52" stopIfTrue="1" operator="lessThan">
      <formula>0</formula>
    </cfRule>
    <cfRule type="expression" dxfId="425" priority="57" stopIfTrue="1">
      <formula>$O$9&lt;$O$8</formula>
    </cfRule>
  </conditionalFormatting>
  <conditionalFormatting sqref="L9">
    <cfRule type="cellIs" dxfId="424" priority="53" stopIfTrue="1" operator="lessThan">
      <formula>0</formula>
    </cfRule>
    <cfRule type="expression" dxfId="423" priority="58" stopIfTrue="1">
      <formula>$L$9&lt;$L$8</formula>
    </cfRule>
  </conditionalFormatting>
  <conditionalFormatting sqref="F9">
    <cfRule type="cellIs" dxfId="422" priority="55" stopIfTrue="1" operator="lessThan">
      <formula>0</formula>
    </cfRule>
    <cfRule type="expression" dxfId="421" priority="60" stopIfTrue="1">
      <formula>F9&lt;F8</formula>
    </cfRule>
  </conditionalFormatting>
  <conditionalFormatting sqref="F78 F66 F62:G62 F49 L34 F40 F43 F46 I34 O34 O5:O7 L5:L7 I5:I7 F5:F7 F34 F55:G56 F52">
    <cfRule type="cellIs" dxfId="420" priority="61" stopIfTrue="1" operator="equal">
      <formula>0</formula>
    </cfRule>
  </conditionalFormatting>
  <conditionalFormatting sqref="B2">
    <cfRule type="cellIs" dxfId="419" priority="62" stopIfTrue="1" operator="equal">
      <formula>0</formula>
    </cfRule>
  </conditionalFormatting>
  <conditionalFormatting sqref="Q119:Q120">
    <cfRule type="cellIs" dxfId="418" priority="63" stopIfTrue="1" operator="lessThan">
      <formula>0</formula>
    </cfRule>
  </conditionalFormatting>
  <conditionalFormatting sqref="L119">
    <cfRule type="cellIs" dxfId="417" priority="74" stopIfTrue="1" operator="lessThan">
      <formula>0</formula>
    </cfRule>
  </conditionalFormatting>
  <conditionalFormatting sqref="B117">
    <cfRule type="cellIs" dxfId="416" priority="77" stopIfTrue="1" operator="lessThan">
      <formula>0</formula>
    </cfRule>
  </conditionalFormatting>
  <conditionalFormatting sqref="F134 I134 L134">
    <cfRule type="cellIs" dxfId="415" priority="38" stopIfTrue="1" operator="equal">
      <formula>0</formula>
    </cfRule>
  </conditionalFormatting>
  <conditionalFormatting sqref="G125:G128 F126 F128">
    <cfRule type="cellIs" dxfId="414" priority="37" stopIfTrue="1" operator="equal">
      <formula>0</formula>
    </cfRule>
  </conditionalFormatting>
  <conditionalFormatting sqref="I9">
    <cfRule type="cellIs" dxfId="413" priority="33" stopIfTrue="1" operator="lessThan">
      <formula>0</formula>
    </cfRule>
    <cfRule type="expression" dxfId="412" priority="34" stopIfTrue="1">
      <formula>I9&lt;I8</formula>
    </cfRule>
  </conditionalFormatting>
  <conditionalFormatting sqref="B82">
    <cfRule type="cellIs" dxfId="411" priority="28" stopIfTrue="1" operator="equal">
      <formula>0</formula>
    </cfRule>
  </conditionalFormatting>
  <conditionalFormatting sqref="B37">
    <cfRule type="cellIs" dxfId="410" priority="29" stopIfTrue="1" operator="equal">
      <formula>0</formula>
    </cfRule>
  </conditionalFormatting>
  <conditionalFormatting sqref="B36">
    <cfRule type="cellIs" dxfId="409" priority="27" stopIfTrue="1" operator="equal">
      <formula>0</formula>
    </cfRule>
  </conditionalFormatting>
  <conditionalFormatting sqref="F36">
    <cfRule type="cellIs" dxfId="408" priority="26" stopIfTrue="1" operator="equal">
      <formula>0</formula>
    </cfRule>
  </conditionalFormatting>
  <conditionalFormatting sqref="I36">
    <cfRule type="cellIs" dxfId="407" priority="25" stopIfTrue="1" operator="equal">
      <formula>0</formula>
    </cfRule>
  </conditionalFormatting>
  <conditionalFormatting sqref="L36">
    <cfRule type="cellIs" dxfId="406" priority="24" stopIfTrue="1" operator="equal">
      <formula>0</formula>
    </cfRule>
  </conditionalFormatting>
  <conditionalFormatting sqref="O36">
    <cfRule type="cellIs" dxfId="405" priority="23" stopIfTrue="1" operator="equal">
      <formula>0</formula>
    </cfRule>
  </conditionalFormatting>
  <conditionalFormatting sqref="B94">
    <cfRule type="cellIs" dxfId="404" priority="22" stopIfTrue="1" operator="equal">
      <formula>0</formula>
    </cfRule>
  </conditionalFormatting>
  <conditionalFormatting sqref="C126 C128">
    <cfRule type="cellIs" dxfId="403" priority="21" operator="greaterThan">
      <formula>0</formula>
    </cfRule>
  </conditionalFormatting>
  <conditionalFormatting sqref="F123">
    <cfRule type="cellIs" dxfId="402" priority="18" stopIfTrue="1" operator="equal">
      <formula>0</formula>
    </cfRule>
  </conditionalFormatting>
  <conditionalFormatting sqref="F119 I119">
    <cfRule type="cellIs" dxfId="401" priority="17" operator="lessThan">
      <formula>0</formula>
    </cfRule>
  </conditionalFormatting>
  <conditionalFormatting sqref="F120 I120">
    <cfRule type="cellIs" dxfId="400" priority="16" operator="lessThan">
      <formula>0</formula>
    </cfRule>
  </conditionalFormatting>
  <conditionalFormatting sqref="F106">
    <cfRule type="cellIs" dxfId="399" priority="15" operator="lessThan">
      <formula>0</formula>
    </cfRule>
  </conditionalFormatting>
  <conditionalFormatting sqref="F104:F105">
    <cfRule type="cellIs" dxfId="398" priority="12" operator="equal">
      <formula>0</formula>
    </cfRule>
  </conditionalFormatting>
  <conditionalFormatting sqref="I78 I66 I62:J62 I49 I40 I43 I46 I55:J56 I52">
    <cfRule type="cellIs" dxfId="397" priority="11" stopIfTrue="1" operator="equal">
      <formula>0</formula>
    </cfRule>
  </conditionalFormatting>
  <conditionalFormatting sqref="L78 L66 L62:M62 L49 L40 L43 L46 L55:M56 L52">
    <cfRule type="cellIs" dxfId="396" priority="10" stopIfTrue="1" operator="equal">
      <formula>0</formula>
    </cfRule>
  </conditionalFormatting>
  <conditionalFormatting sqref="O78 O66 O62:P62 O49 O40 O43 O46 O55:P56 O52">
    <cfRule type="cellIs" dxfId="395" priority="9" stopIfTrue="1" operator="equal">
      <formula>0</formula>
    </cfRule>
  </conditionalFormatting>
  <conditionalFormatting sqref="I106">
    <cfRule type="cellIs" dxfId="394" priority="8" operator="lessThan">
      <formula>0</formula>
    </cfRule>
  </conditionalFormatting>
  <conditionalFormatting sqref="I104:I105">
    <cfRule type="cellIs" dxfId="393" priority="7" operator="equal">
      <formula>0</formula>
    </cfRule>
  </conditionalFormatting>
  <conditionalFormatting sqref="L106">
    <cfRule type="cellIs" dxfId="392" priority="6" operator="lessThan">
      <formula>0</formula>
    </cfRule>
  </conditionalFormatting>
  <conditionalFormatting sqref="L104:L105">
    <cfRule type="cellIs" dxfId="391" priority="5" operator="equal">
      <formula>0</formula>
    </cfRule>
  </conditionalFormatting>
  <conditionalFormatting sqref="O106">
    <cfRule type="cellIs" dxfId="390" priority="4" operator="lessThan">
      <formula>0</formula>
    </cfRule>
  </conditionalFormatting>
  <conditionalFormatting sqref="O104:O105">
    <cfRule type="cellIs" dxfId="389" priority="3" operator="equal">
      <formula>0</formula>
    </cfRule>
  </conditionalFormatting>
  <conditionalFormatting sqref="M125:M128 L126 L128 J125:J128 I126 I128">
    <cfRule type="cellIs" dxfId="388" priority="2" stopIfTrue="1" operator="equal">
      <formula>0</formula>
    </cfRule>
  </conditionalFormatting>
  <conditionalFormatting sqref="L123 I123">
    <cfRule type="cellIs" dxfId="387" priority="1" stopIfTrue="1" operator="equal">
      <formula>0</formula>
    </cfRule>
  </conditionalFormatting>
  <dataValidations xWindow="514" yWindow="630" count="5">
    <dataValidation allowBlank="1" showInputMessage="1" showErrorMessage="1" prompt="Vous devez indiquer le coût annuel moyen par intérimaire._x000a_Reprenez la même unité monétaire que celle retenue dans le compte de résultat._x000a__x000a_" sqref="L131 F131 I131" xr:uid="{00000000-0002-0000-0B00-000000000000}"/>
    <dataValidation allowBlank="1" showInputMessage="1" showErrorMessage="1" prompt="Si vous n'avez pas cette information, précisez le taux de tva en case B93" sqref="I125 F125 L125" xr:uid="{00000000-0002-0000-0B00-000001000000}"/>
    <dataValidation allowBlank="1" showInputMessage="1" showErrorMessage="1" prompt="Si vous n'avez pas cette information, précisez le taux de tva en case B95_x000a_" sqref="L127 F127 I127" xr:uid="{00000000-0002-0000-0B00-000002000000}"/>
    <dataValidation allowBlank="1" showInputMessage="1" showErrorMessage="1" prompt="Rapprocher la ligne 2051-EH avec la ligne 2057-VG" sqref="O26 L26 I26 F26" xr:uid="{00000000-0002-0000-0B00-000003000000}"/>
    <dataValidation allowBlank="1" showInputMessage="1" showErrorMessage="1" prompt="renseigner l&quot;année du 1°exercice du compte de résultat prévisionnel" sqref="F4:G4" xr:uid="{00000000-0002-0000-0B00-000004000000}"/>
  </dataValidations>
  <printOptions horizontalCentered="1"/>
  <pageMargins left="0" right="0" top="0" bottom="0" header="0" footer="0"/>
  <pageSetup paperSize="9" scale="72" fitToHeight="0" orientation="portrait" r:id="rId1"/>
  <headerFooter alignWithMargins="0"/>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tabColor indexed="33"/>
    <pageSetUpPr fitToPage="1"/>
  </sheetPr>
  <dimension ref="B1:M58"/>
  <sheetViews>
    <sheetView showGridLines="0" showRowColHeaders="0" zoomScaleNormal="100" zoomScalePageLayoutView="130" workbookViewId="0">
      <selection activeCell="G4" sqref="G4"/>
    </sheetView>
  </sheetViews>
  <sheetFormatPr baseColWidth="10" defaultColWidth="10.77734375" defaultRowHeight="13.8" x14ac:dyDescent="0.3"/>
  <cols>
    <col min="1" max="1" width="1.77734375" style="1" customWidth="1"/>
    <col min="2" max="2" width="28.77734375" style="1" customWidth="1"/>
    <col min="3" max="3" width="14.77734375" style="1" customWidth="1"/>
    <col min="4" max="4" width="12.109375" style="1" customWidth="1"/>
    <col min="5" max="5" width="1" style="1" customWidth="1"/>
    <col min="6" max="8" width="14.77734375" style="1" customWidth="1"/>
    <col min="9" max="9" width="1" style="1" customWidth="1"/>
    <col min="10" max="12" width="14.77734375" style="255" customWidth="1"/>
    <col min="13" max="16384" width="10.77734375" style="1"/>
  </cols>
  <sheetData>
    <row r="1" spans="2:13" ht="6" customHeight="1" x14ac:dyDescent="0.3"/>
    <row r="2" spans="2:13" s="137" customFormat="1" ht="21.9" customHeight="1" x14ac:dyDescent="0.35">
      <c r="B2" s="4659" t="s">
        <v>1289</v>
      </c>
      <c r="C2" s="4660"/>
      <c r="D2" s="4660"/>
      <c r="E2" s="4660"/>
      <c r="F2" s="4660"/>
      <c r="G2" s="4660"/>
      <c r="H2" s="4660"/>
      <c r="I2" s="4660"/>
      <c r="J2" s="4660"/>
      <c r="K2" s="4660"/>
      <c r="L2" s="4661"/>
    </row>
    <row r="4" spans="2:13" ht="21.9" customHeight="1" x14ac:dyDescent="0.3">
      <c r="B4" s="2823" t="s">
        <v>1173</v>
      </c>
      <c r="C4" s="4664" t="str">
        <f>IF(ISBLANK(nom_holding)," ",nom_holding)</f>
        <v xml:space="preserve"> </v>
      </c>
      <c r="D4" s="4665"/>
      <c r="E4" s="4665"/>
      <c r="F4" s="4666"/>
      <c r="G4" s="681" t="s">
        <v>1038</v>
      </c>
      <c r="H4" s="2719" t="str">
        <f>IF(ISBLANK(forme_holding)," ",forme_holding)</f>
        <v xml:space="preserve"> </v>
      </c>
      <c r="J4" s="4669" t="str">
        <f>IF(hold_berri="oui","société holding en création",IF(hold_berri="non","société holding créée le"," "))</f>
        <v xml:space="preserve"> </v>
      </c>
      <c r="K4" s="4669"/>
      <c r="L4" s="2909" t="str">
        <f>IF(OR(hold_berri="Oui",ISBLANK(date_création_holding))," ",date_création_holding)</f>
        <v xml:space="preserve"> </v>
      </c>
    </row>
    <row r="5" spans="2:13" ht="6" customHeight="1" x14ac:dyDescent="0.3">
      <c r="E5" s="256"/>
      <c r="F5" s="256"/>
      <c r="G5" s="256"/>
      <c r="H5" s="256"/>
      <c r="I5" s="256"/>
      <c r="J5" s="257"/>
      <c r="L5" s="262"/>
    </row>
    <row r="6" spans="2:13" ht="21.9" customHeight="1" x14ac:dyDescent="0.3">
      <c r="B6" s="2830"/>
      <c r="C6" s="4667" t="s">
        <v>394</v>
      </c>
      <c r="D6" s="4668"/>
      <c r="E6" s="4668"/>
      <c r="F6" s="4668"/>
      <c r="G6" s="4668"/>
      <c r="H6" s="4668"/>
      <c r="I6" s="4670">
        <f>IF(ISERROR(titres_cible)," ",titres_cible)</f>
        <v>0</v>
      </c>
      <c r="J6" s="4671"/>
      <c r="K6" s="2824"/>
      <c r="L6" s="2825"/>
    </row>
    <row r="7" spans="2:13" s="250" customFormat="1" ht="18" customHeight="1" x14ac:dyDescent="0.3">
      <c r="B7" s="2831"/>
      <c r="C7" s="4628" t="s">
        <v>594</v>
      </c>
      <c r="D7" s="4629"/>
      <c r="E7" s="4629"/>
      <c r="F7" s="4629"/>
      <c r="G7" s="4674" t="s">
        <v>595</v>
      </c>
      <c r="H7" s="4675"/>
      <c r="I7" s="4672">
        <f>IF(ISERROR(titres_acquis)," ",titres_acquis)</f>
        <v>0</v>
      </c>
      <c r="J7" s="4673"/>
      <c r="K7" s="2826"/>
      <c r="L7" s="2827"/>
    </row>
    <row r="8" spans="2:13" s="342" customFormat="1" ht="18" customHeight="1" x14ac:dyDescent="0.3">
      <c r="B8" s="2831"/>
      <c r="C8" s="4630"/>
      <c r="D8" s="4630"/>
      <c r="E8" s="4630"/>
      <c r="F8" s="4630"/>
      <c r="G8" s="4676" t="s">
        <v>596</v>
      </c>
      <c r="H8" s="4677"/>
      <c r="I8" s="4678">
        <f>IF(ISERROR(IF(ISBLANK(I7),0,I7/I6)),0,IF(ISBLANK(I7),0,I7/I6))</f>
        <v>0</v>
      </c>
      <c r="J8" s="4679"/>
      <c r="K8" s="2828"/>
      <c r="L8" s="2829"/>
    </row>
    <row r="9" spans="2:13" s="250" customFormat="1" ht="21.9" customHeight="1" x14ac:dyDescent="0.3">
      <c r="B9" s="2832"/>
      <c r="C9" s="4680" t="s">
        <v>437</v>
      </c>
      <c r="D9" s="4681"/>
      <c r="E9" s="4681"/>
      <c r="F9" s="4681"/>
      <c r="G9" s="4681"/>
      <c r="H9" s="1136"/>
      <c r="I9" s="4682" t="str">
        <f>IF(AND(H9="oui",ISBLANK(K9)),"Lesquels ?",IF(OR(K9="Dividende prioritaire",K9="Div. Prioritaire et cumulatif"),"Avantage :"," "))</f>
        <v xml:space="preserve"> </v>
      </c>
      <c r="J9" s="4683"/>
      <c r="K9" s="4662"/>
      <c r="L9" s="4663"/>
      <c r="M9" s="849">
        <f>IF(OR(ISBLANK(H9),H9="Non"),1,0)</f>
        <v>1</v>
      </c>
    </row>
    <row r="10" spans="2:13" ht="21.9" customHeight="1" x14ac:dyDescent="0.3">
      <c r="B10" s="2833"/>
      <c r="C10" s="4694" t="s">
        <v>1286</v>
      </c>
      <c r="D10" s="4695"/>
      <c r="E10" s="4695"/>
      <c r="F10" s="4695"/>
      <c r="G10" s="4695"/>
      <c r="H10" s="4695"/>
      <c r="I10" s="4695"/>
      <c r="J10" s="4695"/>
      <c r="K10" s="4695"/>
      <c r="L10" s="2911"/>
    </row>
    <row r="11" spans="2:13" ht="9" customHeight="1" x14ac:dyDescent="0.3">
      <c r="E11" s="2"/>
      <c r="F11" s="2"/>
      <c r="G11" s="2"/>
      <c r="H11" s="2"/>
      <c r="I11" s="2"/>
    </row>
    <row r="12" spans="2:13" ht="20.100000000000001" customHeight="1" x14ac:dyDescent="0.3">
      <c r="B12" s="4620" t="s">
        <v>1257</v>
      </c>
      <c r="C12" s="4621"/>
      <c r="D12" s="4622"/>
      <c r="E12" s="2817"/>
      <c r="F12" s="4651" t="s">
        <v>766</v>
      </c>
      <c r="G12" s="4652"/>
      <c r="H12" s="4653"/>
      <c r="I12" s="2"/>
      <c r="J12" s="4684" t="s">
        <v>767</v>
      </c>
      <c r="K12" s="4685"/>
      <c r="L12" s="4686"/>
    </row>
    <row r="13" spans="2:13" ht="20.100000000000001" customHeight="1" x14ac:dyDescent="0.3">
      <c r="B13" s="4623"/>
      <c r="C13" s="3399"/>
      <c r="D13" s="4624"/>
      <c r="E13" s="219"/>
      <c r="F13" s="2815" t="s">
        <v>923</v>
      </c>
      <c r="G13" s="951" t="s">
        <v>922</v>
      </c>
      <c r="H13" s="2328" t="s">
        <v>921</v>
      </c>
      <c r="I13" s="219"/>
      <c r="J13" s="2331" t="s">
        <v>851</v>
      </c>
      <c r="K13" s="997" t="s">
        <v>852</v>
      </c>
      <c r="L13" s="2332" t="s">
        <v>853</v>
      </c>
    </row>
    <row r="14" spans="2:13" ht="20.100000000000001" customHeight="1" x14ac:dyDescent="0.3">
      <c r="B14" s="4625"/>
      <c r="C14" s="4626"/>
      <c r="D14" s="4627"/>
      <c r="E14" s="2"/>
      <c r="F14" s="2816" t="s">
        <v>176</v>
      </c>
      <c r="G14" s="2329" t="s">
        <v>176</v>
      </c>
      <c r="H14" s="2330" t="s">
        <v>176</v>
      </c>
      <c r="I14" s="2"/>
      <c r="J14" s="2333" t="s">
        <v>176</v>
      </c>
      <c r="K14" s="2334" t="s">
        <v>176</v>
      </c>
      <c r="L14" s="2335" t="s">
        <v>176</v>
      </c>
    </row>
    <row r="15" spans="2:13" ht="3" customHeight="1" x14ac:dyDescent="0.3">
      <c r="E15" s="2"/>
      <c r="F15" s="255"/>
      <c r="G15" s="255"/>
      <c r="H15" s="255"/>
      <c r="I15" s="2"/>
    </row>
    <row r="16" spans="2:13" ht="20.100000000000001" customHeight="1" x14ac:dyDescent="0.3">
      <c r="B16" s="4687" t="s">
        <v>400</v>
      </c>
      <c r="C16" s="4688"/>
      <c r="D16" s="4689"/>
      <c r="E16" s="234"/>
      <c r="F16" s="4631"/>
      <c r="G16" s="4632"/>
      <c r="H16" s="4633"/>
      <c r="I16" s="234"/>
      <c r="J16" s="2351">
        <f>IF(ISERROR('Cpte de résultat prévisionnel'!H35),0,'Cpte de résultat prévisionnel'!H35)</f>
        <v>0</v>
      </c>
      <c r="K16" s="2336">
        <f>IF(ISERROR('Cpte de résultat prévisionnel'!K35)," ",'Cpte de résultat prévisionnel'!K35)</f>
        <v>0</v>
      </c>
      <c r="L16" s="2337">
        <f>IF(ISERROR('Cpte de résultat prévisionnel'!N35)," ",'Cpte de résultat prévisionnel'!N35)</f>
        <v>0</v>
      </c>
    </row>
    <row r="17" spans="2:12" ht="20.100000000000001" customHeight="1" x14ac:dyDescent="0.3">
      <c r="B17" s="4690" t="s">
        <v>402</v>
      </c>
      <c r="C17" s="4092"/>
      <c r="D17" s="4093"/>
      <c r="E17" s="234"/>
      <c r="F17" s="2338"/>
      <c r="G17" s="1316"/>
      <c r="H17" s="2339"/>
      <c r="I17" s="234"/>
      <c r="J17" s="1319"/>
      <c r="K17" s="1319"/>
      <c r="L17" s="2339"/>
    </row>
    <row r="18" spans="2:12" ht="20.100000000000001" customHeight="1" x14ac:dyDescent="0.3">
      <c r="B18" s="4691" t="s">
        <v>190</v>
      </c>
      <c r="C18" s="4692"/>
      <c r="D18" s="4693"/>
      <c r="E18" s="234"/>
      <c r="F18" s="2340"/>
      <c r="G18" s="1317"/>
      <c r="H18" s="2341"/>
      <c r="I18" s="234"/>
      <c r="J18" s="1317"/>
      <c r="K18" s="1317"/>
      <c r="L18" s="2341"/>
    </row>
    <row r="19" spans="2:12" ht="20.100000000000001" customHeight="1" x14ac:dyDescent="0.3">
      <c r="B19" s="4636" t="s">
        <v>64</v>
      </c>
      <c r="C19" s="4646"/>
      <c r="D19" s="4647"/>
      <c r="E19" s="234"/>
      <c r="F19" s="2342"/>
      <c r="G19" s="1318"/>
      <c r="H19" s="2343"/>
      <c r="I19" s="234"/>
      <c r="J19" s="1318"/>
      <c r="K19" s="1318"/>
      <c r="L19" s="2343"/>
    </row>
    <row r="20" spans="2:12" ht="21.9" customHeight="1" x14ac:dyDescent="0.3">
      <c r="B20" s="4648" t="s">
        <v>471</v>
      </c>
      <c r="C20" s="4649"/>
      <c r="D20" s="4650"/>
      <c r="E20" s="2711"/>
      <c r="F20" s="2811">
        <f>SUM(F16:F19)</f>
        <v>0</v>
      </c>
      <c r="G20" s="2812">
        <f>SUM(G16:G19)</f>
        <v>0</v>
      </c>
      <c r="H20" s="2813">
        <f>SUM(H16:H19)</f>
        <v>0</v>
      </c>
      <c r="I20" s="234"/>
      <c r="J20" s="2812">
        <f>SUM(J16:J19)</f>
        <v>0</v>
      </c>
      <c r="K20" s="2812">
        <f>SUM(K16:K19)</f>
        <v>0</v>
      </c>
      <c r="L20" s="2813">
        <f>SUM(L16:L19)</f>
        <v>0</v>
      </c>
    </row>
    <row r="21" spans="2:12" ht="20.100000000000001" customHeight="1" x14ac:dyDescent="0.3">
      <c r="B21" s="4654" t="s">
        <v>267</v>
      </c>
      <c r="C21" s="4655"/>
      <c r="D21" s="4656"/>
      <c r="E21" s="187"/>
      <c r="F21" s="2342"/>
      <c r="G21" s="1318"/>
      <c r="H21" s="2343"/>
      <c r="I21" s="187"/>
      <c r="J21" s="2342"/>
      <c r="K21" s="1320"/>
      <c r="L21" s="2343"/>
    </row>
    <row r="22" spans="2:12" ht="20.100000000000001" customHeight="1" x14ac:dyDescent="0.3">
      <c r="B22" s="4657" t="s">
        <v>45</v>
      </c>
      <c r="C22" s="4618"/>
      <c r="D22" s="4619"/>
      <c r="F22" s="2340"/>
      <c r="G22" s="1317"/>
      <c r="H22" s="2341"/>
      <c r="J22" s="2340"/>
      <c r="K22" s="1317"/>
      <c r="L22" s="2341"/>
    </row>
    <row r="23" spans="2:12" ht="20.100000000000001" customHeight="1" x14ac:dyDescent="0.3">
      <c r="B23" s="4658" t="s">
        <v>59</v>
      </c>
      <c r="C23" s="4618"/>
      <c r="D23" s="4619"/>
      <c r="F23" s="2340"/>
      <c r="G23" s="1317"/>
      <c r="H23" s="2341"/>
      <c r="J23" s="2340"/>
      <c r="K23" s="1317"/>
      <c r="L23" s="2341"/>
    </row>
    <row r="24" spans="2:12" ht="20.100000000000001" customHeight="1" x14ac:dyDescent="0.3">
      <c r="B24" s="4658" t="s">
        <v>46</v>
      </c>
      <c r="C24" s="4618"/>
      <c r="D24" s="4619"/>
      <c r="F24" s="2340"/>
      <c r="G24" s="1317"/>
      <c r="H24" s="2341"/>
      <c r="J24" s="2340"/>
      <c r="K24" s="1317"/>
      <c r="L24" s="2341"/>
    </row>
    <row r="25" spans="2:12" ht="20.100000000000001" customHeight="1" x14ac:dyDescent="0.3">
      <c r="B25" s="4658" t="s">
        <v>275</v>
      </c>
      <c r="C25" s="4618"/>
      <c r="D25" s="4619"/>
      <c r="F25" s="2340"/>
      <c r="G25" s="1317"/>
      <c r="H25" s="2341"/>
      <c r="J25" s="2340"/>
      <c r="K25" s="1317"/>
      <c r="L25" s="2341"/>
    </row>
    <row r="26" spans="2:12" ht="20.100000000000001" customHeight="1" x14ac:dyDescent="0.3">
      <c r="B26" s="4710" t="s">
        <v>65</v>
      </c>
      <c r="C26" s="4711"/>
      <c r="D26" s="4712"/>
      <c r="F26" s="2342"/>
      <c r="G26" s="1318"/>
      <c r="H26" s="2343"/>
      <c r="J26" s="2342"/>
      <c r="K26" s="1318"/>
      <c r="L26" s="2343"/>
    </row>
    <row r="27" spans="2:12" ht="21.9" customHeight="1" x14ac:dyDescent="0.3">
      <c r="B27" s="4696" t="s">
        <v>472</v>
      </c>
      <c r="C27" s="4697"/>
      <c r="D27" s="4698"/>
      <c r="E27" s="234"/>
      <c r="F27" s="2818">
        <f>SUM(F21:F26)</f>
        <v>0</v>
      </c>
      <c r="G27" s="2819">
        <f>SUM(G21:G26)</f>
        <v>0</v>
      </c>
      <c r="H27" s="2820">
        <f>SUM(H21:H26)</f>
        <v>0</v>
      </c>
      <c r="I27" s="234"/>
      <c r="J27" s="2818">
        <f>SUM(J21:J26)</f>
        <v>0</v>
      </c>
      <c r="K27" s="2819">
        <f>SUM(K21:K26)</f>
        <v>0</v>
      </c>
      <c r="L27" s="2820">
        <f>SUM(L21:L26)</f>
        <v>0</v>
      </c>
    </row>
    <row r="28" spans="2:12" ht="21.9" customHeight="1" x14ac:dyDescent="0.3">
      <c r="B28" s="4489" t="s">
        <v>38</v>
      </c>
      <c r="C28" s="4713"/>
      <c r="D28" s="4490"/>
      <c r="E28" s="187"/>
      <c r="F28" s="2013">
        <f>F20-F27</f>
        <v>0</v>
      </c>
      <c r="G28" s="2821">
        <f>G20-G27</f>
        <v>0</v>
      </c>
      <c r="H28" s="2822">
        <f>H20-H27</f>
        <v>0</v>
      </c>
      <c r="I28" s="187"/>
      <c r="J28" s="2013">
        <f>J20-J27</f>
        <v>0</v>
      </c>
      <c r="K28" s="2821">
        <f>K20-K27</f>
        <v>0</v>
      </c>
      <c r="L28" s="2822">
        <f>L20-L27</f>
        <v>0</v>
      </c>
    </row>
    <row r="29" spans="2:12" ht="20.100000000000001" customHeight="1" x14ac:dyDescent="0.3">
      <c r="B29" s="4705" t="s">
        <v>1185</v>
      </c>
      <c r="C29" s="4706"/>
      <c r="D29" s="4707"/>
      <c r="E29" s="465"/>
      <c r="F29" s="4699"/>
      <c r="G29" s="4700"/>
      <c r="H29" s="4701"/>
      <c r="I29" s="465"/>
      <c r="J29" s="2837"/>
      <c r="K29" s="2845"/>
      <c r="L29" s="2846"/>
    </row>
    <row r="30" spans="2:12" s="260" customFormat="1" ht="20.100000000000001" customHeight="1" x14ac:dyDescent="0.3">
      <c r="B30" s="4720" t="s">
        <v>924</v>
      </c>
      <c r="C30" s="2838" t="s">
        <v>49</v>
      </c>
      <c r="D30" s="2839" t="s">
        <v>176</v>
      </c>
      <c r="E30" s="465"/>
      <c r="F30" s="4699"/>
      <c r="G30" s="4700"/>
      <c r="H30" s="4701"/>
      <c r="I30" s="465"/>
      <c r="J30" s="2840"/>
      <c r="K30" s="2841"/>
      <c r="L30" s="2842"/>
    </row>
    <row r="31" spans="2:12" ht="20.100000000000001" customHeight="1" x14ac:dyDescent="0.3">
      <c r="B31" s="4720"/>
      <c r="C31" s="4708" t="s">
        <v>819</v>
      </c>
      <c r="D31" s="4709"/>
      <c r="E31" s="234"/>
      <c r="F31" s="4699"/>
      <c r="G31" s="4700"/>
      <c r="H31" s="4701"/>
      <c r="I31" s="234"/>
      <c r="J31" s="2843">
        <f>IF(ISERROR(IF(r_1&lt;=0,J30/(r_1/-1),J30/r_1)),0,IF(r_1&lt;=0,J30/(r_1/-1),J30/r_1))</f>
        <v>0</v>
      </c>
      <c r="K31" s="2844">
        <f>IF(ISBLANK(div2_holding),0,IF((r_1+r_5)&lt;=0,(J30+K30)/((r_1+r_5)/-1),(J30+K30)/(r_1+r_5)))</f>
        <v>0</v>
      </c>
      <c r="L31" s="2844">
        <f>IF(ISBLANK(div3_holding),0,IF((r_1+r_5+r_6)&lt;=0,(J30+K30+L30)/((r_1+r_5+r_6)/-1),(J30+K30+L30)/(r_1+r_5+r_6)))</f>
        <v>0</v>
      </c>
    </row>
    <row r="32" spans="2:12" ht="20.100000000000001" customHeight="1" x14ac:dyDescent="0.3">
      <c r="B32" s="4721"/>
      <c r="C32" s="4722" t="s">
        <v>1189</v>
      </c>
      <c r="D32" s="4723"/>
      <c r="E32" s="234"/>
      <c r="F32" s="4702"/>
      <c r="G32" s="4703"/>
      <c r="H32" s="4704"/>
      <c r="I32" s="234"/>
      <c r="J32" s="2344" t="str">
        <f>IF(ISBLANK(J30)," ",IF(J31&lt;=60%,"Acceptable",IF(J31&gt;60%,"Risqué"," ")))</f>
        <v xml:space="preserve"> </v>
      </c>
      <c r="K32" s="1321" t="str">
        <f>IF(ISBLANK(K30)," ",IF(K31&lt;=60%,"Acceptable",IF(K31&gt;60%,"Risqué"," ")))</f>
        <v xml:space="preserve"> </v>
      </c>
      <c r="L32" s="2345" t="str">
        <f>IF(ISBLANK(L30)," ",IF(L31&lt;=60%,"Acceptable",IF(L31&gt;60%,"Risqué"," ")))</f>
        <v xml:space="preserve"> </v>
      </c>
    </row>
    <row r="33" spans="2:12" ht="20.100000000000001" customHeight="1" x14ac:dyDescent="0.3">
      <c r="B33" s="4690" t="s">
        <v>399</v>
      </c>
      <c r="C33" s="3753"/>
      <c r="D33" s="4086"/>
      <c r="E33" s="234"/>
      <c r="F33" s="2342"/>
      <c r="G33" s="1318"/>
      <c r="H33" s="2343"/>
      <c r="I33" s="234"/>
      <c r="J33" s="2342"/>
      <c r="K33" s="1318"/>
      <c r="L33" s="2343"/>
    </row>
    <row r="34" spans="2:12" ht="20.100000000000001" customHeight="1" x14ac:dyDescent="0.3">
      <c r="B34" s="4691" t="s">
        <v>269</v>
      </c>
      <c r="C34" s="4724"/>
      <c r="D34" s="4502"/>
      <c r="E34" s="234"/>
      <c r="F34" s="2340"/>
      <c r="G34" s="1317"/>
      <c r="H34" s="2341"/>
      <c r="I34" s="234"/>
      <c r="J34" s="2340"/>
      <c r="K34" s="1317"/>
      <c r="L34" s="2341"/>
    </row>
    <row r="35" spans="2:12" ht="20.100000000000001" customHeight="1" x14ac:dyDescent="0.3">
      <c r="B35" s="4636" t="s">
        <v>260</v>
      </c>
      <c r="C35" s="3751"/>
      <c r="D35" s="3908"/>
      <c r="E35" s="234"/>
      <c r="F35" s="2342"/>
      <c r="G35" s="1318"/>
      <c r="H35" s="2343"/>
      <c r="I35" s="234"/>
      <c r="J35" s="2342"/>
      <c r="K35" s="1318"/>
      <c r="L35" s="2343"/>
    </row>
    <row r="36" spans="2:12" s="260" customFormat="1" ht="21.9" customHeight="1" x14ac:dyDescent="0.3">
      <c r="B36" s="4648" t="s">
        <v>473</v>
      </c>
      <c r="C36" s="4725"/>
      <c r="D36" s="4726"/>
      <c r="E36" s="465"/>
      <c r="F36" s="2811">
        <f>F30+F33+F34+F35</f>
        <v>0</v>
      </c>
      <c r="G36" s="2812">
        <f>G30+G33+G34+G35</f>
        <v>0</v>
      </c>
      <c r="H36" s="2813">
        <f>H30+H33+H34+H35</f>
        <v>0</v>
      </c>
      <c r="I36" s="465"/>
      <c r="J36" s="2811">
        <f>J29+J30+J33+J34+J35</f>
        <v>0</v>
      </c>
      <c r="K36" s="2812">
        <f>K30+K33+K34+K35</f>
        <v>0</v>
      </c>
      <c r="L36" s="2813">
        <f>L30+L33+L34+L35</f>
        <v>0</v>
      </c>
    </row>
    <row r="37" spans="2:12" ht="20.100000000000001" customHeight="1" x14ac:dyDescent="0.3">
      <c r="B37" s="4654" t="s">
        <v>68</v>
      </c>
      <c r="C37" s="4655"/>
      <c r="D37" s="4656"/>
      <c r="F37" s="2342"/>
      <c r="G37" s="1318"/>
      <c r="H37" s="2343"/>
      <c r="J37" s="2342"/>
      <c r="K37" s="1318"/>
      <c r="L37" s="2343"/>
    </row>
    <row r="38" spans="2:12" ht="20.100000000000001" customHeight="1" x14ac:dyDescent="0.3">
      <c r="B38" s="4658" t="s">
        <v>271</v>
      </c>
      <c r="C38" s="4618"/>
      <c r="D38" s="4619"/>
      <c r="F38" s="2340"/>
      <c r="G38" s="1317"/>
      <c r="H38" s="2341"/>
      <c r="J38" s="2340"/>
      <c r="K38" s="1317"/>
      <c r="L38" s="2341"/>
    </row>
    <row r="39" spans="2:12" ht="20.100000000000001" customHeight="1" x14ac:dyDescent="0.3">
      <c r="B39" s="4658" t="s">
        <v>272</v>
      </c>
      <c r="C39" s="4618"/>
      <c r="D39" s="4619"/>
      <c r="F39" s="2340"/>
      <c r="G39" s="1317"/>
      <c r="H39" s="2341"/>
      <c r="J39" s="2340"/>
      <c r="K39" s="1317"/>
      <c r="L39" s="2341"/>
    </row>
    <row r="40" spans="2:12" ht="20.100000000000001" customHeight="1" x14ac:dyDescent="0.3">
      <c r="B40" s="4710" t="s">
        <v>268</v>
      </c>
      <c r="C40" s="4711"/>
      <c r="D40" s="4712"/>
      <c r="F40" s="2342"/>
      <c r="G40" s="1318"/>
      <c r="H40" s="2343"/>
      <c r="J40" s="2342"/>
      <c r="K40" s="1318"/>
      <c r="L40" s="2343"/>
    </row>
    <row r="41" spans="2:12" ht="21.9" customHeight="1" x14ac:dyDescent="0.3">
      <c r="B41" s="4640" t="s">
        <v>474</v>
      </c>
      <c r="C41" s="4641"/>
      <c r="D41" s="4642"/>
      <c r="E41" s="234"/>
      <c r="F41" s="2712">
        <f>SUM(F37:F40)</f>
        <v>0</v>
      </c>
      <c r="G41" s="2713">
        <f>SUM(G37:G40)</f>
        <v>0</v>
      </c>
      <c r="H41" s="2714">
        <f>SUM(H37:H40)</f>
        <v>0</v>
      </c>
      <c r="I41" s="234"/>
      <c r="J41" s="2712">
        <f>SUM(J37:J40)</f>
        <v>0</v>
      </c>
      <c r="K41" s="2713">
        <f>SUM(K37:K40)</f>
        <v>0</v>
      </c>
      <c r="L41" s="2714">
        <f>SUM(L37:L40)</f>
        <v>0</v>
      </c>
    </row>
    <row r="42" spans="2:12" ht="21.9" customHeight="1" x14ac:dyDescent="0.3">
      <c r="B42" s="4643" t="s">
        <v>384</v>
      </c>
      <c r="C42" s="4644"/>
      <c r="D42" s="4645"/>
      <c r="E42" s="187"/>
      <c r="F42" s="2014">
        <f>F36-F41</f>
        <v>0</v>
      </c>
      <c r="G42" s="954">
        <f>G36-G41</f>
        <v>0</v>
      </c>
      <c r="H42" s="2346">
        <f>H36-H41</f>
        <v>0</v>
      </c>
      <c r="I42" s="187"/>
      <c r="J42" s="2014">
        <f>J36-J41</f>
        <v>0</v>
      </c>
      <c r="K42" s="954">
        <f>K36-K41</f>
        <v>0</v>
      </c>
      <c r="L42" s="2346">
        <f>L36-L41</f>
        <v>0</v>
      </c>
    </row>
    <row r="43" spans="2:12" ht="21.9" customHeight="1" x14ac:dyDescent="0.3">
      <c r="B43" s="4505" t="s">
        <v>925</v>
      </c>
      <c r="C43" s="4634"/>
      <c r="D43" s="4506"/>
      <c r="E43" s="187"/>
      <c r="F43" s="2015">
        <f>F28+F42</f>
        <v>0</v>
      </c>
      <c r="G43" s="2720">
        <f>G28+G42</f>
        <v>0</v>
      </c>
      <c r="H43" s="2721">
        <f>H28+H42</f>
        <v>0</v>
      </c>
      <c r="I43" s="187"/>
      <c r="J43" s="2015">
        <f>J28+J42</f>
        <v>0</v>
      </c>
      <c r="K43" s="2720">
        <f>K28+K42</f>
        <v>0</v>
      </c>
      <c r="L43" s="2721">
        <f>L28+L42</f>
        <v>0</v>
      </c>
    </row>
    <row r="44" spans="2:12" ht="20.100000000000001" customHeight="1" x14ac:dyDescent="0.3">
      <c r="B44" s="4635" t="s">
        <v>261</v>
      </c>
      <c r="C44" s="3865"/>
      <c r="D44" s="3866"/>
      <c r="F44" s="2342"/>
      <c r="G44" s="1318"/>
      <c r="H44" s="2343"/>
      <c r="J44" s="2342"/>
      <c r="K44" s="1318"/>
      <c r="L44" s="2343"/>
    </row>
    <row r="45" spans="2:12" s="2715" customFormat="1" ht="20.100000000000001" customHeight="1" x14ac:dyDescent="0.3">
      <c r="B45" s="4731" t="s">
        <v>475</v>
      </c>
      <c r="C45" s="4732"/>
      <c r="D45" s="4733"/>
      <c r="F45" s="2716"/>
      <c r="G45" s="2717"/>
      <c r="H45" s="2718"/>
      <c r="J45" s="2716"/>
      <c r="K45" s="2717"/>
      <c r="L45" s="2718"/>
    </row>
    <row r="46" spans="2:12" ht="20.100000000000001" customHeight="1" x14ac:dyDescent="0.3">
      <c r="B46" s="4636" t="s">
        <v>72</v>
      </c>
      <c r="C46" s="3751"/>
      <c r="D46" s="3908"/>
      <c r="E46" s="2814"/>
      <c r="F46" s="2342"/>
      <c r="G46" s="1318"/>
      <c r="H46" s="2343"/>
      <c r="J46" s="2342"/>
      <c r="K46" s="1318"/>
      <c r="L46" s="2343"/>
    </row>
    <row r="47" spans="2:12" ht="20.100000000000001" customHeight="1" x14ac:dyDescent="0.3">
      <c r="B47" s="4637" t="s">
        <v>262</v>
      </c>
      <c r="C47" s="4638"/>
      <c r="D47" s="4639"/>
      <c r="F47" s="2354"/>
      <c r="G47" s="1316"/>
      <c r="H47" s="2355"/>
      <c r="J47" s="2354"/>
      <c r="K47" s="1316"/>
      <c r="L47" s="2355"/>
    </row>
    <row r="48" spans="2:12" s="2715" customFormat="1" ht="20.100000000000001" customHeight="1" x14ac:dyDescent="0.3">
      <c r="B48" s="4617" t="s">
        <v>476</v>
      </c>
      <c r="C48" s="4618"/>
      <c r="D48" s="4619"/>
      <c r="F48" s="2716"/>
      <c r="G48" s="2717"/>
      <c r="H48" s="2718"/>
      <c r="J48" s="2716"/>
      <c r="K48" s="2717"/>
      <c r="L48" s="2718"/>
    </row>
    <row r="49" spans="2:12" ht="20.100000000000001" customHeight="1" x14ac:dyDescent="0.3">
      <c r="B49" s="4727" t="s">
        <v>73</v>
      </c>
      <c r="C49" s="4728"/>
      <c r="D49" s="4729"/>
      <c r="F49" s="2342"/>
      <c r="G49" s="1318"/>
      <c r="H49" s="2343"/>
      <c r="J49" s="2342"/>
      <c r="K49" s="1318"/>
      <c r="L49" s="2343"/>
    </row>
    <row r="50" spans="2:12" ht="20.100000000000001" customHeight="1" x14ac:dyDescent="0.3">
      <c r="B50" s="4637" t="s">
        <v>276</v>
      </c>
      <c r="C50" s="4638"/>
      <c r="D50" s="4639"/>
      <c r="F50" s="2354"/>
      <c r="G50" s="1316"/>
      <c r="H50" s="2355"/>
      <c r="J50" s="2354"/>
      <c r="K50" s="1316"/>
      <c r="L50" s="2355"/>
    </row>
    <row r="51" spans="2:12" ht="20.100000000000001" customHeight="1" x14ac:dyDescent="0.3">
      <c r="B51" s="4730" t="s">
        <v>75</v>
      </c>
      <c r="C51" s="4728"/>
      <c r="D51" s="4729"/>
      <c r="F51" s="2356"/>
      <c r="G51" s="2357"/>
      <c r="H51" s="2358"/>
      <c r="J51" s="2356"/>
      <c r="K51" s="2357"/>
      <c r="L51" s="2358"/>
    </row>
    <row r="52" spans="2:12" ht="21.9" customHeight="1" x14ac:dyDescent="0.3">
      <c r="B52" s="4717" t="s">
        <v>35</v>
      </c>
      <c r="C52" s="4718"/>
      <c r="D52" s="4719"/>
      <c r="E52" s="187"/>
      <c r="F52" s="2359">
        <f>F43+F44+F46-F47-F49-F50-F51</f>
        <v>0</v>
      </c>
      <c r="G52" s="2360">
        <f>G43+G44+G46-G47-G49-G50-G51</f>
        <v>0</v>
      </c>
      <c r="H52" s="2361">
        <f>H43+H44+H46-H47-H49-H50-H51</f>
        <v>0</v>
      </c>
      <c r="I52" s="187"/>
      <c r="J52" s="2359">
        <f>J43+J44+J46-J47-J49-J50-J51</f>
        <v>0</v>
      </c>
      <c r="K52" s="2360">
        <f>K43+K44+K46-K47-K49-K50-K51</f>
        <v>0</v>
      </c>
      <c r="L52" s="2361">
        <f>L43+L44+L46-L47-L49-L50-L51</f>
        <v>0</v>
      </c>
    </row>
    <row r="53" spans="2:12" s="19" customFormat="1" ht="21.9" customHeight="1" x14ac:dyDescent="0.3">
      <c r="B53" s="1928" t="s">
        <v>39</v>
      </c>
      <c r="C53" s="1322"/>
      <c r="D53" s="2353"/>
      <c r="E53" s="1554"/>
      <c r="F53" s="2352">
        <f>F52-F18+F25-F35+F37-F45-F46+F48+F49</f>
        <v>0</v>
      </c>
      <c r="G53" s="1323">
        <f>G52-G18+G25-G35+G37-G45-G46+G48+G49</f>
        <v>0</v>
      </c>
      <c r="H53" s="2347">
        <f>H52-H18+H25-H35+H37-H45-H46+H48+H49</f>
        <v>0</v>
      </c>
      <c r="I53" s="1554"/>
      <c r="J53" s="2352">
        <f>J52-J18+J25-J35+J37-J45-J46+J48+J49</f>
        <v>0</v>
      </c>
      <c r="K53" s="1323">
        <f>K52-K18+K25-K35+K37-K45-K46+K48+K49</f>
        <v>0</v>
      </c>
      <c r="L53" s="2347">
        <f>L52-L18+L25-L35+L37-L45-L46+L48+L49</f>
        <v>0</v>
      </c>
    </row>
    <row r="54" spans="2:12" s="19" customFormat="1" ht="30" customHeight="1" x14ac:dyDescent="0.3">
      <c r="B54" s="4714" t="s">
        <v>1175</v>
      </c>
      <c r="C54" s="4715"/>
      <c r="D54" s="4716"/>
      <c r="E54" s="1554"/>
      <c r="F54" s="2348">
        <f>F53</f>
        <v>0</v>
      </c>
      <c r="G54" s="2349">
        <f>G53</f>
        <v>0</v>
      </c>
      <c r="H54" s="2350">
        <f>H53</f>
        <v>0</v>
      </c>
      <c r="I54" s="1554"/>
      <c r="J54" s="2348">
        <f>J53-J29</f>
        <v>0</v>
      </c>
      <c r="K54" s="2349">
        <f>K53</f>
        <v>0</v>
      </c>
      <c r="L54" s="2350">
        <f>L53</f>
        <v>0</v>
      </c>
    </row>
    <row r="55" spans="2:12" ht="6" customHeight="1" x14ac:dyDescent="0.3">
      <c r="B55" s="18"/>
      <c r="C55" s="18"/>
      <c r="D55" s="187"/>
      <c r="F55" s="255"/>
      <c r="G55" s="255"/>
      <c r="H55" s="255"/>
    </row>
    <row r="56" spans="2:12" ht="20.100000000000001" customHeight="1" x14ac:dyDescent="0.3">
      <c r="D56" s="2362" t="s">
        <v>447</v>
      </c>
      <c r="E56" s="2363"/>
      <c r="F56" s="2364"/>
      <c r="G56" s="2365"/>
      <c r="H56" s="2366"/>
      <c r="I56" s="2363"/>
      <c r="J56" s="2364"/>
      <c r="K56" s="2365"/>
      <c r="L56" s="2366"/>
    </row>
    <row r="57" spans="2:12" s="2" customFormat="1" ht="14.4" x14ac:dyDescent="0.3">
      <c r="D57" s="261"/>
      <c r="E57" s="187"/>
      <c r="F57" s="187"/>
      <c r="G57" s="187"/>
      <c r="H57" s="187"/>
      <c r="I57" s="187"/>
      <c r="J57" s="259"/>
      <c r="K57" s="259"/>
      <c r="L57" s="259"/>
    </row>
    <row r="58" spans="2:12" ht="15" customHeight="1" x14ac:dyDescent="0.3"/>
  </sheetData>
  <sheetProtection algorithmName="SHA-512" hashValue="JrF7SyP8LzyogXAZ6wt2fAmArqOOdnJFPHwdrvEXf0sGlWkIwhcqoT4uKYsYJJZVE+zJt2cU2OL1epchviHH3g==" saltValue="5oyZblWyvz6GN5nNB+R0zQ==" spinCount="100000" sheet="1" objects="1" scenarios="1" formatCells="0" formatColumns="0" formatRows="0" insertColumns="0" insertRows="0" insertHyperlinks="0" deleteColumns="0" deleteRows="0" sort="0" autoFilter="0" pivotTables="0"/>
  <mergeCells count="57">
    <mergeCell ref="B54:D54"/>
    <mergeCell ref="B52:D52"/>
    <mergeCell ref="B30:B32"/>
    <mergeCell ref="C32:D32"/>
    <mergeCell ref="B38:D38"/>
    <mergeCell ref="B39:D39"/>
    <mergeCell ref="B33:D33"/>
    <mergeCell ref="B34:D34"/>
    <mergeCell ref="B35:D35"/>
    <mergeCell ref="B36:D36"/>
    <mergeCell ref="B49:D49"/>
    <mergeCell ref="B50:D50"/>
    <mergeCell ref="B37:D37"/>
    <mergeCell ref="B40:D40"/>
    <mergeCell ref="B51:D51"/>
    <mergeCell ref="B45:D45"/>
    <mergeCell ref="B27:D27"/>
    <mergeCell ref="F29:H32"/>
    <mergeCell ref="B29:D29"/>
    <mergeCell ref="C31:D31"/>
    <mergeCell ref="B24:D24"/>
    <mergeCell ref="B25:D25"/>
    <mergeCell ref="B26:D26"/>
    <mergeCell ref="B28:D28"/>
    <mergeCell ref="J12:L12"/>
    <mergeCell ref="B16:D16"/>
    <mergeCell ref="B17:D17"/>
    <mergeCell ref="B18:D18"/>
    <mergeCell ref="C10:K10"/>
    <mergeCell ref="B2:L2"/>
    <mergeCell ref="K9:L9"/>
    <mergeCell ref="C4:F4"/>
    <mergeCell ref="C6:H6"/>
    <mergeCell ref="J4:K4"/>
    <mergeCell ref="I6:J6"/>
    <mergeCell ref="I7:J7"/>
    <mergeCell ref="G7:H7"/>
    <mergeCell ref="G8:H8"/>
    <mergeCell ref="I8:J8"/>
    <mergeCell ref="C9:G9"/>
    <mergeCell ref="I9:J9"/>
    <mergeCell ref="B48:D48"/>
    <mergeCell ref="B12:D14"/>
    <mergeCell ref="C7:F8"/>
    <mergeCell ref="F16:H16"/>
    <mergeCell ref="B43:D43"/>
    <mergeCell ref="B44:D44"/>
    <mergeCell ref="B46:D46"/>
    <mergeCell ref="B47:D47"/>
    <mergeCell ref="B41:D41"/>
    <mergeCell ref="B42:D42"/>
    <mergeCell ref="B19:D19"/>
    <mergeCell ref="B20:D20"/>
    <mergeCell ref="F12:H12"/>
    <mergeCell ref="B21:D21"/>
    <mergeCell ref="B22:D22"/>
    <mergeCell ref="B23:D23"/>
  </mergeCells>
  <phoneticPr fontId="13" type="noConversion"/>
  <conditionalFormatting sqref="J53:L53">
    <cfRule type="cellIs" dxfId="386" priority="70" stopIfTrue="1" operator="lessThan">
      <formula>0</formula>
    </cfRule>
  </conditionalFormatting>
  <conditionalFormatting sqref="J31:L31">
    <cfRule type="cellIs" dxfId="385" priority="64" stopIfTrue="1" operator="equal">
      <formula>0</formula>
    </cfRule>
    <cfRule type="cellIs" dxfId="384" priority="67" stopIfTrue="1" operator="greaterThan">
      <formula>0.6</formula>
    </cfRule>
  </conditionalFormatting>
  <conditionalFormatting sqref="K32">
    <cfRule type="expression" dxfId="383" priority="49" stopIfTrue="1">
      <formula>$K$31&gt;60%</formula>
    </cfRule>
  </conditionalFormatting>
  <conditionalFormatting sqref="L32">
    <cfRule type="expression" dxfId="382" priority="48" stopIfTrue="1">
      <formula>$L$31&gt;60%</formula>
    </cfRule>
  </conditionalFormatting>
  <conditionalFormatting sqref="J32">
    <cfRule type="expression" dxfId="381" priority="47" stopIfTrue="1">
      <formula>$J$31&gt;60%</formula>
    </cfRule>
  </conditionalFormatting>
  <conditionalFormatting sqref="G53">
    <cfRule type="cellIs" dxfId="380" priority="46" stopIfTrue="1" operator="lessThan">
      <formula>0</formula>
    </cfRule>
  </conditionalFormatting>
  <conditionalFormatting sqref="F53">
    <cfRule type="cellIs" dxfId="379" priority="42" stopIfTrue="1" operator="lessThan">
      <formula>0</formula>
    </cfRule>
  </conditionalFormatting>
  <conditionalFormatting sqref="H53">
    <cfRule type="cellIs" dxfId="378" priority="38" stopIfTrue="1" operator="lessThan">
      <formula>0</formula>
    </cfRule>
  </conditionalFormatting>
  <conditionalFormatting sqref="H9">
    <cfRule type="cellIs" dxfId="377" priority="31" operator="equal">
      <formula>0</formula>
    </cfRule>
  </conditionalFormatting>
  <conditionalFormatting sqref="L10">
    <cfRule type="cellIs" dxfId="376" priority="30" operator="equal">
      <formula>0</formula>
    </cfRule>
  </conditionalFormatting>
  <conditionalFormatting sqref="F52:H52 J52:L52">
    <cfRule type="cellIs" dxfId="375" priority="24" operator="lessThan">
      <formula>0</formula>
    </cfRule>
  </conditionalFormatting>
  <conditionalFormatting sqref="I9:J9">
    <cfRule type="cellIs" dxfId="374" priority="2" operator="equal">
      <formula>"Avantage :"</formula>
    </cfRule>
    <cfRule type="cellIs" dxfId="373" priority="22" operator="equal">
      <formula>" "</formula>
    </cfRule>
  </conditionalFormatting>
  <conditionalFormatting sqref="J54:L54">
    <cfRule type="cellIs" dxfId="372" priority="19" stopIfTrue="1" operator="lessThan">
      <formula>0</formula>
    </cfRule>
  </conditionalFormatting>
  <conditionalFormatting sqref="G54">
    <cfRule type="cellIs" dxfId="371" priority="18" stopIfTrue="1" operator="lessThan">
      <formula>0</formula>
    </cfRule>
  </conditionalFormatting>
  <conditionalFormatting sqref="F54">
    <cfRule type="cellIs" dxfId="370" priority="17" stopIfTrue="1" operator="lessThan">
      <formula>0</formula>
    </cfRule>
  </conditionalFormatting>
  <conditionalFormatting sqref="H54">
    <cfRule type="cellIs" dxfId="369" priority="16" stopIfTrue="1" operator="lessThan">
      <formula>0</formula>
    </cfRule>
  </conditionalFormatting>
  <conditionalFormatting sqref="J20:L20">
    <cfRule type="cellIs" dxfId="368" priority="14" operator="equal">
      <formula>0</formula>
    </cfRule>
  </conditionalFormatting>
  <conditionalFormatting sqref="J16:L16">
    <cfRule type="cellIs" dxfId="367" priority="13" operator="equal">
      <formula>0</formula>
    </cfRule>
  </conditionalFormatting>
  <conditionalFormatting sqref="J27:L27">
    <cfRule type="cellIs" dxfId="366" priority="12" operator="equal">
      <formula>0</formula>
    </cfRule>
  </conditionalFormatting>
  <conditionalFormatting sqref="J36:L36 J41:L41">
    <cfRule type="cellIs" dxfId="365" priority="10" operator="equal">
      <formula>0</formula>
    </cfRule>
  </conditionalFormatting>
  <conditionalFormatting sqref="J42:L43">
    <cfRule type="cellIs" dxfId="364" priority="9" operator="equal">
      <formula>0</formula>
    </cfRule>
  </conditionalFormatting>
  <conditionalFormatting sqref="J52:L52">
    <cfRule type="cellIs" dxfId="363" priority="8" operator="equal">
      <formula>0</formula>
    </cfRule>
  </conditionalFormatting>
  <conditionalFormatting sqref="J53:L53">
    <cfRule type="cellIs" dxfId="362" priority="7" operator="equal">
      <formula>0</formula>
    </cfRule>
  </conditionalFormatting>
  <conditionalFormatting sqref="J54:L54">
    <cfRule type="cellIs" dxfId="361" priority="6" operator="equal">
      <formula>0</formula>
    </cfRule>
  </conditionalFormatting>
  <conditionalFormatting sqref="J28:L28">
    <cfRule type="cellIs" dxfId="360" priority="4" operator="equal">
      <formula>0</formula>
    </cfRule>
  </conditionalFormatting>
  <conditionalFormatting sqref="K9:L9">
    <cfRule type="expression" dxfId="359" priority="3">
      <formula>$M$9=1</formula>
    </cfRule>
  </conditionalFormatting>
  <conditionalFormatting sqref="I6:J8">
    <cfRule type="cellIs" dxfId="358" priority="1" operator="equal">
      <formula>0</formula>
    </cfRule>
  </conditionalFormatting>
  <dataValidations xWindow="483" yWindow="326" count="5">
    <dataValidation type="list" allowBlank="1" showInputMessage="1" showErrorMessage="1" sqref="L10 H9" xr:uid="{00000000-0002-0000-0C00-000000000000}">
      <formula1>"Non,Oui"</formula1>
    </dataValidation>
    <dataValidation allowBlank="1" showInputMessage="1" showErrorMessage="1" sqref="L5" xr:uid="{00000000-0002-0000-0C00-000001000000}"/>
    <dataValidation type="list" allowBlank="1" showInputMessage="1" showErrorMessage="1" sqref="K9:L9" xr:uid="{00000000-0002-0000-0C00-000002000000}">
      <formula1>"Dividende prioritaire,Div. prioritaire et cumulatif"</formula1>
    </dataValidation>
    <dataValidation allowBlank="1" showInputMessage="1" showErrorMessage="1" prompt="se reporter à l'onglet Rachat ou reprise :_x000a_Total des titres de capital" sqref="I6:J6" xr:uid="{00000000-0002-0000-0C00-000003000000}"/>
    <dataValidation allowBlank="1" showInputMessage="1" showErrorMessage="1" prompt="se reporter à l'onglet Rachat ou reprise :_x000a_Nbre de titres acquis" sqref="I7:J7" xr:uid="{00000000-0002-0000-0C00-000004000000}"/>
  </dataValidations>
  <printOptions horizontalCentered="1"/>
  <pageMargins left="0" right="0" top="0" bottom="0" header="0" footer="0"/>
  <pageSetup paperSize="9" scale="75"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8" id="{665608D5-D030-4234-993E-2CDF311E4216}">
            <xm:f>'Rachat ou reprise'!$N$112="oui"</xm:f>
            <x14:dxf>
              <font>
                <color rgb="FFEAEAEA"/>
              </font>
              <fill>
                <patternFill>
                  <bgColor rgb="FFEAEAEA"/>
                </patternFill>
              </fill>
            </x14:dxf>
          </x14:cfRule>
          <xm:sqref>F17:H27 F33:H41 F44:H51</xm:sqref>
        </x14:conditionalFormatting>
        <x14:conditionalFormatting xmlns:xm="http://schemas.microsoft.com/office/excel/2006/main">
          <x14:cfRule type="expression" priority="27" id="{FDFEB063-D03E-43A5-BE05-D52843C76129}">
            <xm:f>'Rachat ou reprise'!$N$112="oui"</xm:f>
            <x14:dxf>
              <font>
                <color theme="0" tint="-0.499984740745262"/>
              </font>
            </x14:dxf>
          </x14:cfRule>
          <xm:sqref>F13:H14 F42:H43</xm:sqref>
        </x14:conditionalFormatting>
        <x14:conditionalFormatting xmlns:xm="http://schemas.microsoft.com/office/excel/2006/main">
          <x14:cfRule type="expression" priority="26" id="{081B110B-24B8-419C-BD72-BE1B1B35739F}">
            <xm:f>'Rachat ou reprise'!$N$112="oui"</xm:f>
            <x14:dxf>
              <font>
                <color rgb="FF666699"/>
              </font>
            </x14:dxf>
          </x14:cfRule>
          <xm:sqref>F52:H52</xm:sqref>
        </x14:conditionalFormatting>
        <x14:conditionalFormatting xmlns:xm="http://schemas.microsoft.com/office/excel/2006/main">
          <x14:cfRule type="expression" priority="25" id="{B61A2F36-035B-4621-A975-FB4AFEA4D0A7}">
            <xm:f>'Rachat ou reprise'!$N$112="oui"</xm:f>
            <x14:dxf>
              <font>
                <color rgb="FF9999FF"/>
              </font>
            </x14:dxf>
          </x14:cfRule>
          <xm:sqref>F53:H53</xm:sqref>
        </x14:conditionalFormatting>
        <x14:conditionalFormatting xmlns:xm="http://schemas.microsoft.com/office/excel/2006/main">
          <x14:cfRule type="expression" priority="21" id="{10D0C2BD-E55E-4BD5-9D9E-17F522C096FB}">
            <xm:f>'Rachat ou reprise'!$N$114&lt;&gt;0</xm:f>
            <x14: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L4</xm:sqref>
        </x14:conditionalFormatting>
        <x14:conditionalFormatting xmlns:xm="http://schemas.microsoft.com/office/excel/2006/main">
          <x14:cfRule type="expression" priority="20" id="{FC70BCC0-8DFF-4306-887E-C390945AD6CC}">
            <xm:f>'Rachat ou reprise'!$N$112="oui"</xm:f>
            <x14: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J4:K4</xm:sqref>
        </x14:conditionalFormatting>
        <x14:conditionalFormatting xmlns:xm="http://schemas.microsoft.com/office/excel/2006/main">
          <x14:cfRule type="expression" priority="15" id="{46071427-DBB9-48D6-8078-664E6FBFC4E0}">
            <xm:f>'Rachat ou reprise'!$N$112="oui"</xm:f>
            <x14:dxf>
              <font>
                <color theme="4"/>
              </font>
            </x14:dxf>
          </x14:cfRule>
          <xm:sqref>F54:H54</xm:sqref>
        </x14:conditionalFormatting>
        <x14:conditionalFormatting xmlns:xm="http://schemas.microsoft.com/office/excel/2006/main">
          <x14:cfRule type="expression" priority="5" id="{1AE5714F-D200-41C2-BEA8-E0D6D99FC659}">
            <xm:f>'Rachat ou reprise'!$N$112="Oui"</xm:f>
            <x14:dxf>
              <font>
                <color theme="0" tint="-0.499984740745262"/>
              </font>
            </x14:dxf>
          </x14:cfRule>
          <xm:sqref>F28:H28</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indexed="33"/>
    <pageSetUpPr fitToPage="1"/>
  </sheetPr>
  <dimension ref="A1:AD142"/>
  <sheetViews>
    <sheetView showGridLines="0" showRowColHeaders="0" workbookViewId="0">
      <pane ySplit="7" topLeftCell="A32" activePane="bottomLeft" state="frozenSplit"/>
      <selection activeCell="G7" sqref="G7:G8"/>
      <selection pane="bottomLeft" activeCell="N14" sqref="N14"/>
    </sheetView>
  </sheetViews>
  <sheetFormatPr baseColWidth="10" defaultColWidth="10.77734375" defaultRowHeight="13.8" x14ac:dyDescent="0.3"/>
  <cols>
    <col min="1" max="1" width="1.77734375" style="1" customWidth="1"/>
    <col min="2" max="2" width="15.33203125" style="1" customWidth="1"/>
    <col min="3" max="3" width="13.77734375" style="1" customWidth="1"/>
    <col min="4" max="4" width="17.77734375" style="1" customWidth="1"/>
    <col min="5" max="5" width="12.77734375" style="203" customWidth="1"/>
    <col min="6" max="6" width="12.77734375" style="1" customWidth="1"/>
    <col min="7" max="7" width="1" style="1" customWidth="1"/>
    <col min="8" max="8" width="13.77734375" style="1" customWidth="1"/>
    <col min="9" max="9" width="13.77734375" style="2" customWidth="1"/>
    <col min="10" max="10" width="13.77734375" style="1" customWidth="1"/>
    <col min="11" max="11" width="1" style="1" customWidth="1"/>
    <col min="12" max="12" width="13.77734375" style="1" customWidth="1"/>
    <col min="13" max="13" width="10.77734375" style="1" customWidth="1"/>
    <col min="14" max="14" width="13.77734375" style="1" customWidth="1"/>
    <col min="15" max="15" width="0.6640625" style="503" customWidth="1"/>
    <col min="16" max="16" width="13.77734375" style="1" customWidth="1"/>
    <col min="17" max="17" width="1" style="1" customWidth="1"/>
    <col min="18" max="18" width="13.77734375" style="1" customWidth="1"/>
    <col min="19" max="19" width="13.77734375" style="168" customWidth="1"/>
    <col min="20" max="20" width="1" style="267" customWidth="1"/>
    <col min="21" max="21" width="92.6640625" style="1442" customWidth="1"/>
    <col min="22" max="22" width="10.109375" style="541" customWidth="1"/>
    <col min="23" max="25" width="11.33203125" style="541" customWidth="1"/>
    <col min="26" max="26" width="10.77734375" style="541"/>
    <col min="27" max="27" width="1.77734375" style="1442" customWidth="1"/>
    <col min="28" max="28" width="9.6640625" style="1442" customWidth="1"/>
    <col min="29" max="29" width="11.77734375" style="267" bestFit="1" customWidth="1"/>
    <col min="30" max="30" width="10.77734375" style="267"/>
    <col min="31" max="16384" width="10.77734375" style="168"/>
  </cols>
  <sheetData>
    <row r="1" spans="1:30" ht="6" customHeight="1" x14ac:dyDescent="0.3"/>
    <row r="2" spans="1:30" s="263" customFormat="1" ht="21.9" customHeight="1" x14ac:dyDescent="0.4">
      <c r="A2" s="96"/>
      <c r="B2" s="3379" t="s">
        <v>1258</v>
      </c>
      <c r="C2" s="3380"/>
      <c r="D2" s="3380"/>
      <c r="E2" s="3380"/>
      <c r="F2" s="3380"/>
      <c r="G2" s="3380"/>
      <c r="H2" s="3380"/>
      <c r="I2" s="3380"/>
      <c r="J2" s="3380"/>
      <c r="K2" s="3380"/>
      <c r="L2" s="3380"/>
      <c r="M2" s="3380"/>
      <c r="N2" s="3380"/>
      <c r="O2" s="3380"/>
      <c r="P2" s="3380"/>
      <c r="Q2" s="3380"/>
      <c r="R2" s="3380"/>
      <c r="S2" s="3381"/>
      <c r="U2" s="1440"/>
      <c r="V2" s="1441"/>
      <c r="W2" s="1441"/>
      <c r="X2" s="1441"/>
      <c r="Y2" s="1441"/>
      <c r="Z2" s="1441"/>
      <c r="AA2" s="1440"/>
      <c r="AB2" s="1440"/>
    </row>
    <row r="3" spans="1:30" ht="15" customHeight="1" x14ac:dyDescent="0.3"/>
    <row r="4" spans="1:30" ht="21.9" customHeight="1" x14ac:dyDescent="0.3">
      <c r="B4" s="517" t="s">
        <v>1172</v>
      </c>
      <c r="D4" s="4782" t="str">
        <f>IF(ISBLANK(nom_holding)," ",nom_holding)</f>
        <v xml:space="preserve"> </v>
      </c>
      <c r="E4" s="3547"/>
      <c r="F4" s="950"/>
      <c r="G4" s="2984"/>
      <c r="I4" s="1085" t="s">
        <v>818</v>
      </c>
      <c r="J4" s="2376" t="str">
        <f>IF(ISBLANK(forme_holding)," ",forme_holding)</f>
        <v xml:space="preserve"> </v>
      </c>
      <c r="L4" s="4785" t="s">
        <v>1177</v>
      </c>
      <c r="M4" s="4786"/>
      <c r="N4" s="4786"/>
      <c r="O4" s="4786"/>
      <c r="P4" s="4787"/>
      <c r="R4" s="4788" t="s">
        <v>1178</v>
      </c>
      <c r="S4" s="4791" t="s">
        <v>1179</v>
      </c>
    </row>
    <row r="5" spans="1:30" s="267" customFormat="1" ht="3" customHeight="1" x14ac:dyDescent="0.3">
      <c r="A5" s="1"/>
      <c r="B5" s="1"/>
      <c r="C5" s="1"/>
      <c r="D5" s="1"/>
      <c r="E5" s="203"/>
      <c r="F5" s="1"/>
      <c r="G5" s="1"/>
      <c r="H5" s="1"/>
      <c r="I5" s="2"/>
      <c r="J5" s="1"/>
      <c r="K5" s="1"/>
      <c r="L5" s="1"/>
      <c r="M5" s="1"/>
      <c r="N5" s="1"/>
      <c r="O5" s="503"/>
      <c r="P5" s="1"/>
      <c r="Q5" s="1"/>
      <c r="R5" s="4789"/>
      <c r="S5" s="4792"/>
      <c r="V5" s="503"/>
      <c r="W5" s="503"/>
      <c r="X5" s="503"/>
      <c r="Y5" s="503"/>
      <c r="Z5" s="503"/>
    </row>
    <row r="6" spans="1:30" ht="20.100000000000001" customHeight="1" x14ac:dyDescent="0.3">
      <c r="B6" s="517"/>
      <c r="C6" s="517"/>
      <c r="D6" s="1313"/>
      <c r="E6" s="1313"/>
      <c r="F6" s="1314"/>
      <c r="G6" s="2984"/>
      <c r="I6" s="1085"/>
      <c r="J6" s="1085"/>
      <c r="L6" s="4783" t="s">
        <v>1176</v>
      </c>
      <c r="M6" s="4784"/>
      <c r="N6" s="2396" t="s">
        <v>441</v>
      </c>
      <c r="O6" s="2397"/>
      <c r="P6" s="2395" t="s">
        <v>197</v>
      </c>
      <c r="R6" s="4790"/>
      <c r="S6" s="4793"/>
    </row>
    <row r="7" spans="1:30" ht="6" customHeight="1" x14ac:dyDescent="0.3">
      <c r="I7" s="1"/>
      <c r="S7" s="1"/>
    </row>
    <row r="8" spans="1:30" s="264" customFormat="1" ht="21.9" customHeight="1" x14ac:dyDescent="0.35">
      <c r="A8" s="137"/>
      <c r="B8" s="4264" t="s">
        <v>897</v>
      </c>
      <c r="C8" s="4265"/>
      <c r="D8" s="4265"/>
      <c r="E8" s="4265"/>
      <c r="F8" s="4265"/>
      <c r="G8" s="4265"/>
      <c r="H8" s="4265"/>
      <c r="I8" s="4265"/>
      <c r="J8" s="4266"/>
      <c r="K8" s="1"/>
      <c r="L8" s="2398" t="s">
        <v>176</v>
      </c>
      <c r="M8" s="2399" t="s">
        <v>1</v>
      </c>
      <c r="N8" s="2400" t="s">
        <v>176</v>
      </c>
      <c r="O8" s="504"/>
      <c r="P8" s="2383" t="s">
        <v>176</v>
      </c>
      <c r="Q8" s="1"/>
      <c r="R8" s="2401" t="s">
        <v>176</v>
      </c>
      <c r="S8" s="2400" t="s">
        <v>176</v>
      </c>
      <c r="T8" s="1328"/>
      <c r="U8" s="1443"/>
      <c r="V8" s="1443"/>
      <c r="W8" s="1444"/>
      <c r="X8" s="1444"/>
      <c r="Y8" s="1444"/>
      <c r="Z8" s="1444"/>
      <c r="AA8" s="1443"/>
      <c r="AB8" s="1443"/>
      <c r="AC8" s="1328"/>
      <c r="AD8" s="1328"/>
    </row>
    <row r="9" spans="1:30" ht="3" customHeight="1" x14ac:dyDescent="0.3">
      <c r="B9" s="4"/>
      <c r="C9" s="4"/>
      <c r="D9" s="4"/>
      <c r="E9" s="469"/>
      <c r="F9" s="4"/>
      <c r="G9" s="4"/>
      <c r="H9" s="4"/>
      <c r="I9" s="4"/>
      <c r="J9" s="4"/>
      <c r="S9" s="1"/>
    </row>
    <row r="10" spans="1:30" s="1" customFormat="1" ht="30" customHeight="1" x14ac:dyDescent="0.3">
      <c r="B10" s="4798" t="s">
        <v>571</v>
      </c>
      <c r="C10" s="4799"/>
      <c r="D10" s="4800"/>
      <c r="E10" s="4800"/>
      <c r="F10" s="4800"/>
      <c r="G10" s="4800"/>
      <c r="H10" s="4800"/>
      <c r="I10" s="4800"/>
      <c r="J10" s="4801"/>
      <c r="K10" s="1024"/>
      <c r="L10" s="783"/>
      <c r="M10" s="2740" t="str">
        <f>IF(ISERROR(L10/$L$21)," ",L10/$L$21)</f>
        <v xml:space="preserve"> </v>
      </c>
      <c r="N10" s="2745"/>
      <c r="O10" s="2906"/>
      <c r="P10" s="1508">
        <f t="shared" ref="P10:P15" si="0">L10+N10</f>
        <v>0</v>
      </c>
      <c r="Q10" s="1326"/>
      <c r="R10" s="783"/>
      <c r="S10" s="3113"/>
      <c r="U10" s="368"/>
      <c r="V10" s="368"/>
      <c r="W10" s="368"/>
      <c r="X10" s="368"/>
      <c r="Y10" s="368"/>
      <c r="Z10" s="368"/>
      <c r="AA10" s="368"/>
      <c r="AB10" s="368"/>
    </row>
    <row r="11" spans="1:30" s="1" customFormat="1" ht="30" customHeight="1" x14ac:dyDescent="0.3">
      <c r="B11" s="4794" t="s">
        <v>564</v>
      </c>
      <c r="C11" s="4795"/>
      <c r="D11" s="4796"/>
      <c r="E11" s="4796"/>
      <c r="F11" s="4796"/>
      <c r="G11" s="4796"/>
      <c r="H11" s="4796"/>
      <c r="I11" s="4796"/>
      <c r="J11" s="4797"/>
      <c r="K11" s="784"/>
      <c r="L11" s="785"/>
      <c r="M11" s="2741" t="str">
        <f t="shared" ref="M11:M15" si="1">IF(ISERROR(L11/$L$21)," ",L11/$L$21)</f>
        <v xml:space="preserve"> </v>
      </c>
      <c r="N11" s="2746"/>
      <c r="O11" s="2906"/>
      <c r="P11" s="788">
        <f t="shared" si="0"/>
        <v>0</v>
      </c>
      <c r="Q11" s="784"/>
      <c r="R11" s="785"/>
      <c r="S11" s="2746"/>
      <c r="U11" s="368"/>
      <c r="V11" s="368"/>
      <c r="W11" s="368"/>
      <c r="X11" s="368"/>
      <c r="Y11" s="368"/>
      <c r="Z11" s="368"/>
      <c r="AA11" s="368"/>
      <c r="AB11" s="368"/>
    </row>
    <row r="12" spans="1:30" s="1" customFormat="1" ht="30" customHeight="1" x14ac:dyDescent="0.3">
      <c r="B12" s="4807" t="s">
        <v>514</v>
      </c>
      <c r="C12" s="4808"/>
      <c r="D12" s="4809"/>
      <c r="E12" s="4809"/>
      <c r="F12" s="4809"/>
      <c r="G12" s="4809"/>
      <c r="H12" s="4809"/>
      <c r="I12" s="4809"/>
      <c r="J12" s="4810"/>
      <c r="K12" s="784"/>
      <c r="L12" s="2847">
        <f>IF(hold="oui",VFP,0)</f>
        <v>0</v>
      </c>
      <c r="M12" s="2848" t="str">
        <f t="shared" si="1"/>
        <v xml:space="preserve"> </v>
      </c>
      <c r="N12" s="2849"/>
      <c r="O12" s="2906"/>
      <c r="P12" s="2850">
        <f t="shared" si="0"/>
        <v>0</v>
      </c>
      <c r="Q12" s="784"/>
      <c r="R12" s="3110"/>
      <c r="S12" s="3114"/>
      <c r="U12" s="368"/>
      <c r="V12" s="368"/>
      <c r="W12" s="368"/>
      <c r="X12" s="368"/>
      <c r="Y12" s="368"/>
      <c r="Z12" s="368"/>
      <c r="AA12" s="368"/>
      <c r="AB12" s="368"/>
    </row>
    <row r="13" spans="1:30" s="1" customFormat="1" ht="30" customHeight="1" x14ac:dyDescent="0.3">
      <c r="B13" s="4794" t="s">
        <v>297</v>
      </c>
      <c r="C13" s="4795"/>
      <c r="D13" s="4805"/>
      <c r="E13" s="4805"/>
      <c r="F13" s="4805"/>
      <c r="G13" s="4805"/>
      <c r="H13" s="4805"/>
      <c r="I13" s="4805"/>
      <c r="J13" s="4806"/>
      <c r="K13" s="784"/>
      <c r="L13" s="786"/>
      <c r="M13" s="2742" t="str">
        <f t="shared" si="1"/>
        <v xml:space="preserve"> </v>
      </c>
      <c r="N13" s="2747"/>
      <c r="O13" s="2906"/>
      <c r="P13" s="788">
        <f t="shared" si="0"/>
        <v>0</v>
      </c>
      <c r="Q13" s="784"/>
      <c r="R13" s="786"/>
      <c r="S13" s="2748"/>
      <c r="U13" s="368"/>
      <c r="V13" s="368"/>
      <c r="W13" s="368"/>
      <c r="X13" s="368"/>
      <c r="Y13" s="368"/>
      <c r="Z13" s="368"/>
      <c r="AA13" s="368"/>
      <c r="AB13" s="368"/>
    </row>
    <row r="14" spans="1:30" s="1" customFormat="1" ht="30" customHeight="1" x14ac:dyDescent="0.3">
      <c r="B14" s="4794" t="s">
        <v>296</v>
      </c>
      <c r="C14" s="4795"/>
      <c r="D14" s="4796"/>
      <c r="E14" s="4796"/>
      <c r="F14" s="4796"/>
      <c r="G14" s="4796"/>
      <c r="H14" s="4796"/>
      <c r="I14" s="4796"/>
      <c r="J14" s="4797"/>
      <c r="K14" s="784"/>
      <c r="L14" s="786"/>
      <c r="M14" s="2742" t="str">
        <f t="shared" si="1"/>
        <v xml:space="preserve"> </v>
      </c>
      <c r="N14" s="2748"/>
      <c r="O14" s="2906"/>
      <c r="P14" s="788">
        <f t="shared" si="0"/>
        <v>0</v>
      </c>
      <c r="Q14" s="784"/>
      <c r="R14" s="786"/>
      <c r="S14" s="2748"/>
      <c r="U14" s="368"/>
      <c r="V14" s="368"/>
      <c r="W14" s="368"/>
      <c r="X14" s="368"/>
      <c r="Y14" s="368"/>
      <c r="Z14" s="368"/>
      <c r="AA14" s="368"/>
      <c r="AB14" s="368"/>
    </row>
    <row r="15" spans="1:30" s="1" customFormat="1" ht="30" customHeight="1" x14ac:dyDescent="0.3">
      <c r="B15" s="4794" t="s">
        <v>298</v>
      </c>
      <c r="C15" s="4795"/>
      <c r="D15" s="4805"/>
      <c r="E15" s="4805"/>
      <c r="F15" s="4805"/>
      <c r="G15" s="4805"/>
      <c r="H15" s="4805"/>
      <c r="I15" s="4805"/>
      <c r="J15" s="4806"/>
      <c r="K15" s="784"/>
      <c r="L15" s="786"/>
      <c r="M15" s="2742" t="str">
        <f t="shared" si="1"/>
        <v xml:space="preserve"> </v>
      </c>
      <c r="N15" s="2749"/>
      <c r="O15" s="2906"/>
      <c r="P15" s="788">
        <f t="shared" si="0"/>
        <v>0</v>
      </c>
      <c r="Q15" s="784"/>
      <c r="R15" s="786"/>
      <c r="S15" s="2748"/>
      <c r="U15" s="368" t="s">
        <v>1180</v>
      </c>
      <c r="V15" s="368"/>
      <c r="W15" s="368"/>
      <c r="X15" s="368"/>
      <c r="Y15" s="368"/>
      <c r="Z15" s="368"/>
      <c r="AA15" s="368"/>
      <c r="AB15" s="368"/>
    </row>
    <row r="16" spans="1:30" s="1" customFormat="1" ht="30" customHeight="1" x14ac:dyDescent="0.3">
      <c r="B16" s="4794" t="s">
        <v>246</v>
      </c>
      <c r="C16" s="4795"/>
      <c r="D16" s="4796"/>
      <c r="E16" s="4796"/>
      <c r="F16" s="4796"/>
      <c r="G16" s="4796"/>
      <c r="H16" s="4796"/>
      <c r="I16" s="4796"/>
      <c r="J16" s="4797"/>
      <c r="K16" s="787"/>
      <c r="L16" s="1324"/>
      <c r="M16" s="2743"/>
      <c r="N16" s="2749">
        <f>IF(cafnet_1_holding&gt;=0,0,cafnet_1_holding/-1)</f>
        <v>0</v>
      </c>
      <c r="O16" s="2906"/>
      <c r="P16" s="788">
        <f>N16</f>
        <v>0</v>
      </c>
      <c r="Q16" s="787"/>
      <c r="R16" s="3111">
        <f>IF(cafnet_2_holding&gt;=0,0,cafnet_2_holding/-1)</f>
        <v>0</v>
      </c>
      <c r="S16" s="2749">
        <f>IF(cafnet_3_holding&gt;=0,0,cafnet_3_holding/-1)</f>
        <v>0</v>
      </c>
      <c r="U16" s="368"/>
      <c r="V16" s="541"/>
      <c r="W16" s="368"/>
      <c r="X16" s="368"/>
      <c r="Y16" s="368"/>
      <c r="Z16" s="368"/>
      <c r="AA16" s="368"/>
      <c r="AB16" s="368"/>
    </row>
    <row r="17" spans="1:28" s="1" customFormat="1" ht="30" customHeight="1" x14ac:dyDescent="0.3">
      <c r="B17" s="4794" t="s">
        <v>4</v>
      </c>
      <c r="C17" s="4795"/>
      <c r="D17" s="4805"/>
      <c r="E17" s="4805"/>
      <c r="F17" s="4805"/>
      <c r="G17" s="4805"/>
      <c r="H17" s="4805"/>
      <c r="I17" s="4805"/>
      <c r="J17" s="4806"/>
      <c r="K17" s="789"/>
      <c r="L17" s="1324"/>
      <c r="M17" s="2743"/>
      <c r="N17" s="2748"/>
      <c r="O17" s="2906"/>
      <c r="P17" s="788">
        <f>N17</f>
        <v>0</v>
      </c>
      <c r="Q17" s="789"/>
      <c r="R17" s="786"/>
      <c r="S17" s="2748"/>
      <c r="U17" s="368"/>
      <c r="V17" s="541"/>
      <c r="W17" s="368"/>
      <c r="X17" s="368"/>
      <c r="Y17" s="368"/>
      <c r="Z17" s="368"/>
      <c r="AA17" s="368"/>
      <c r="AB17" s="368"/>
    </row>
    <row r="18" spans="1:28" s="1" customFormat="1" ht="30" customHeight="1" x14ac:dyDescent="0.3">
      <c r="B18" s="4794" t="s">
        <v>303</v>
      </c>
      <c r="C18" s="4795"/>
      <c r="D18" s="4805"/>
      <c r="E18" s="4805"/>
      <c r="F18" s="4805"/>
      <c r="G18" s="4805"/>
      <c r="H18" s="4805"/>
      <c r="I18" s="4805"/>
      <c r="J18" s="4806"/>
      <c r="K18" s="789"/>
      <c r="L18" s="1324"/>
      <c r="M18" s="2743"/>
      <c r="N18" s="2748"/>
      <c r="O18" s="2906"/>
      <c r="P18" s="788">
        <f>N18</f>
        <v>0</v>
      </c>
      <c r="Q18" s="789"/>
      <c r="R18" s="786"/>
      <c r="S18" s="2748"/>
      <c r="U18" s="368"/>
      <c r="V18" s="541"/>
      <c r="W18" s="368"/>
      <c r="X18" s="368"/>
      <c r="Y18" s="368"/>
      <c r="Z18" s="368"/>
      <c r="AA18" s="368"/>
      <c r="AB18" s="368"/>
    </row>
    <row r="19" spans="1:28" s="1" customFormat="1" ht="30" customHeight="1" x14ac:dyDescent="0.3">
      <c r="B19" s="4099" t="s">
        <v>243</v>
      </c>
      <c r="C19" s="4802"/>
      <c r="D19" s="4803"/>
      <c r="E19" s="4803"/>
      <c r="F19" s="4803"/>
      <c r="G19" s="4803"/>
      <c r="H19" s="4803"/>
      <c r="I19" s="4803"/>
      <c r="J19" s="4804"/>
      <c r="K19" s="789"/>
      <c r="L19" s="1325"/>
      <c r="M19" s="2744"/>
      <c r="N19" s="2750"/>
      <c r="O19" s="2906"/>
      <c r="P19" s="1509">
        <f>N19</f>
        <v>0</v>
      </c>
      <c r="Q19" s="789"/>
      <c r="R19" s="3112"/>
      <c r="S19" s="2750"/>
      <c r="U19" s="368"/>
      <c r="V19" s="541"/>
      <c r="W19" s="368"/>
      <c r="X19" s="368"/>
      <c r="Y19" s="368"/>
      <c r="Z19" s="368"/>
      <c r="AA19" s="368"/>
      <c r="AB19" s="368"/>
    </row>
    <row r="20" spans="1:28" ht="3" customHeight="1" x14ac:dyDescent="0.3">
      <c r="B20" s="4"/>
      <c r="C20" s="4"/>
      <c r="D20" s="4"/>
      <c r="E20" s="469"/>
      <c r="F20" s="4"/>
      <c r="G20" s="4"/>
      <c r="H20" s="4"/>
      <c r="I20" s="4"/>
      <c r="J20" s="4"/>
      <c r="L20" s="266"/>
      <c r="M20" s="58"/>
      <c r="N20" s="58"/>
      <c r="P20" s="266"/>
      <c r="R20" s="266"/>
      <c r="S20" s="266"/>
    </row>
    <row r="21" spans="1:28" s="792" customFormat="1" ht="21.9" customHeight="1" x14ac:dyDescent="0.3">
      <c r="A21" s="81"/>
      <c r="B21" s="790"/>
      <c r="C21" s="790"/>
      <c r="D21" s="790"/>
      <c r="E21" s="791"/>
      <c r="H21" s="4116" t="s">
        <v>1310</v>
      </c>
      <c r="I21" s="4117"/>
      <c r="J21" s="4118"/>
      <c r="K21" s="81"/>
      <c r="L21" s="2384">
        <f>SUM(L10:L19)</f>
        <v>0</v>
      </c>
      <c r="M21" s="2385" t="str">
        <f>IF(L21=0," ",100%)</f>
        <v xml:space="preserve"> </v>
      </c>
      <c r="N21" s="2386">
        <f>SUM(N10:N19)</f>
        <v>0</v>
      </c>
      <c r="O21" s="2387"/>
      <c r="P21" s="2388">
        <f>SUM(P10:P19)</f>
        <v>0</v>
      </c>
      <c r="Q21" s="7"/>
      <c r="R21" s="2389">
        <f>SUM(R10:R19)</f>
        <v>0</v>
      </c>
      <c r="S21" s="2390">
        <f>SUM(S10:S19)</f>
        <v>0</v>
      </c>
      <c r="U21" s="1445"/>
      <c r="V21" s="1446"/>
      <c r="W21" s="1445"/>
      <c r="X21" s="1445"/>
      <c r="Y21" s="1445"/>
      <c r="Z21" s="1445"/>
      <c r="AA21" s="1445"/>
      <c r="AB21" s="1445"/>
    </row>
    <row r="22" spans="1:28" ht="30" customHeight="1" x14ac:dyDescent="0.3">
      <c r="I22" s="1"/>
      <c r="K22" s="168"/>
      <c r="Q22" s="168"/>
      <c r="S22" s="1"/>
    </row>
    <row r="23" spans="1:28" s="94" customFormat="1" ht="21.9" customHeight="1" x14ac:dyDescent="0.3">
      <c r="B23" s="4779" t="s">
        <v>1004</v>
      </c>
      <c r="C23" s="4780"/>
      <c r="D23" s="4780"/>
      <c r="E23" s="4780"/>
      <c r="F23" s="4780"/>
      <c r="G23" s="4780"/>
      <c r="H23" s="4780"/>
      <c r="I23" s="4780"/>
      <c r="J23" s="4781"/>
      <c r="K23" s="93"/>
      <c r="L23" s="2675" t="s">
        <v>176</v>
      </c>
      <c r="M23" s="2676" t="s">
        <v>1</v>
      </c>
      <c r="N23" s="2677" t="s">
        <v>176</v>
      </c>
      <c r="O23" s="1016"/>
      <c r="P23" s="2678" t="s">
        <v>176</v>
      </c>
      <c r="Q23" s="93"/>
      <c r="R23" s="2679" t="s">
        <v>176</v>
      </c>
      <c r="S23" s="2680" t="s">
        <v>176</v>
      </c>
      <c r="T23" s="1015"/>
      <c r="U23" s="3115"/>
      <c r="V23" s="1447"/>
      <c r="W23" s="1448"/>
      <c r="X23" s="1448"/>
      <c r="Y23" s="1448"/>
      <c r="Z23" s="1448"/>
      <c r="AA23" s="1448"/>
      <c r="AB23" s="1448"/>
    </row>
    <row r="24" spans="1:28" ht="3" customHeight="1" x14ac:dyDescent="0.3">
      <c r="A24" s="2"/>
      <c r="I24" s="1"/>
      <c r="S24" s="1"/>
    </row>
    <row r="25" spans="1:28" s="2" customFormat="1" ht="30" customHeight="1" x14ac:dyDescent="0.3">
      <c r="B25" s="4843" t="s">
        <v>470</v>
      </c>
      <c r="C25" s="4844"/>
      <c r="D25" s="4845"/>
      <c r="E25" s="4845"/>
      <c r="F25" s="4845"/>
      <c r="G25" s="4845"/>
      <c r="H25" s="4845"/>
      <c r="I25" s="4845"/>
      <c r="J25" s="4846"/>
      <c r="K25" s="466"/>
      <c r="L25" s="4862" t="str">
        <f>IF(J25=0," ",J25/J58)</f>
        <v xml:space="preserve"> </v>
      </c>
      <c r="M25" s="4863"/>
      <c r="N25" s="2852">
        <f>'Holding-prévisionnel'!J45</f>
        <v>0</v>
      </c>
      <c r="O25" s="505"/>
      <c r="P25" s="2853">
        <f>N25</f>
        <v>0</v>
      </c>
      <c r="Q25" s="466"/>
      <c r="R25" s="2858">
        <f>'Holding-prévisionnel'!K45</f>
        <v>0</v>
      </c>
      <c r="S25" s="2852">
        <f>'Holding-prévisionnel'!L45</f>
        <v>0</v>
      </c>
      <c r="T25" s="267"/>
      <c r="U25" s="1442"/>
      <c r="V25" s="1449"/>
      <c r="W25" s="1449"/>
      <c r="X25" s="1449"/>
      <c r="Y25" s="1449"/>
      <c r="Z25" s="1449"/>
      <c r="AA25" s="340"/>
      <c r="AB25" s="340"/>
    </row>
    <row r="26" spans="1:28" s="2" customFormat="1" ht="30" customHeight="1" x14ac:dyDescent="0.3">
      <c r="B26" s="4847" t="s">
        <v>1185</v>
      </c>
      <c r="C26" s="4607"/>
      <c r="D26" s="4607"/>
      <c r="E26" s="4607"/>
      <c r="F26" s="4607"/>
      <c r="G26" s="4607"/>
      <c r="H26" s="4607"/>
      <c r="I26" s="4607"/>
      <c r="J26" s="4608"/>
      <c r="K26" s="466"/>
      <c r="L26" s="2851">
        <f>remontée_tréso</f>
        <v>0</v>
      </c>
      <c r="M26" s="2687" t="str">
        <f>IF(L26=0," ",L26/$L$60)</f>
        <v xml:space="preserve"> </v>
      </c>
      <c r="N26" s="2752"/>
      <c r="O26" s="505"/>
      <c r="P26" s="2854">
        <f>L26</f>
        <v>0</v>
      </c>
      <c r="Q26" s="466"/>
      <c r="R26" s="2688"/>
      <c r="S26" s="2752"/>
      <c r="T26" s="267"/>
      <c r="U26" s="1442"/>
      <c r="V26" s="1449"/>
      <c r="W26" s="1449"/>
      <c r="X26" s="1449"/>
      <c r="Y26" s="1449"/>
      <c r="Z26" s="1449"/>
      <c r="AA26" s="340"/>
      <c r="AB26" s="340"/>
    </row>
    <row r="27" spans="1:28" s="267" customFormat="1" ht="30" customHeight="1" x14ac:dyDescent="0.3">
      <c r="A27" s="2"/>
      <c r="B27" s="4849" t="s">
        <v>1174</v>
      </c>
      <c r="C27" s="4850"/>
      <c r="D27" s="4850"/>
      <c r="E27" s="4850"/>
      <c r="F27" s="4850"/>
      <c r="G27" s="4850"/>
      <c r="H27" s="4850"/>
      <c r="I27" s="4850"/>
      <c r="J27" s="4851"/>
      <c r="K27" s="467"/>
      <c r="L27" s="4866" t="str">
        <f>IF(J27=0," ",J27/J60)</f>
        <v xml:space="preserve"> </v>
      </c>
      <c r="M27" s="4867"/>
      <c r="N27" s="2856">
        <f>IF(cafnet_1_holding&lt;=0,0,cafnet_1_holding)</f>
        <v>0</v>
      </c>
      <c r="O27" s="503"/>
      <c r="P27" s="2854">
        <f>N27</f>
        <v>0</v>
      </c>
      <c r="Q27" s="467"/>
      <c r="R27" s="2851">
        <f>IF(cafnet_2_holding&lt;=0,0,cafnet_2_holding)</f>
        <v>0</v>
      </c>
      <c r="S27" s="2856">
        <f>IF(cafnet_3_holding&lt;=0,0,cafnet_3_holding)</f>
        <v>0</v>
      </c>
      <c r="U27" s="1442"/>
      <c r="V27" s="541"/>
      <c r="W27" s="541"/>
      <c r="X27" s="541"/>
      <c r="Y27" s="541"/>
      <c r="Z27" s="541"/>
      <c r="AA27" s="1442"/>
      <c r="AB27" s="1442"/>
    </row>
    <row r="28" spans="1:28" s="2" customFormat="1" ht="30" customHeight="1" x14ac:dyDescent="0.3">
      <c r="B28" s="4839" t="s">
        <v>245</v>
      </c>
      <c r="C28" s="4840"/>
      <c r="D28" s="4841"/>
      <c r="E28" s="4841"/>
      <c r="F28" s="4841"/>
      <c r="G28" s="4841"/>
      <c r="H28" s="4841"/>
      <c r="I28" s="4841"/>
      <c r="J28" s="4842"/>
      <c r="K28" s="466"/>
      <c r="L28" s="2685"/>
      <c r="M28" s="2686" t="str">
        <f>IF(J28=0," ",J28/J60)</f>
        <v xml:space="preserve"> </v>
      </c>
      <c r="N28" s="2857"/>
      <c r="O28" s="505"/>
      <c r="P28" s="2855">
        <f>N28</f>
        <v>0</v>
      </c>
      <c r="Q28" s="466"/>
      <c r="R28" s="2859"/>
      <c r="S28" s="2857"/>
      <c r="T28" s="267"/>
      <c r="U28" s="1442"/>
      <c r="V28" s="1449"/>
      <c r="W28" s="1449"/>
      <c r="X28" s="1449"/>
      <c r="Y28" s="1449"/>
      <c r="Z28" s="1449"/>
      <c r="AA28" s="340"/>
      <c r="AB28" s="340"/>
    </row>
    <row r="29" spans="1:28" ht="3" customHeight="1" x14ac:dyDescent="0.3">
      <c r="I29" s="1"/>
      <c r="L29" s="508"/>
      <c r="M29" s="509"/>
      <c r="N29" s="509"/>
      <c r="P29" s="508"/>
      <c r="R29" s="508"/>
      <c r="S29" s="508"/>
    </row>
    <row r="30" spans="1:28" s="183" customFormat="1" ht="21.9" customHeight="1" x14ac:dyDescent="0.25">
      <c r="B30" s="179"/>
      <c r="C30" s="179"/>
      <c r="D30" s="179"/>
      <c r="E30" s="597"/>
      <c r="F30" s="4852" t="s">
        <v>889</v>
      </c>
      <c r="G30" s="4853"/>
      <c r="H30" s="4853"/>
      <c r="I30" s="4853"/>
      <c r="J30" s="4551"/>
      <c r="K30" s="6"/>
      <c r="L30" s="1479">
        <f>L21-L26-L28</f>
        <v>0</v>
      </c>
      <c r="M30" s="2751" t="str">
        <f>IF(ISERROR(IF(L30&lt;=0," ",L30/L21))," ",IF(L30&lt;=0," ",L30/L21))</f>
        <v xml:space="preserve"> </v>
      </c>
      <c r="N30" s="2753">
        <f>N21-N25-M27-N28</f>
        <v>0</v>
      </c>
      <c r="O30" s="506"/>
      <c r="P30" s="709">
        <f>P21-P25-P26-P27-P28</f>
        <v>0</v>
      </c>
      <c r="Q30" s="6"/>
      <c r="R30" s="1479">
        <f>R21-R25-R27-R28</f>
        <v>0</v>
      </c>
      <c r="S30" s="2753">
        <f>S21-S25-S27-S28</f>
        <v>0</v>
      </c>
      <c r="U30" s="1450"/>
      <c r="V30" s="1451"/>
      <c r="W30" s="1451"/>
      <c r="X30" s="1451"/>
      <c r="Y30" s="1451"/>
      <c r="Z30" s="1451"/>
      <c r="AA30" s="1450"/>
      <c r="AB30" s="1450"/>
    </row>
    <row r="31" spans="1:28" s="2" customFormat="1" ht="20.100000000000001" customHeight="1" x14ac:dyDescent="0.3">
      <c r="B31" s="180"/>
      <c r="C31" s="180"/>
      <c r="D31" s="180"/>
      <c r="E31" s="470"/>
      <c r="F31" s="180"/>
      <c r="G31" s="180"/>
      <c r="H31" s="180"/>
      <c r="I31" s="180"/>
      <c r="J31" s="268"/>
      <c r="K31" s="182"/>
      <c r="L31" s="4868" t="str">
        <f>IF(L30&gt;0,"Besoin de financement",IF(L30&lt;0,"Excédent de financement"," "))</f>
        <v xml:space="preserve"> </v>
      </c>
      <c r="M31" s="4868"/>
      <c r="N31" s="1315"/>
      <c r="O31" s="505"/>
      <c r="P31" s="2630" t="str">
        <f>IF(P30&gt;0,"Besoin",IF(P30&lt;0,"Excédent"," "))</f>
        <v xml:space="preserve"> </v>
      </c>
      <c r="Q31" s="182"/>
      <c r="R31" s="2630" t="str">
        <f>IF(R30&gt;0,"Besoin",IF(R30&lt;0,"Excédent"," "))</f>
        <v xml:space="preserve"> </v>
      </c>
      <c r="S31" s="2630" t="str">
        <f>IF(S30&gt;0,"Besoin",IF(S30&lt;0,"Excédent"," "))</f>
        <v xml:space="preserve"> </v>
      </c>
      <c r="U31" s="340"/>
      <c r="V31" s="1449"/>
      <c r="W31" s="1449"/>
      <c r="X31" s="1449"/>
      <c r="Y31" s="1449"/>
      <c r="Z31" s="1449"/>
      <c r="AA31" s="340"/>
      <c r="AB31" s="340"/>
    </row>
    <row r="32" spans="1:28" s="183" customFormat="1" ht="6" customHeight="1" x14ac:dyDescent="0.25">
      <c r="B32" s="179"/>
      <c r="C32" s="179"/>
      <c r="D32" s="179"/>
      <c r="E32" s="471"/>
      <c r="F32" s="179"/>
      <c r="G32" s="179"/>
      <c r="H32" s="179"/>
      <c r="I32" s="179"/>
      <c r="J32" s="194"/>
      <c r="K32" s="181"/>
      <c r="L32" s="6"/>
      <c r="M32" s="6"/>
      <c r="N32" s="6"/>
      <c r="O32" s="506"/>
      <c r="P32" s="6"/>
      <c r="Q32" s="181"/>
      <c r="R32" s="6"/>
      <c r="S32" s="6"/>
      <c r="U32" s="1450"/>
      <c r="V32" s="1451"/>
      <c r="W32" s="1451"/>
      <c r="X32" s="1451"/>
      <c r="Y32" s="1451"/>
      <c r="Z32" s="1451"/>
      <c r="AA32" s="1450"/>
      <c r="AB32" s="1450"/>
    </row>
    <row r="33" spans="1:30" s="183" customFormat="1" ht="20.100000000000001" customHeight="1" x14ac:dyDescent="0.25">
      <c r="B33" s="4848" t="s">
        <v>901</v>
      </c>
      <c r="C33" s="3498"/>
      <c r="D33" s="3498"/>
      <c r="E33" s="3498"/>
      <c r="F33" s="3498"/>
      <c r="G33" s="2983"/>
      <c r="H33" s="2628"/>
      <c r="I33" s="179"/>
      <c r="J33" s="194"/>
      <c r="K33" s="181"/>
      <c r="O33" s="506"/>
      <c r="Q33" s="181"/>
      <c r="R33" s="6"/>
      <c r="S33" s="6"/>
      <c r="U33" s="1450"/>
      <c r="V33" s="1451"/>
      <c r="W33" s="1451"/>
      <c r="X33" s="1451"/>
      <c r="Y33" s="1451"/>
      <c r="Z33" s="1451"/>
      <c r="AA33" s="1450"/>
      <c r="AB33" s="1450"/>
    </row>
    <row r="34" spans="1:30" ht="30" customHeight="1" x14ac:dyDescent="0.3">
      <c r="B34" s="2681" t="s">
        <v>823</v>
      </c>
      <c r="C34" s="2998" t="s">
        <v>822</v>
      </c>
      <c r="D34" s="4835" t="s">
        <v>538</v>
      </c>
      <c r="E34" s="4836"/>
      <c r="F34" s="4836"/>
      <c r="G34" s="2993"/>
      <c r="H34" s="4833" t="s">
        <v>351</v>
      </c>
      <c r="I34" s="4833" t="s">
        <v>352</v>
      </c>
      <c r="J34" s="4869" t="s">
        <v>664</v>
      </c>
      <c r="K34" s="2"/>
      <c r="L34" s="4812" t="s">
        <v>176</v>
      </c>
      <c r="M34" s="4856" t="s">
        <v>560</v>
      </c>
      <c r="N34" s="4827" t="s">
        <v>176</v>
      </c>
      <c r="P34" s="4854" t="s">
        <v>176</v>
      </c>
      <c r="Q34" s="2"/>
      <c r="R34" s="4814" t="s">
        <v>176</v>
      </c>
      <c r="S34" s="4827" t="s">
        <v>176</v>
      </c>
    </row>
    <row r="35" spans="1:30" ht="20.100000000000001" customHeight="1" x14ac:dyDescent="0.3">
      <c r="B35" s="2691" t="s">
        <v>176</v>
      </c>
      <c r="C35" s="2999" t="s">
        <v>176</v>
      </c>
      <c r="D35" s="4837"/>
      <c r="E35" s="4838"/>
      <c r="F35" s="4838"/>
      <c r="G35" s="2994"/>
      <c r="H35" s="4834"/>
      <c r="I35" s="4834"/>
      <c r="J35" s="4870"/>
      <c r="K35" s="2"/>
      <c r="L35" s="4813"/>
      <c r="M35" s="4857"/>
      <c r="N35" s="4828"/>
      <c r="P35" s="4855"/>
      <c r="Q35" s="2"/>
      <c r="R35" s="4815"/>
      <c r="S35" s="4828"/>
    </row>
    <row r="36" spans="1:30" ht="20.100000000000001" customHeight="1" x14ac:dyDescent="0.3">
      <c r="B36" s="2997"/>
      <c r="C36" s="2690"/>
      <c r="D36" s="2860" t="s">
        <v>248</v>
      </c>
      <c r="E36" s="4831"/>
      <c r="F36" s="4214"/>
      <c r="G36" s="2988"/>
      <c r="H36" s="2861"/>
      <c r="I36" s="2862"/>
      <c r="J36" s="2863">
        <f>SUM(H36:I36)</f>
        <v>0</v>
      </c>
      <c r="K36" s="2"/>
      <c r="L36" s="2867">
        <f>J36</f>
        <v>0</v>
      </c>
      <c r="M36" s="2394">
        <f>IF(ISERROR((B36+C36+H36)/capital_holding),0,(B36+C36+H36)/capital_holding)</f>
        <v>0</v>
      </c>
      <c r="N36" s="2868"/>
      <c r="P36" s="2870">
        <f>L36+N36</f>
        <v>0</v>
      </c>
      <c r="Q36" s="2"/>
      <c r="R36" s="2871"/>
      <c r="S36" s="2868"/>
    </row>
    <row r="37" spans="1:30" ht="20.100000000000001" customHeight="1" x14ac:dyDescent="0.3">
      <c r="B37" s="2872"/>
      <c r="C37" s="2689"/>
      <c r="D37" s="4741" t="s">
        <v>354</v>
      </c>
      <c r="E37" s="4200"/>
      <c r="F37" s="4200"/>
      <c r="G37" s="4742"/>
      <c r="H37" s="2864"/>
      <c r="I37" s="2865"/>
      <c r="J37" s="2866">
        <f>SUM(H37:I37)</f>
        <v>0</v>
      </c>
      <c r="K37" s="2"/>
      <c r="L37" s="2851">
        <f>J37</f>
        <v>0</v>
      </c>
      <c r="M37" s="2682">
        <f>IF(ISERROR((B37+C37+H37)/capital_holding),0,(B37+C37+H37)/capital_holding)</f>
        <v>0</v>
      </c>
      <c r="N37" s="2869"/>
      <c r="P37" s="2854">
        <f>L37+N37</f>
        <v>0</v>
      </c>
      <c r="Q37" s="2"/>
      <c r="R37" s="2872"/>
      <c r="S37" s="2869"/>
    </row>
    <row r="38" spans="1:30" ht="20.100000000000001" customHeight="1" x14ac:dyDescent="0.3">
      <c r="B38" s="2872"/>
      <c r="C38" s="2689"/>
      <c r="D38" s="4743"/>
      <c r="E38" s="4607"/>
      <c r="F38" s="4607"/>
      <c r="G38" s="4742"/>
      <c r="H38" s="2864"/>
      <c r="I38" s="2865"/>
      <c r="J38" s="2866">
        <f>SUM(H38:I38)</f>
        <v>0</v>
      </c>
      <c r="K38" s="2"/>
      <c r="L38" s="2851">
        <f>J38</f>
        <v>0</v>
      </c>
      <c r="M38" s="2683">
        <f>IF(ISERROR((B38+C38+H38)/capital_holding),0,(B38+C38+H38)/capital_holding)</f>
        <v>0</v>
      </c>
      <c r="N38" s="2869"/>
      <c r="P38" s="2854">
        <f>L38+N38</f>
        <v>0</v>
      </c>
      <c r="Q38" s="2"/>
      <c r="R38" s="2872"/>
      <c r="S38" s="2869"/>
    </row>
    <row r="39" spans="1:30" ht="20.100000000000001" customHeight="1" x14ac:dyDescent="0.3">
      <c r="B39" s="2872"/>
      <c r="C39" s="2689"/>
      <c r="D39" s="4743"/>
      <c r="E39" s="4607"/>
      <c r="F39" s="4607"/>
      <c r="G39" s="4742"/>
      <c r="H39" s="2864"/>
      <c r="I39" s="2865"/>
      <c r="J39" s="2866">
        <f>SUM(H39:I39)</f>
        <v>0</v>
      </c>
      <c r="K39" s="2"/>
      <c r="L39" s="2851">
        <f>J39</f>
        <v>0</v>
      </c>
      <c r="M39" s="2682">
        <f>IF(ISERROR((B39+C39+H39)/capital_holding),0,(B39+C39+H39)/capital_holding)</f>
        <v>0</v>
      </c>
      <c r="N39" s="2869"/>
      <c r="P39" s="2854">
        <f>L39+N39</f>
        <v>0</v>
      </c>
      <c r="Q39" s="2"/>
      <c r="R39" s="2872"/>
      <c r="S39" s="2869"/>
    </row>
    <row r="40" spans="1:30" ht="20.100000000000001" customHeight="1" x14ac:dyDescent="0.3">
      <c r="B40" s="3106"/>
      <c r="C40" s="3121"/>
      <c r="D40" s="4744" t="s">
        <v>202</v>
      </c>
      <c r="E40" s="4745"/>
      <c r="F40" s="4745"/>
      <c r="G40" s="4746"/>
      <c r="H40" s="3122"/>
      <c r="I40" s="3123"/>
      <c r="J40" s="3124">
        <f>SUM(H40:I40)</f>
        <v>0</v>
      </c>
      <c r="K40" s="2"/>
      <c r="L40" s="3072">
        <f>J40</f>
        <v>0</v>
      </c>
      <c r="M40" s="3125">
        <f>IF(ISERROR((B40+C40+H40)/capital_holding),0,(B40+C40+H40)/capital_holding)</f>
        <v>0</v>
      </c>
      <c r="N40" s="3126"/>
      <c r="O40" s="3120" t="e">
        <f>ROUNDDOWN(IF((#REF!+#REF!)&lt;=capital_holding*40%,0,(capital_holding-#REF!-#REF!)*66.6667%),-1)</f>
        <v>#REF!</v>
      </c>
      <c r="P40" s="3109">
        <f>capital_hk_2</f>
        <v>0</v>
      </c>
      <c r="Q40" s="2"/>
      <c r="R40" s="4737"/>
      <c r="S40" s="4738"/>
      <c r="U40" s="1014" t="str">
        <f>IF((B40+H40)&lt;=capital_holding*40%," "," la participation de Herrikoa est limité à 40% du montant total du capital, soit, en valeur nominale :")</f>
        <v xml:space="preserve"> </v>
      </c>
      <c r="V40" s="515">
        <f>ROUNDDOWN(IF((B40+H40)&lt;=capital_holding*40%,0,(capital_holding-H40-B40)*66.6667%),-1)</f>
        <v>0</v>
      </c>
      <c r="W40" s="1452"/>
      <c r="X40" s="1452"/>
      <c r="Y40" s="1452"/>
      <c r="Z40" s="1453"/>
      <c r="AA40" s="1452"/>
      <c r="AB40" s="1452"/>
      <c r="AC40" s="1329"/>
      <c r="AD40" s="1329"/>
    </row>
    <row r="41" spans="1:30" s="267" customFormat="1" ht="3" customHeight="1" x14ac:dyDescent="0.3">
      <c r="A41" s="1"/>
      <c r="B41" s="1"/>
      <c r="C41" s="1"/>
      <c r="D41" s="1"/>
      <c r="E41" s="203"/>
      <c r="F41" s="1"/>
      <c r="G41" s="1"/>
      <c r="H41" s="1"/>
      <c r="I41" s="2"/>
      <c r="J41" s="1"/>
      <c r="K41" s="1"/>
      <c r="L41" s="1"/>
      <c r="M41" s="1"/>
      <c r="N41" s="1"/>
      <c r="O41" s="503"/>
      <c r="P41" s="1"/>
      <c r="Q41" s="1"/>
      <c r="R41" s="1"/>
      <c r="V41" s="503"/>
      <c r="W41" s="503"/>
      <c r="X41" s="503"/>
      <c r="Y41" s="503"/>
      <c r="Z41" s="503"/>
    </row>
    <row r="42" spans="1:30" ht="21.9" customHeight="1" x14ac:dyDescent="0.3">
      <c r="B42" s="3058">
        <f>SUM(B36:B40)</f>
        <v>0</v>
      </c>
      <c r="C42" s="3059">
        <f>SUM(C36:C40)</f>
        <v>0</v>
      </c>
      <c r="D42" s="4817" t="s">
        <v>820</v>
      </c>
      <c r="E42" s="4818"/>
      <c r="F42" s="3074">
        <f>B42+C42+SUM(H36:H40)</f>
        <v>0</v>
      </c>
      <c r="G42" s="3133"/>
      <c r="H42" s="4237" t="s">
        <v>1307</v>
      </c>
      <c r="I42" s="4238"/>
      <c r="J42" s="4239"/>
      <c r="K42" s="265"/>
      <c r="L42" s="3000">
        <f>SUM(L36:L40)</f>
        <v>0</v>
      </c>
      <c r="M42" s="3044" t="str">
        <f>IF(L42=0," ",L42/L60)</f>
        <v xml:space="preserve"> </v>
      </c>
      <c r="N42" s="3030">
        <f>SUM(N36:N40)</f>
        <v>0</v>
      </c>
      <c r="O42" s="2684" t="e">
        <f>IF(O40=0,0,O40-#REF!)</f>
        <v>#REF!</v>
      </c>
      <c r="P42" s="3102">
        <f>SUM(P36:P40)</f>
        <v>0</v>
      </c>
      <c r="Q42" s="265"/>
      <c r="R42" s="3000">
        <f>SUM(R36:R40)</f>
        <v>0</v>
      </c>
      <c r="S42" s="3030">
        <f>SUM(S36:S40)</f>
        <v>0</v>
      </c>
      <c r="U42" s="1017" t="str">
        <f>IF(M40&lt;=40%," "," sauf apports supplémentaires des autres associés, le complément d'apport de Herrikoa est limité à :")</f>
        <v xml:space="preserve"> </v>
      </c>
      <c r="V42" s="515">
        <f>IF(V40=0,0,V40-B40)</f>
        <v>0</v>
      </c>
    </row>
    <row r="43" spans="1:30" ht="3" customHeight="1" x14ac:dyDescent="0.3">
      <c r="I43" s="1"/>
      <c r="L43" s="266"/>
      <c r="M43" s="58"/>
      <c r="N43" s="58"/>
      <c r="P43" s="266"/>
      <c r="R43" s="266"/>
      <c r="S43" s="266"/>
    </row>
    <row r="44" spans="1:30" s="183" customFormat="1" ht="21.9" customHeight="1" x14ac:dyDescent="0.25">
      <c r="C44" s="3127" t="str">
        <f>IF(C42&gt;0," le montant de la réduction de K doit être négatif"," ")</f>
        <v xml:space="preserve"> </v>
      </c>
      <c r="G44" s="3065"/>
      <c r="H44" s="4111" t="s">
        <v>1308</v>
      </c>
      <c r="I44" s="4112"/>
      <c r="J44" s="4113"/>
      <c r="K44" s="6"/>
      <c r="L44" s="1479">
        <f>L30-L42</f>
        <v>0</v>
      </c>
      <c r="M44" s="2751" t="str">
        <f>IF(ISERROR(IF(L44&lt;=0," ",L44/L21))," ",IF(L44&lt;=0," ",L44/L21))</f>
        <v xml:space="preserve"> </v>
      </c>
      <c r="N44" s="2753">
        <f>N30-N42</f>
        <v>0</v>
      </c>
      <c r="O44" s="506"/>
      <c r="P44" s="709">
        <f>P30-P42</f>
        <v>0</v>
      </c>
      <c r="Q44" s="6"/>
      <c r="R44" s="1479">
        <f>R30-R42</f>
        <v>0</v>
      </c>
      <c r="S44" s="2753">
        <f>S30-S42</f>
        <v>0</v>
      </c>
      <c r="U44" s="1450"/>
      <c r="V44" s="1451"/>
      <c r="W44" s="1451"/>
      <c r="X44" s="1451"/>
      <c r="Y44" s="1451"/>
      <c r="Z44" s="1451"/>
      <c r="AA44" s="1450"/>
      <c r="AB44" s="1450"/>
    </row>
    <row r="45" spans="1:30" s="267" customFormat="1" ht="3" customHeight="1" x14ac:dyDescent="0.3">
      <c r="A45" s="1"/>
      <c r="B45" s="1"/>
      <c r="C45" s="1"/>
      <c r="D45" s="1"/>
      <c r="E45" s="203"/>
      <c r="F45" s="1"/>
      <c r="G45" s="1"/>
      <c r="H45" s="1"/>
      <c r="I45" s="2"/>
      <c r="J45" s="1"/>
      <c r="K45" s="1"/>
      <c r="L45" s="1"/>
      <c r="M45" s="1"/>
      <c r="N45" s="1"/>
      <c r="O45" s="503"/>
      <c r="P45" s="1"/>
      <c r="Q45" s="1"/>
      <c r="R45" s="1"/>
      <c r="V45" s="503"/>
      <c r="W45" s="503"/>
      <c r="X45" s="503"/>
      <c r="Y45" s="503"/>
      <c r="Z45" s="503"/>
    </row>
    <row r="46" spans="1:30" s="2" customFormat="1" ht="20.100000000000001" customHeight="1" x14ac:dyDescent="0.3">
      <c r="B46" s="4832" t="str">
        <f>IF(F46=0," "," Montant du capital inscrit dans l'onglet ""Rachat ou reprise"" :")</f>
        <v xml:space="preserve"> </v>
      </c>
      <c r="C46" s="4832"/>
      <c r="D46" s="4832"/>
      <c r="E46" s="4832"/>
      <c r="F46" s="3134">
        <f>IF(OR(capital_holding=0,capital_holding=k_holding),0,k_holding)</f>
        <v>0</v>
      </c>
      <c r="G46" s="3132"/>
      <c r="H46" s="3135" t="str">
        <f>IF(I46=0," ","Ecart :")</f>
        <v xml:space="preserve"> </v>
      </c>
      <c r="I46" s="3136">
        <f>IF(OR(capital_holding=0,capital_holding=k_holding),0,capital_holding-k_holding)</f>
        <v>0</v>
      </c>
      <c r="J46" s="268"/>
      <c r="K46" s="182"/>
      <c r="L46" s="4173" t="str">
        <f>IF(L44&gt;0,"Besoin de financement",IF(L44&lt;0,"Excédent de financement"," "))</f>
        <v xml:space="preserve"> </v>
      </c>
      <c r="M46" s="4173"/>
      <c r="N46" s="1327"/>
      <c r="O46" s="1327"/>
      <c r="P46" s="2630" t="str">
        <f>IF(P44&gt;0,"Besoin",IF(P44&lt;0,"Excédent"," "))</f>
        <v xml:space="preserve"> </v>
      </c>
      <c r="Q46" s="182"/>
      <c r="R46" s="2630" t="str">
        <f>IF(R44&gt;0,"Besoin",IF(R44&lt;0,"Excédent"," "))</f>
        <v xml:space="preserve"> </v>
      </c>
      <c r="S46" s="2630" t="str">
        <f>IF(S44&gt;0,"Besoin",IF(S44&lt;0,"Excédent"," "))</f>
        <v xml:space="preserve"> </v>
      </c>
      <c r="U46" s="340"/>
      <c r="V46" s="1449"/>
      <c r="W46" s="1449"/>
      <c r="X46" s="1449"/>
      <c r="Y46" s="1449"/>
      <c r="Z46" s="1449"/>
      <c r="AA46" s="340"/>
      <c r="AB46" s="340"/>
    </row>
    <row r="47" spans="1:30" ht="9" customHeight="1" x14ac:dyDescent="0.3">
      <c r="B47" s="2"/>
      <c r="C47" s="2"/>
      <c r="D47" s="2"/>
      <c r="E47" s="168"/>
      <c r="F47" s="168"/>
      <c r="G47" s="168"/>
      <c r="K47" s="1437"/>
      <c r="Q47" s="1437"/>
      <c r="S47" s="1014"/>
      <c r="T47" s="1438"/>
      <c r="U47" s="1014"/>
    </row>
    <row r="48" spans="1:30" ht="20.100000000000001" customHeight="1" x14ac:dyDescent="0.3">
      <c r="B48" s="2692" t="s">
        <v>900</v>
      </c>
      <c r="C48" s="807"/>
      <c r="E48" s="168"/>
      <c r="I48" s="4864" t="s">
        <v>1002</v>
      </c>
      <c r="J48" s="4864"/>
      <c r="K48" s="464"/>
      <c r="L48" s="4865" t="s">
        <v>1186</v>
      </c>
      <c r="M48" s="4865"/>
      <c r="N48" s="4865"/>
      <c r="O48" s="4865"/>
      <c r="P48" s="4865"/>
      <c r="Q48" s="4865"/>
      <c r="R48" s="4865"/>
      <c r="S48" s="3399"/>
      <c r="U48" s="1468"/>
      <c r="Z48" s="1442"/>
      <c r="AB48" s="267"/>
      <c r="AD48" s="168"/>
    </row>
    <row r="49" spans="1:30" ht="20.100000000000001" customHeight="1" x14ac:dyDescent="0.3">
      <c r="B49" s="4819" t="s">
        <v>306</v>
      </c>
      <c r="C49" s="4820"/>
      <c r="D49" s="4821"/>
      <c r="E49" s="4757" t="s">
        <v>307</v>
      </c>
      <c r="F49" s="4758"/>
      <c r="G49" s="4759"/>
      <c r="H49" s="4816" t="s">
        <v>294</v>
      </c>
      <c r="I49" s="4816"/>
      <c r="J49" s="2693" t="s">
        <v>442</v>
      </c>
      <c r="K49" s="4"/>
      <c r="L49" s="4812" t="s">
        <v>176</v>
      </c>
      <c r="M49" s="4856" t="s">
        <v>305</v>
      </c>
      <c r="N49" s="4827" t="s">
        <v>176</v>
      </c>
      <c r="O49" s="520">
        <f t="shared" ref="O49:O56" ca="1" si="2">SUMIF($E$51:$F$56,"="&amp;N49,D$51:D$56)</f>
        <v>0</v>
      </c>
      <c r="P49" s="4854" t="s">
        <v>176</v>
      </c>
      <c r="Q49" s="4"/>
      <c r="R49" s="4814" t="s">
        <v>176</v>
      </c>
      <c r="S49" s="4827" t="s">
        <v>176</v>
      </c>
      <c r="U49" s="267"/>
      <c r="V49" s="503"/>
      <c r="W49" s="503"/>
      <c r="X49" s="503"/>
      <c r="Y49" s="503"/>
      <c r="Z49" s="267"/>
      <c r="AB49" s="267"/>
      <c r="AD49" s="168"/>
    </row>
    <row r="50" spans="1:30" ht="20.100000000000001" customHeight="1" x14ac:dyDescent="0.3">
      <c r="B50" s="4822"/>
      <c r="C50" s="4823"/>
      <c r="D50" s="4824"/>
      <c r="E50" s="4760"/>
      <c r="F50" s="4761"/>
      <c r="G50" s="4762"/>
      <c r="H50" s="3103" t="s">
        <v>308</v>
      </c>
      <c r="I50" s="3104" t="s">
        <v>295</v>
      </c>
      <c r="J50" s="2694" t="s">
        <v>443</v>
      </c>
      <c r="K50" s="4"/>
      <c r="L50" s="4813"/>
      <c r="M50" s="4857"/>
      <c r="N50" s="4828"/>
      <c r="O50" s="520">
        <f t="shared" ca="1" si="2"/>
        <v>0</v>
      </c>
      <c r="P50" s="4855"/>
      <c r="Q50" s="4"/>
      <c r="R50" s="4815"/>
      <c r="S50" s="4828"/>
      <c r="U50" s="267"/>
      <c r="V50" s="503"/>
      <c r="W50" s="503"/>
      <c r="X50" s="503"/>
      <c r="Y50" s="503"/>
      <c r="Z50" s="267"/>
      <c r="AB50" s="267"/>
      <c r="AD50" s="168"/>
    </row>
    <row r="51" spans="1:30" s="468" customFormat="1" ht="20.100000000000001" customHeight="1" x14ac:dyDescent="0.3">
      <c r="B51" s="2873" t="s">
        <v>248</v>
      </c>
      <c r="C51" s="2860"/>
      <c r="D51" s="2860"/>
      <c r="E51" s="4763"/>
      <c r="F51" s="4764"/>
      <c r="G51" s="4765"/>
      <c r="H51" s="3137"/>
      <c r="I51" s="2653"/>
      <c r="J51" s="2874"/>
      <c r="L51" s="2871"/>
      <c r="M51" s="2695"/>
      <c r="N51" s="2868"/>
      <c r="O51" s="520">
        <f t="shared" ca="1" si="2"/>
        <v>0</v>
      </c>
      <c r="P51" s="2870">
        <f>IF(ISERROR(L51+N51),0,L51+N51)</f>
        <v>0</v>
      </c>
      <c r="R51" s="2871"/>
      <c r="S51" s="2868"/>
      <c r="T51" s="1"/>
      <c r="U51" s="1"/>
      <c r="V51" s="1"/>
      <c r="W51" s="1"/>
      <c r="X51" s="1"/>
      <c r="Y51" s="1"/>
      <c r="Z51" s="1"/>
      <c r="AA51" s="368"/>
      <c r="AB51" s="1"/>
      <c r="AC51" s="1"/>
    </row>
    <row r="52" spans="1:30" s="468" customFormat="1" ht="20.100000000000001" customHeight="1" x14ac:dyDescent="0.3">
      <c r="B52" s="4829" t="s">
        <v>353</v>
      </c>
      <c r="C52" s="4830"/>
      <c r="D52" s="4830"/>
      <c r="E52" s="4747"/>
      <c r="F52" s="4748"/>
      <c r="G52" s="4749"/>
      <c r="H52" s="3138"/>
      <c r="I52" s="2655"/>
      <c r="J52" s="2875"/>
      <c r="L52" s="2872"/>
      <c r="M52" s="2696"/>
      <c r="N52" s="2869"/>
      <c r="O52" s="520">
        <f t="shared" ca="1" si="2"/>
        <v>0</v>
      </c>
      <c r="P52" s="2854">
        <f>IF(ISERROR(L52+N52),0,L52+N52)</f>
        <v>0</v>
      </c>
      <c r="R52" s="2872"/>
      <c r="S52" s="2869"/>
      <c r="T52" s="1"/>
      <c r="U52" s="1"/>
      <c r="V52" s="1"/>
      <c r="W52" s="1"/>
      <c r="X52" s="1"/>
      <c r="Y52" s="1"/>
      <c r="Z52" s="1"/>
      <c r="AA52" s="368"/>
      <c r="AB52" s="1"/>
      <c r="AC52" s="1"/>
    </row>
    <row r="53" spans="1:30" s="468" customFormat="1" ht="20.100000000000001" customHeight="1" x14ac:dyDescent="0.3">
      <c r="B53" s="4825"/>
      <c r="C53" s="4826"/>
      <c r="D53" s="4826"/>
      <c r="E53" s="4747"/>
      <c r="F53" s="4748"/>
      <c r="G53" s="4749"/>
      <c r="H53" s="3138"/>
      <c r="I53" s="2655"/>
      <c r="J53" s="2875"/>
      <c r="L53" s="2872"/>
      <c r="M53" s="2696"/>
      <c r="N53" s="2869"/>
      <c r="O53" s="520">
        <f t="shared" ca="1" si="2"/>
        <v>0</v>
      </c>
      <c r="P53" s="2854">
        <f>IF(ISERROR(L53+N53),0,L53+N53)</f>
        <v>0</v>
      </c>
      <c r="R53" s="2872"/>
      <c r="S53" s="2869"/>
      <c r="T53" s="1"/>
      <c r="U53" s="1"/>
      <c r="V53" s="1"/>
      <c r="W53" s="1"/>
      <c r="X53" s="1"/>
      <c r="Y53" s="1"/>
      <c r="Z53" s="1"/>
      <c r="AA53" s="368"/>
      <c r="AB53" s="1"/>
      <c r="AC53" s="1"/>
    </row>
    <row r="54" spans="1:30" s="468" customFormat="1" ht="20.100000000000001" customHeight="1" x14ac:dyDescent="0.3">
      <c r="B54" s="4825"/>
      <c r="C54" s="4826"/>
      <c r="D54" s="4826"/>
      <c r="E54" s="4747"/>
      <c r="F54" s="4748"/>
      <c r="G54" s="4749"/>
      <c r="H54" s="3138"/>
      <c r="I54" s="2655"/>
      <c r="J54" s="2875"/>
      <c r="L54" s="2872"/>
      <c r="M54" s="2696"/>
      <c r="N54" s="2869"/>
      <c r="O54" s="520">
        <f t="shared" ca="1" si="2"/>
        <v>0</v>
      </c>
      <c r="P54" s="2854">
        <f>IF(ISERROR(L54+N54),0,L54+N54)</f>
        <v>0</v>
      </c>
      <c r="R54" s="2872"/>
      <c r="S54" s="2869"/>
      <c r="T54" s="1"/>
      <c r="U54" s="1"/>
      <c r="V54" s="1"/>
      <c r="W54" s="1"/>
      <c r="X54" s="1"/>
      <c r="Y54" s="1"/>
      <c r="Z54" s="1"/>
      <c r="AA54" s="368"/>
      <c r="AB54" s="1"/>
      <c r="AC54" s="1"/>
    </row>
    <row r="55" spans="1:30" s="468" customFormat="1" ht="20.100000000000001" customHeight="1" x14ac:dyDescent="0.3">
      <c r="B55" s="4825"/>
      <c r="C55" s="4826"/>
      <c r="D55" s="4826"/>
      <c r="E55" s="4747"/>
      <c r="F55" s="4748"/>
      <c r="G55" s="4749"/>
      <c r="H55" s="3138"/>
      <c r="I55" s="2655"/>
      <c r="J55" s="2875"/>
      <c r="L55" s="2872"/>
      <c r="M55" s="2696"/>
      <c r="N55" s="2869"/>
      <c r="O55" s="520">
        <f t="shared" ca="1" si="2"/>
        <v>0</v>
      </c>
      <c r="P55" s="2854">
        <f>IF(ISERROR(L55+N55),0,L55+N55)</f>
        <v>0</v>
      </c>
      <c r="R55" s="2872"/>
      <c r="S55" s="2869"/>
      <c r="T55" s="1"/>
      <c r="U55" s="1"/>
      <c r="V55" s="1"/>
      <c r="W55" s="1"/>
      <c r="X55" s="1"/>
      <c r="Y55" s="1"/>
      <c r="Z55" s="1"/>
      <c r="AA55" s="368"/>
      <c r="AB55" s="1"/>
      <c r="AC55" s="1"/>
    </row>
    <row r="56" spans="1:30" s="468" customFormat="1" ht="20.100000000000001" customHeight="1" x14ac:dyDescent="0.3">
      <c r="B56" s="4753" t="s">
        <v>202</v>
      </c>
      <c r="C56" s="4754"/>
      <c r="D56" s="4754"/>
      <c r="E56" s="4750"/>
      <c r="F56" s="4751"/>
      <c r="G56" s="4752"/>
      <c r="H56" s="3139"/>
      <c r="I56" s="3105"/>
      <c r="J56" s="3046"/>
      <c r="K56" s="1"/>
      <c r="L56" s="3106"/>
      <c r="M56" s="3107"/>
      <c r="N56" s="3108"/>
      <c r="O56" s="520">
        <f t="shared" ca="1" si="2"/>
        <v>0</v>
      </c>
      <c r="P56" s="3109">
        <f t="shared" ref="P56" si="3">L56</f>
        <v>0</v>
      </c>
      <c r="Q56" s="1"/>
      <c r="R56" s="4739"/>
      <c r="S56" s="4740"/>
      <c r="T56" s="1"/>
      <c r="U56" s="3116"/>
      <c r="V56" s="1"/>
      <c r="W56" s="1"/>
      <c r="X56" s="1"/>
      <c r="Y56" s="1"/>
      <c r="Z56" s="1"/>
      <c r="AA56" s="368"/>
      <c r="AB56" s="1"/>
      <c r="AC56" s="1"/>
    </row>
    <row r="57" spans="1:30" ht="3" customHeight="1" x14ac:dyDescent="0.3">
      <c r="I57" s="1"/>
      <c r="S57" s="1"/>
      <c r="U57" s="267"/>
      <c r="V57" s="503"/>
      <c r="W57" s="503"/>
      <c r="X57" s="503"/>
      <c r="Y57" s="503"/>
      <c r="Z57" s="503"/>
    </row>
    <row r="58" spans="1:30" ht="21.9" customHeight="1" x14ac:dyDescent="0.3">
      <c r="F58" s="203"/>
      <c r="G58" s="203"/>
      <c r="H58" s="4176" t="s">
        <v>1306</v>
      </c>
      <c r="I58" s="4177"/>
      <c r="J58" s="4178"/>
      <c r="K58" s="3101"/>
      <c r="L58" s="3043">
        <f>SUM(L51:L56)</f>
        <v>0</v>
      </c>
      <c r="M58" s="3140" t="str">
        <f>IF(L58=0," ",L58/L60)</f>
        <v xml:space="preserve"> </v>
      </c>
      <c r="N58" s="3048">
        <f>SUM(N51:N56)</f>
        <v>0</v>
      </c>
      <c r="P58" s="3102">
        <f>SUM(P51:P56)</f>
        <v>0</v>
      </c>
      <c r="Q58" s="411"/>
      <c r="R58" s="3043">
        <f>SUM(R51:R56)</f>
        <v>0</v>
      </c>
      <c r="S58" s="3048">
        <f>SUM(S51:S56)</f>
        <v>0</v>
      </c>
      <c r="U58" s="267"/>
      <c r="V58" s="503"/>
      <c r="W58" s="503"/>
      <c r="X58" s="503"/>
      <c r="Y58" s="503"/>
      <c r="Z58" s="503"/>
    </row>
    <row r="59" spans="1:30" ht="6" customHeight="1" x14ac:dyDescent="0.3">
      <c r="F59" s="1463"/>
      <c r="G59" s="1463"/>
      <c r="H59" s="12"/>
      <c r="I59" s="12"/>
      <c r="J59" s="12"/>
      <c r="S59" s="1"/>
      <c r="U59" s="267"/>
      <c r="V59" s="503"/>
      <c r="W59" s="503"/>
      <c r="X59" s="503"/>
      <c r="Y59" s="503"/>
      <c r="Z59" s="503"/>
    </row>
    <row r="60" spans="1:30" ht="21.9" customHeight="1" x14ac:dyDescent="0.3">
      <c r="B60" s="168"/>
      <c r="C60" s="168"/>
      <c r="D60" s="472"/>
      <c r="E60" s="472"/>
      <c r="F60" s="2982"/>
      <c r="G60" s="2982"/>
      <c r="H60" s="4179" t="s">
        <v>1305</v>
      </c>
      <c r="I60" s="4180"/>
      <c r="J60" s="4181"/>
      <c r="L60" s="2656">
        <f>L26+L28+L42+L58</f>
        <v>0</v>
      </c>
      <c r="M60" s="2697" t="str">
        <f>IF(L60=0," ",100%)</f>
        <v xml:space="preserve"> </v>
      </c>
      <c r="N60" s="2698">
        <f>M25+M27+N28+N42+N58</f>
        <v>0</v>
      </c>
      <c r="O60" s="507"/>
      <c r="P60" s="2699">
        <f>P25+P26+P27+P28+P42+P58</f>
        <v>0</v>
      </c>
      <c r="Q60" s="7"/>
      <c r="R60" s="2657">
        <f>R25+R27+R28+R42+R58</f>
        <v>0</v>
      </c>
      <c r="S60" s="2658">
        <f>S25+S27+S28+S42+S58</f>
        <v>0</v>
      </c>
      <c r="U60" s="267"/>
      <c r="V60" s="503"/>
      <c r="W60" s="503"/>
      <c r="X60" s="503"/>
      <c r="Y60" s="503"/>
      <c r="Z60" s="503"/>
    </row>
    <row r="61" spans="1:30" ht="6" customHeight="1" x14ac:dyDescent="0.3">
      <c r="B61" s="2"/>
      <c r="C61" s="2"/>
      <c r="D61" s="2"/>
      <c r="E61" s="49"/>
      <c r="F61" s="2"/>
      <c r="G61" s="2"/>
      <c r="H61" s="17"/>
      <c r="I61" s="935"/>
      <c r="J61" s="3067"/>
      <c r="K61" s="2"/>
      <c r="L61" s="185"/>
      <c r="M61" s="186"/>
      <c r="N61" s="186"/>
      <c r="O61" s="505"/>
      <c r="P61" s="185"/>
      <c r="Q61" s="2"/>
      <c r="R61" s="185"/>
      <c r="S61" s="185"/>
      <c r="U61" s="1454"/>
      <c r="V61" s="1449"/>
      <c r="W61" s="1449"/>
      <c r="X61" s="1449"/>
      <c r="Y61" s="1449"/>
      <c r="Z61" s="1449"/>
    </row>
    <row r="62" spans="1:30" s="204" customFormat="1" ht="21.9" customHeight="1" x14ac:dyDescent="0.3">
      <c r="A62" s="2"/>
      <c r="B62" s="406"/>
      <c r="C62" s="406"/>
      <c r="D62" s="406"/>
      <c r="E62" s="597"/>
      <c r="F62" s="597"/>
      <c r="G62" s="597"/>
      <c r="H62" s="4111" t="s">
        <v>1309</v>
      </c>
      <c r="I62" s="4112"/>
      <c r="J62" s="4113"/>
      <c r="K62" s="174"/>
      <c r="L62" s="1479">
        <f>L21-L60</f>
        <v>0</v>
      </c>
      <c r="M62" s="2751" t="str">
        <f>IF(ISERROR(IF(L62&lt;=0," ",L62/L21))," ",IF(L62&lt;=0," ",L62/L21))</f>
        <v xml:space="preserve"> </v>
      </c>
      <c r="N62" s="2753">
        <f>N21-N60</f>
        <v>0</v>
      </c>
      <c r="O62" s="506"/>
      <c r="P62" s="709">
        <f>P21-P60</f>
        <v>0</v>
      </c>
      <c r="Q62" s="6"/>
      <c r="R62" s="1479">
        <f>R21-R60</f>
        <v>0</v>
      </c>
      <c r="S62" s="2753">
        <f>S21-S60</f>
        <v>0</v>
      </c>
      <c r="T62" s="1330"/>
      <c r="U62" s="1455"/>
      <c r="V62" s="1456"/>
      <c r="W62" s="1456"/>
      <c r="X62" s="1456"/>
      <c r="Y62" s="1456"/>
      <c r="Z62" s="1456"/>
      <c r="AA62" s="1454"/>
      <c r="AB62" s="1454"/>
      <c r="AC62" s="1330"/>
      <c r="AD62" s="1330"/>
    </row>
    <row r="63" spans="1:30" s="473" customFormat="1" ht="3" customHeight="1" x14ac:dyDescent="0.3">
      <c r="A63" s="406"/>
      <c r="B63" s="2"/>
      <c r="C63" s="2"/>
      <c r="D63" s="2"/>
      <c r="E63" s="49"/>
      <c r="F63" s="2"/>
      <c r="G63" s="2"/>
      <c r="H63" s="201"/>
      <c r="I63" s="2"/>
      <c r="J63" s="173"/>
      <c r="K63" s="174"/>
      <c r="L63" s="17"/>
      <c r="M63" s="17"/>
      <c r="N63" s="17"/>
      <c r="O63" s="505"/>
      <c r="P63" s="17"/>
      <c r="Q63" s="174"/>
      <c r="R63" s="17"/>
      <c r="S63" s="17"/>
      <c r="U63" s="1454"/>
      <c r="V63" s="1449"/>
      <c r="W63" s="1449"/>
      <c r="X63" s="1449"/>
      <c r="Y63" s="1449"/>
      <c r="Z63" s="1449"/>
      <c r="AA63" s="1455"/>
      <c r="AB63" s="1455"/>
    </row>
    <row r="64" spans="1:30" s="204" customFormat="1" ht="20.100000000000001" customHeight="1" x14ac:dyDescent="0.3">
      <c r="A64" s="2"/>
      <c r="G64" s="3142"/>
      <c r="H64" s="4861" t="str">
        <f>IF(ISBLANK(J67)," Indiquer le montant de la trésorerie initiale.
 Si pas de trésorerie initiale, inscrire le chiffre 0  "," ")</f>
        <v xml:space="preserve"> </v>
      </c>
      <c r="I64" s="4861"/>
      <c r="J64" s="4861"/>
      <c r="K64" s="174"/>
      <c r="L64" s="4182" t="str">
        <f>IF(L62&gt;0,"Besoin de trésorerie",IF(L62&lt;0,"Excédent de financement"," "))</f>
        <v xml:space="preserve"> </v>
      </c>
      <c r="M64" s="4183"/>
      <c r="N64" s="1315"/>
      <c r="O64" s="505"/>
      <c r="P64" s="2705" t="str">
        <f>IF(P62&gt;0,"Besoin",IF(P62&lt;0,"Excédent"," "))</f>
        <v xml:space="preserve"> </v>
      </c>
      <c r="Q64" s="174"/>
      <c r="R64" s="2705" t="str">
        <f>IF(R62&gt;0,"Besoin",IF(R62&lt;0,"Excédent"," "))</f>
        <v xml:space="preserve"> </v>
      </c>
      <c r="S64" s="2705" t="str">
        <f>IF(S62&gt;0,"Besoin",IF(S62&lt;0,"Excéden"," "))</f>
        <v xml:space="preserve"> </v>
      </c>
      <c r="T64" s="1330"/>
      <c r="U64" s="1454"/>
      <c r="V64" s="1449"/>
      <c r="W64" s="1449"/>
      <c r="X64" s="1449"/>
      <c r="Y64" s="1449"/>
      <c r="Z64" s="1449"/>
      <c r="AA64" s="1454"/>
      <c r="AB64" s="1454"/>
      <c r="AC64" s="1330"/>
      <c r="AD64" s="1330"/>
    </row>
    <row r="65" spans="1:30" s="936" customFormat="1" ht="6" customHeight="1" x14ac:dyDescent="0.3">
      <c r="A65" s="12"/>
      <c r="B65" s="204"/>
      <c r="C65" s="204"/>
      <c r="D65" s="204"/>
      <c r="G65" s="3142"/>
      <c r="H65" s="4861"/>
      <c r="I65" s="4861"/>
      <c r="J65" s="4861"/>
      <c r="K65" s="934"/>
      <c r="L65" s="935"/>
      <c r="M65" s="935"/>
      <c r="N65" s="935"/>
      <c r="O65" s="937"/>
      <c r="P65" s="935"/>
      <c r="Q65" s="934"/>
      <c r="R65" s="935"/>
      <c r="S65" s="935"/>
      <c r="T65" s="1331"/>
      <c r="U65" s="1457"/>
      <c r="V65" s="1458"/>
      <c r="W65" s="1458"/>
      <c r="X65" s="1458"/>
      <c r="Y65" s="1458"/>
      <c r="Z65" s="1458"/>
      <c r="AA65" s="1459"/>
      <c r="AB65" s="1459"/>
      <c r="AC65" s="1331"/>
      <c r="AD65" s="1331"/>
    </row>
    <row r="66" spans="1:30" ht="3" customHeight="1" x14ac:dyDescent="0.3">
      <c r="B66" s="204"/>
      <c r="C66" s="204"/>
      <c r="D66" s="204"/>
      <c r="E66" s="49"/>
      <c r="F66" s="2"/>
      <c r="G66" s="2"/>
      <c r="H66" s="201"/>
      <c r="J66" s="173"/>
      <c r="K66" s="174"/>
      <c r="L66" s="17"/>
      <c r="M66" s="17"/>
      <c r="N66" s="17"/>
      <c r="O66" s="505"/>
      <c r="P66" s="17"/>
      <c r="Q66" s="174"/>
      <c r="R66" s="17"/>
      <c r="S66" s="17"/>
      <c r="U66" s="1454"/>
      <c r="V66" s="1449"/>
      <c r="W66" s="1449"/>
      <c r="X66" s="1449"/>
      <c r="Y66" s="1449"/>
      <c r="Z66" s="1449"/>
    </row>
    <row r="67" spans="1:30" s="204" customFormat="1" ht="21.9" customHeight="1" x14ac:dyDescent="0.3">
      <c r="A67" s="2"/>
      <c r="C67" s="1"/>
      <c r="D67" s="1"/>
      <c r="H67" s="4755" t="s">
        <v>1311</v>
      </c>
      <c r="I67" s="4756"/>
      <c r="J67" s="2367">
        <v>0</v>
      </c>
      <c r="K67" s="410"/>
      <c r="L67" s="1688">
        <f>IF(hold_berri="non",J67+(L62/-1),(L62/-1))</f>
        <v>0</v>
      </c>
      <c r="M67" s="1687"/>
      <c r="N67" s="935"/>
      <c r="O67" s="505"/>
      <c r="P67" s="2368">
        <f>IF(hold_berri="non",J67+(P62/-1),(P62/-1))</f>
        <v>0</v>
      </c>
      <c r="Q67" s="410"/>
      <c r="R67" s="2369">
        <f>IF(ISERROR(L67+(R62-1))," ",P67+(R62/-1))</f>
        <v>0</v>
      </c>
      <c r="S67" s="1690">
        <f>IF(ISERROR(R67+(S62-1))," ",R67+(S62/-1))</f>
        <v>0</v>
      </c>
      <c r="T67" s="1330"/>
      <c r="U67" s="1454"/>
      <c r="V67" s="1449"/>
      <c r="W67" s="1449"/>
      <c r="X67" s="1449"/>
      <c r="Y67" s="1449"/>
      <c r="Z67" s="1449"/>
      <c r="AA67" s="1454"/>
      <c r="AB67" s="1454"/>
      <c r="AC67" s="1330"/>
      <c r="AD67" s="1330"/>
    </row>
    <row r="68" spans="1:30" s="204" customFormat="1" ht="15" customHeight="1" x14ac:dyDescent="0.3">
      <c r="A68" s="2"/>
      <c r="C68" s="1"/>
      <c r="D68" s="1"/>
      <c r="E68" s="203"/>
      <c r="F68" s="1"/>
      <c r="G68" s="1"/>
      <c r="H68" s="1"/>
      <c r="I68" s="2"/>
      <c r="J68" s="144" t="str">
        <f>IF(ISBLANK(J67),0," ")</f>
        <v xml:space="preserve"> </v>
      </c>
      <c r="K68" s="1"/>
      <c r="L68" s="1"/>
      <c r="M68" s="1"/>
      <c r="N68" s="1"/>
      <c r="O68" s="503"/>
      <c r="P68" s="1"/>
      <c r="Q68" s="1"/>
      <c r="R68" s="1"/>
      <c r="S68" s="168"/>
      <c r="T68" s="1330"/>
      <c r="U68" s="1442"/>
      <c r="V68" s="541"/>
      <c r="W68" s="541"/>
      <c r="X68" s="541"/>
      <c r="Y68" s="541"/>
      <c r="Z68" s="541"/>
      <c r="AA68" s="1454"/>
      <c r="AB68" s="1454"/>
      <c r="AC68" s="1330"/>
      <c r="AD68" s="1330"/>
    </row>
    <row r="69" spans="1:30" s="514" customFormat="1" ht="21.9" customHeight="1" x14ac:dyDescent="0.3">
      <c r="A69" s="17"/>
      <c r="B69" s="17"/>
      <c r="C69" s="17"/>
      <c r="D69" s="17"/>
      <c r="E69" s="513"/>
      <c r="G69" s="3066"/>
      <c r="H69" s="4858" t="s">
        <v>1312</v>
      </c>
      <c r="I69" s="4859"/>
      <c r="J69" s="4860"/>
      <c r="K69" s="81"/>
      <c r="L69" s="2370">
        <f ca="1">L26+L42+D88+D93+D94</f>
        <v>0</v>
      </c>
      <c r="M69" s="2371" t="str">
        <f ca="1">IF(L69=0," ",L69/(L69+L70))</f>
        <v xml:space="preserve"> </v>
      </c>
      <c r="N69" s="1"/>
      <c r="O69" s="507"/>
      <c r="P69" s="2374">
        <f ca="1">P25+P26+P27+P42+E88+E93+E94</f>
        <v>0</v>
      </c>
      <c r="Q69" s="81"/>
      <c r="R69" s="2700">
        <f ca="1">R25+R27+R42+F88+F93+F94</f>
        <v>0</v>
      </c>
      <c r="S69" s="3118">
        <f ca="1">S25+S27+S42+H88+H93+H94</f>
        <v>0</v>
      </c>
      <c r="U69" s="1460"/>
      <c r="V69" s="1461"/>
      <c r="W69" s="1461"/>
      <c r="X69" s="1461"/>
      <c r="Y69" s="1461"/>
      <c r="Z69" s="1461"/>
      <c r="AA69" s="1462"/>
      <c r="AB69" s="1462"/>
    </row>
    <row r="70" spans="1:30" s="512" customFormat="1" ht="21.9" customHeight="1" x14ac:dyDescent="0.3">
      <c r="A70" s="7"/>
      <c r="B70" s="17"/>
      <c r="C70" s="17"/>
      <c r="D70" s="17"/>
      <c r="E70" s="513"/>
      <c r="G70" s="3141"/>
      <c r="H70" s="4734" t="s">
        <v>1313</v>
      </c>
      <c r="I70" s="4735"/>
      <c r="J70" s="4736"/>
      <c r="K70" s="81"/>
      <c r="L70" s="2372">
        <f ca="1">L60-L28-L69</f>
        <v>0</v>
      </c>
      <c r="M70" s="2373">
        <f ca="1">IF(L70=0,0,L70/(L69+L70))</f>
        <v>0</v>
      </c>
      <c r="N70" s="1"/>
      <c r="O70" s="507"/>
      <c r="P70" s="2375">
        <f ca="1">P60-P28-P69</f>
        <v>0</v>
      </c>
      <c r="Q70" s="81"/>
      <c r="R70" s="3117">
        <f ca="1">R60-R28-R69</f>
        <v>0</v>
      </c>
      <c r="S70" s="3119">
        <f ca="1">S60-S28-S69</f>
        <v>0</v>
      </c>
      <c r="U70" s="1460"/>
      <c r="V70" s="1461"/>
      <c r="W70" s="1461"/>
      <c r="X70" s="1461"/>
      <c r="Y70" s="1461"/>
      <c r="Z70" s="1461"/>
      <c r="AA70" s="1460"/>
      <c r="AB70" s="1460"/>
    </row>
    <row r="71" spans="1:30" ht="6" customHeight="1" x14ac:dyDescent="0.3">
      <c r="B71" s="2"/>
      <c r="C71" s="2"/>
      <c r="D71" s="2"/>
      <c r="E71" s="49"/>
      <c r="F71" s="2"/>
      <c r="G71" s="2"/>
      <c r="H71" s="201"/>
      <c r="J71" s="173"/>
      <c r="K71" s="174"/>
      <c r="L71" s="17"/>
      <c r="M71" s="17"/>
      <c r="N71" s="17"/>
      <c r="O71" s="505"/>
      <c r="P71" s="17"/>
      <c r="Q71" s="174"/>
      <c r="R71" s="17"/>
      <c r="S71" s="17"/>
      <c r="U71" s="1454"/>
      <c r="V71" s="1449"/>
      <c r="W71" s="1449"/>
      <c r="X71" s="1449"/>
      <c r="Y71" s="1449"/>
      <c r="Z71" s="1449"/>
    </row>
    <row r="72" spans="1:30" ht="15" customHeight="1" x14ac:dyDescent="0.3">
      <c r="B72" s="2"/>
      <c r="C72" s="2"/>
      <c r="D72" s="2"/>
      <c r="E72" s="49"/>
      <c r="F72" s="2"/>
      <c r="G72" s="2"/>
      <c r="H72" s="168"/>
      <c r="I72" s="4775" t="s">
        <v>597</v>
      </c>
      <c r="J72" s="4776"/>
      <c r="K72" s="174"/>
      <c r="L72" s="4778" t="str">
        <f ca="1">IF(ISERROR(L70/((ebe_5+ebe_6+ebe_7)/3))," ",L70/((ebe_5+ebe_6+ebe_7)/3))</f>
        <v xml:space="preserve"> </v>
      </c>
      <c r="M72" s="4778"/>
      <c r="N72" s="4778"/>
      <c r="O72" s="4778"/>
      <c r="P72" s="4778"/>
      <c r="Q72" s="174"/>
      <c r="R72" s="1026"/>
      <c r="S72" s="1026"/>
      <c r="T72" s="1439"/>
      <c r="U72" s="1454"/>
      <c r="V72" s="1449"/>
      <c r="W72" s="1449"/>
      <c r="X72" s="1449"/>
      <c r="Y72" s="1449"/>
      <c r="Z72" s="1449"/>
    </row>
    <row r="73" spans="1:30" ht="15" customHeight="1" x14ac:dyDescent="0.3">
      <c r="B73" s="217"/>
      <c r="C73" s="217"/>
      <c r="I73" s="4777"/>
      <c r="J73" s="4777"/>
      <c r="L73" s="4774" t="str">
        <f>IF(OR(ca_1=0,ca_2=0,ca_3=0)," ",L70/((ebe_1+ebe_2+ebe_3)/3))</f>
        <v xml:space="preserve"> </v>
      </c>
      <c r="M73" s="4774"/>
      <c r="N73" s="4774"/>
      <c r="O73" s="4774"/>
      <c r="P73" s="4774"/>
    </row>
    <row r="74" spans="1:30" ht="6" customHeight="1" x14ac:dyDescent="0.3">
      <c r="B74" s="2"/>
      <c r="C74" s="2"/>
      <c r="D74" s="2"/>
      <c r="E74" s="49"/>
      <c r="F74" s="2"/>
      <c r="G74" s="2"/>
      <c r="H74" s="201"/>
      <c r="J74" s="173"/>
      <c r="K74" s="174"/>
      <c r="L74" s="17"/>
      <c r="M74" s="17"/>
      <c r="N74" s="17"/>
      <c r="O74" s="505"/>
      <c r="P74" s="17"/>
      <c r="Q74" s="174"/>
      <c r="R74" s="17"/>
      <c r="S74" s="17"/>
      <c r="U74" s="1454"/>
      <c r="V74" s="1449"/>
      <c r="W74" s="1449"/>
      <c r="X74" s="1449"/>
      <c r="Y74" s="1449"/>
      <c r="Z74" s="1449"/>
    </row>
    <row r="75" spans="1:30" ht="45" customHeight="1" x14ac:dyDescent="0.3">
      <c r="B75" s="2"/>
      <c r="C75" s="2"/>
      <c r="D75" s="2"/>
      <c r="E75" s="49"/>
      <c r="F75" s="2"/>
      <c r="G75" s="2"/>
      <c r="H75" s="201"/>
      <c r="J75" s="516">
        <f ca="1">IF(AND(M70&gt;60%,risque_cible&gt;60%),1,0)</f>
        <v>0</v>
      </c>
      <c r="K75" s="174"/>
      <c r="L75" s="4811" t="str">
        <f ca="1">IF(AND(M70&gt;60%,risque_cible&gt;60%),"montage financier à risque : l'endettement est trop 
important (&gt; 1,5 fois le montant des fonds propres) et les dividendes absorbent plus de 60% du bénéfice de la cible"," ")</f>
        <v xml:space="preserve"> </v>
      </c>
      <c r="M75" s="4811"/>
      <c r="N75" s="4811"/>
      <c r="O75" s="4811"/>
      <c r="P75" s="4811"/>
      <c r="Q75" s="4811"/>
      <c r="R75" s="4811"/>
      <c r="S75" s="4811"/>
      <c r="U75" s="1454"/>
      <c r="V75" s="1449"/>
      <c r="W75" s="1449"/>
      <c r="X75" s="1449"/>
      <c r="Y75" s="1449"/>
      <c r="Z75" s="1449"/>
    </row>
    <row r="76" spans="1:30" s="267" customFormat="1" x14ac:dyDescent="0.3">
      <c r="A76" s="1"/>
      <c r="B76" s="1"/>
      <c r="C76" s="1"/>
      <c r="D76" s="1"/>
      <c r="E76" s="203"/>
      <c r="F76" s="1"/>
      <c r="G76" s="1"/>
      <c r="H76" s="1"/>
      <c r="I76" s="2"/>
      <c r="J76" s="1"/>
      <c r="K76" s="1"/>
      <c r="L76" s="1"/>
      <c r="M76" s="1"/>
      <c r="N76" s="1"/>
      <c r="O76" s="503"/>
      <c r="P76" s="1"/>
      <c r="Q76" s="1"/>
      <c r="R76" s="1"/>
      <c r="V76" s="503"/>
      <c r="W76" s="503"/>
      <c r="X76" s="503"/>
      <c r="Y76" s="503"/>
      <c r="Z76" s="503"/>
    </row>
    <row r="77" spans="1:30" ht="20.100000000000001" customHeight="1" x14ac:dyDescent="0.3">
      <c r="B77" s="1490"/>
      <c r="C77" s="1490"/>
      <c r="D77" s="1490"/>
      <c r="E77" s="1490"/>
      <c r="F77" s="1490"/>
      <c r="G77" s="1490"/>
      <c r="J77" s="516"/>
      <c r="K77" s="174"/>
      <c r="L77" s="4766"/>
      <c r="M77" s="4766"/>
      <c r="N77" s="4766"/>
      <c r="O77" s="4766"/>
      <c r="P77" s="4766"/>
      <c r="Q77" s="1467"/>
      <c r="R77" s="1467"/>
      <c r="S77" s="1467"/>
      <c r="U77" s="1454"/>
      <c r="V77" s="1449"/>
      <c r="W77" s="1449"/>
      <c r="X77" s="1449"/>
      <c r="Y77" s="1449"/>
      <c r="Z77" s="1449"/>
    </row>
    <row r="78" spans="1:30" s="267" customFormat="1" ht="20.100000000000001" customHeight="1" x14ac:dyDescent="0.3">
      <c r="A78" s="1"/>
      <c r="B78" s="4771" t="s">
        <v>1265</v>
      </c>
      <c r="C78" s="4772"/>
      <c r="D78" s="4772"/>
      <c r="E78" s="4773"/>
      <c r="F78" s="4767" t="s">
        <v>671</v>
      </c>
      <c r="G78" s="4768"/>
      <c r="H78" s="4768"/>
      <c r="I78" s="2704" t="s">
        <v>1259</v>
      </c>
      <c r="J78" s="2"/>
      <c r="K78" s="1"/>
      <c r="L78" s="4769" t="s">
        <v>1261</v>
      </c>
      <c r="M78" s="4770"/>
      <c r="N78" s="4770"/>
      <c r="O78" s="4770"/>
      <c r="P78" s="4770"/>
      <c r="Q78" s="2701"/>
      <c r="R78" s="2703" t="s">
        <v>671</v>
      </c>
      <c r="S78" s="2702" t="s">
        <v>1259</v>
      </c>
      <c r="W78" s="503"/>
      <c r="X78" s="503"/>
      <c r="Y78" s="503"/>
      <c r="Z78" s="503"/>
      <c r="AA78" s="503"/>
    </row>
    <row r="79" spans="1:30" s="267" customFormat="1" ht="20.100000000000001" customHeight="1" x14ac:dyDescent="0.3">
      <c r="A79" s="1"/>
      <c r="B79" s="4887" t="s">
        <v>1266</v>
      </c>
      <c r="C79" s="4888"/>
      <c r="D79" s="4888"/>
      <c r="E79" s="4888"/>
      <c r="F79" s="4889"/>
      <c r="G79" s="3128"/>
      <c r="H79" s="1511">
        <f>((r_5*3)+(r_6*2)+(r_7*1))/6</f>
        <v>0</v>
      </c>
      <c r="I79" s="1491"/>
      <c r="K79" s="310"/>
      <c r="L79" s="4878" t="s">
        <v>1269</v>
      </c>
      <c r="M79" s="4879"/>
      <c r="N79" s="4879"/>
      <c r="O79" s="4879"/>
      <c r="P79" s="4879"/>
      <c r="Q79" s="4880"/>
      <c r="R79" s="1516">
        <v>0.6</v>
      </c>
      <c r="S79" s="1517">
        <f>risque_cible</f>
        <v>0</v>
      </c>
      <c r="U79" s="1482" t="str">
        <f>IF(S79=0," ",IF(S79&lt;R79,"J",IF(S79&gt;R79,"L","K")))</f>
        <v xml:space="preserve"> </v>
      </c>
      <c r="V79" s="678" t="str">
        <f>IF(V77=0," ",IF(V77&gt;V75,"J",IF(V77&lt;V75,"L","K")))</f>
        <v xml:space="preserve"> </v>
      </c>
      <c r="W79" s="503"/>
      <c r="X79" s="503"/>
      <c r="Y79" s="503"/>
      <c r="Z79" s="503"/>
      <c r="AA79" s="503"/>
    </row>
    <row r="80" spans="1:30" s="267" customFormat="1" ht="20.100000000000001" customHeight="1" x14ac:dyDescent="0.3">
      <c r="A80" s="1"/>
      <c r="B80" s="4871" t="s">
        <v>1264</v>
      </c>
      <c r="C80" s="4872"/>
      <c r="D80" s="4872"/>
      <c r="E80" s="4872"/>
      <c r="F80" s="1510">
        <v>0.6</v>
      </c>
      <c r="G80" s="3129"/>
      <c r="H80" s="1512">
        <f>H79*F80</f>
        <v>0</v>
      </c>
      <c r="I80" s="1492"/>
      <c r="K80" s="1469"/>
      <c r="L80" s="4881" t="s">
        <v>1270</v>
      </c>
      <c r="M80" s="4882"/>
      <c r="N80" s="4882"/>
      <c r="O80" s="4882"/>
      <c r="P80" s="4882"/>
      <c r="Q80" s="4883"/>
      <c r="R80" s="1518">
        <f>(((caf_1*3)+(caf_2*2)+(caf_3*1))/6)*80%</f>
        <v>0</v>
      </c>
      <c r="S80" s="1519">
        <f>P18</f>
        <v>0</v>
      </c>
      <c r="U80" s="1482" t="str">
        <f t="shared" ref="U80:U81" si="4">IF(S80=0," ",IF(S80&lt;R80,"J",IF(S80&gt;R80,"L","K")))</f>
        <v xml:space="preserve"> </v>
      </c>
      <c r="V80" s="678"/>
      <c r="W80" s="503"/>
      <c r="X80" s="503"/>
      <c r="Y80" s="503"/>
      <c r="Z80" s="503"/>
      <c r="AA80" s="503"/>
    </row>
    <row r="81" spans="1:27" s="267" customFormat="1" ht="20.100000000000001" customHeight="1" x14ac:dyDescent="0.3">
      <c r="A81" s="1"/>
      <c r="B81" s="4873" t="s">
        <v>1262</v>
      </c>
      <c r="C81" s="4874"/>
      <c r="D81" s="4874"/>
      <c r="E81" s="3585"/>
      <c r="F81" s="1489">
        <v>7</v>
      </c>
      <c r="G81" s="3130"/>
      <c r="H81" s="1513">
        <f>H80*F81</f>
        <v>0</v>
      </c>
      <c r="I81" s="1515">
        <f ca="1">L70</f>
        <v>0</v>
      </c>
      <c r="J81" s="1482" t="str">
        <f ca="1">IF(I81=0," ",IF(I81&lt;H81,"J",IF(I81&gt;H81,"L","K")))</f>
        <v xml:space="preserve"> </v>
      </c>
      <c r="K81" s="1482"/>
      <c r="L81" s="4884" t="s">
        <v>1271</v>
      </c>
      <c r="M81" s="4885"/>
      <c r="N81" s="4885"/>
      <c r="O81" s="4885"/>
      <c r="P81" s="4885"/>
      <c r="Q81" s="4886"/>
      <c r="R81" s="1520">
        <v>4</v>
      </c>
      <c r="S81" s="1521">
        <f ca="1">IF(ISERROR((emp_1+L70)/S80),0,(emp_1+L70)/S80)</f>
        <v>0</v>
      </c>
      <c r="U81" s="1482" t="str">
        <f t="shared" ca="1" si="4"/>
        <v xml:space="preserve"> </v>
      </c>
      <c r="V81" s="678"/>
      <c r="W81" s="503"/>
      <c r="X81" s="503"/>
      <c r="Y81" s="503"/>
      <c r="Z81" s="503"/>
      <c r="AA81" s="503"/>
    </row>
    <row r="82" spans="1:27" s="267" customFormat="1" ht="20.100000000000001" customHeight="1" x14ac:dyDescent="0.3">
      <c r="A82" s="1"/>
      <c r="B82" s="4875" t="s">
        <v>1263</v>
      </c>
      <c r="C82" s="4876"/>
      <c r="D82" s="4876"/>
      <c r="E82" s="4876"/>
      <c r="F82" s="4877"/>
      <c r="G82" s="3131"/>
      <c r="H82" s="1514">
        <f>H81/50%</f>
        <v>0</v>
      </c>
      <c r="I82" s="1493"/>
      <c r="K82" s="154"/>
      <c r="L82" s="1484"/>
      <c r="M82" s="1485"/>
      <c r="N82" s="1483"/>
      <c r="O82" s="1473"/>
      <c r="P82" s="1483"/>
      <c r="Q82" s="1486"/>
      <c r="R82" s="1487"/>
      <c r="S82" s="1488"/>
      <c r="U82" s="1"/>
      <c r="V82" s="503"/>
      <c r="W82" s="503"/>
      <c r="X82" s="503"/>
      <c r="Y82" s="503"/>
      <c r="Z82" s="503"/>
      <c r="AA82" s="503"/>
    </row>
    <row r="83" spans="1:27" s="267" customFormat="1" ht="30" customHeight="1" x14ac:dyDescent="0.3">
      <c r="A83" s="1"/>
      <c r="H83" s="1"/>
      <c r="I83" s="1"/>
      <c r="J83" s="2"/>
      <c r="K83" s="1"/>
      <c r="L83" s="1"/>
      <c r="M83" s="1"/>
      <c r="N83" s="285"/>
      <c r="O83" s="58"/>
      <c r="P83" s="1472"/>
      <c r="Q83" s="1"/>
      <c r="R83" s="1"/>
      <c r="S83" s="1"/>
      <c r="W83" s="503"/>
      <c r="X83" s="503"/>
      <c r="Y83" s="503"/>
      <c r="Z83" s="503"/>
      <c r="AA83" s="503"/>
    </row>
    <row r="84" spans="1:27" s="267" customFormat="1" ht="30" customHeight="1" x14ac:dyDescent="0.3">
      <c r="A84" s="1"/>
      <c r="H84" s="1"/>
      <c r="I84" s="1"/>
      <c r="J84" s="2"/>
      <c r="K84" s="1"/>
      <c r="L84" s="1"/>
      <c r="M84" s="1"/>
      <c r="N84" s="285"/>
      <c r="O84" s="58"/>
      <c r="P84" s="1472"/>
      <c r="Q84" s="1"/>
      <c r="R84" s="1"/>
      <c r="S84" s="1"/>
      <c r="W84" s="503"/>
      <c r="X84" s="503"/>
      <c r="Y84" s="503"/>
      <c r="Z84" s="503"/>
      <c r="AA84" s="503"/>
    </row>
    <row r="85" spans="1:27" s="267" customFormat="1" ht="30" customHeight="1" x14ac:dyDescent="0.3">
      <c r="A85" s="1"/>
      <c r="B85" s="1466"/>
      <c r="C85" s="1466"/>
      <c r="D85" s="1"/>
      <c r="E85" s="203"/>
      <c r="F85" s="1"/>
      <c r="G85" s="1"/>
      <c r="H85" s="1"/>
      <c r="I85" s="2"/>
      <c r="J85" s="1"/>
      <c r="K85" s="1"/>
      <c r="L85" s="1"/>
      <c r="M85" s="1"/>
      <c r="N85" s="1"/>
      <c r="O85" s="1"/>
      <c r="P85" s="503"/>
      <c r="Q85" s="1"/>
      <c r="R85" s="1"/>
      <c r="S85" s="1"/>
      <c r="V85" s="503"/>
      <c r="W85" s="503"/>
      <c r="X85" s="503"/>
      <c r="Y85" s="503"/>
      <c r="Z85" s="503"/>
    </row>
    <row r="86" spans="1:27" s="267" customFormat="1" ht="12.75" customHeight="1" x14ac:dyDescent="0.3">
      <c r="A86" s="1"/>
      <c r="B86" s="340"/>
      <c r="C86" s="340"/>
      <c r="D86" s="1500" t="s">
        <v>1181</v>
      </c>
      <c r="E86" s="1500" t="s">
        <v>1182</v>
      </c>
      <c r="F86" s="1500" t="s">
        <v>1183</v>
      </c>
      <c r="G86" s="1500"/>
      <c r="H86" s="1500" t="s">
        <v>1184</v>
      </c>
      <c r="I86" s="2"/>
      <c r="J86" s="1"/>
      <c r="K86" s="1"/>
      <c r="L86" s="1"/>
      <c r="M86" s="1"/>
      <c r="N86" s="1"/>
      <c r="O86" s="503"/>
      <c r="P86" s="503"/>
      <c r="Q86" s="1"/>
      <c r="R86" s="1"/>
      <c r="S86" s="1"/>
      <c r="V86" s="503"/>
      <c r="W86" s="503"/>
      <c r="X86" s="503"/>
      <c r="Y86" s="503"/>
      <c r="Z86" s="503"/>
    </row>
    <row r="87" spans="1:27" s="267" customFormat="1" ht="12.75" customHeight="1" x14ac:dyDescent="0.3">
      <c r="A87" s="1"/>
      <c r="B87" s="1522" t="s">
        <v>310</v>
      </c>
      <c r="C87" s="1522"/>
      <c r="D87" s="1523">
        <f t="shared" ref="D87:D94" ca="1" si="5">SUMIF($E$51:$F$56,"="&amp;B87,L$51:L$56)</f>
        <v>0</v>
      </c>
      <c r="E87" s="1523">
        <f t="shared" ref="E87:E94" ca="1" si="6">SUMIF($E$51:$F$56,"="&amp;B87,$P$51:$P$56)</f>
        <v>0</v>
      </c>
      <c r="F87" s="1523">
        <f t="shared" ref="F87:F94" ca="1" si="7">SUMIF($E$51:$F$56,"="&amp;B87,$R$51:$R$56)</f>
        <v>0</v>
      </c>
      <c r="G87" s="1523"/>
      <c r="H87" s="1523">
        <f t="shared" ref="H87:H94" ca="1" si="8">SUMIF($E$51:$F$56,"="&amp;B87,$S$51:$S$56)</f>
        <v>0</v>
      </c>
      <c r="I87" s="2"/>
      <c r="J87" s="1"/>
      <c r="K87" s="1"/>
      <c r="L87" s="1"/>
      <c r="M87" s="1"/>
      <c r="N87" s="1"/>
      <c r="O87" s="503"/>
      <c r="P87" s="1"/>
      <c r="Q87" s="1"/>
      <c r="R87" s="1"/>
      <c r="V87" s="503"/>
      <c r="W87" s="503"/>
      <c r="X87" s="503"/>
      <c r="Y87" s="503"/>
      <c r="Z87" s="503"/>
    </row>
    <row r="88" spans="1:27" s="267" customFormat="1" ht="12.75" customHeight="1" x14ac:dyDescent="0.3">
      <c r="A88" s="1"/>
      <c r="B88" s="1522" t="s">
        <v>311</v>
      </c>
      <c r="C88" s="1522"/>
      <c r="D88" s="1523">
        <f t="shared" ca="1" si="5"/>
        <v>0</v>
      </c>
      <c r="E88" s="1523">
        <f t="shared" ca="1" si="6"/>
        <v>0</v>
      </c>
      <c r="F88" s="1523">
        <f t="shared" ca="1" si="7"/>
        <v>0</v>
      </c>
      <c r="G88" s="1523"/>
      <c r="H88" s="1523">
        <f t="shared" ca="1" si="8"/>
        <v>0</v>
      </c>
      <c r="I88" s="2"/>
      <c r="J88" s="1"/>
      <c r="K88" s="1"/>
      <c r="L88" s="1"/>
      <c r="M88" s="1"/>
      <c r="N88" s="1"/>
      <c r="O88" s="503"/>
      <c r="P88" s="1"/>
      <c r="Q88" s="1"/>
      <c r="R88" s="1"/>
      <c r="V88" s="503"/>
      <c r="W88" s="503"/>
      <c r="X88" s="503"/>
      <c r="Y88" s="503"/>
      <c r="Z88" s="503"/>
    </row>
    <row r="89" spans="1:27" s="267" customFormat="1" ht="12.75" customHeight="1" x14ac:dyDescent="0.3">
      <c r="A89" s="1"/>
      <c r="B89" s="1522" t="s">
        <v>312</v>
      </c>
      <c r="C89" s="1522"/>
      <c r="D89" s="1523">
        <f t="shared" ca="1" si="5"/>
        <v>0</v>
      </c>
      <c r="E89" s="1523">
        <f t="shared" ca="1" si="6"/>
        <v>0</v>
      </c>
      <c r="F89" s="1523">
        <f t="shared" ca="1" si="7"/>
        <v>0</v>
      </c>
      <c r="G89" s="1523"/>
      <c r="H89" s="1523">
        <f t="shared" ca="1" si="8"/>
        <v>0</v>
      </c>
      <c r="I89" s="2"/>
      <c r="J89" s="1"/>
      <c r="K89" s="1"/>
      <c r="L89" s="1"/>
      <c r="M89" s="1"/>
      <c r="N89" s="1"/>
      <c r="O89" s="503"/>
      <c r="P89" s="1"/>
      <c r="Q89" s="1"/>
      <c r="R89" s="1"/>
      <c r="V89" s="503"/>
      <c r="W89" s="503"/>
      <c r="X89" s="503"/>
      <c r="Y89" s="503"/>
      <c r="Z89" s="503"/>
    </row>
    <row r="90" spans="1:27" s="267" customFormat="1" ht="12.75" customHeight="1" x14ac:dyDescent="0.3">
      <c r="A90" s="1"/>
      <c r="B90" s="1524" t="s">
        <v>313</v>
      </c>
      <c r="C90" s="1524"/>
      <c r="D90" s="1523">
        <f t="shared" ca="1" si="5"/>
        <v>0</v>
      </c>
      <c r="E90" s="1523">
        <f t="shared" ca="1" si="6"/>
        <v>0</v>
      </c>
      <c r="F90" s="1523">
        <f t="shared" ca="1" si="7"/>
        <v>0</v>
      </c>
      <c r="G90" s="1523"/>
      <c r="H90" s="1523">
        <f t="shared" ca="1" si="8"/>
        <v>0</v>
      </c>
      <c r="I90" s="2"/>
      <c r="J90" s="1"/>
      <c r="K90" s="1"/>
      <c r="L90" s="1"/>
      <c r="M90" s="1"/>
      <c r="N90" s="1"/>
      <c r="O90" s="503"/>
      <c r="P90" s="1"/>
      <c r="Q90" s="1"/>
      <c r="R90" s="1"/>
      <c r="V90" s="503"/>
      <c r="W90" s="503"/>
      <c r="X90" s="503"/>
      <c r="Y90" s="503"/>
      <c r="Z90" s="503"/>
    </row>
    <row r="91" spans="1:27" s="267" customFormat="1" x14ac:dyDescent="0.3">
      <c r="A91" s="1"/>
      <c r="B91" s="1525" t="s">
        <v>309</v>
      </c>
      <c r="C91" s="1525"/>
      <c r="D91" s="1523">
        <f t="shared" ca="1" si="5"/>
        <v>0</v>
      </c>
      <c r="E91" s="1523">
        <f t="shared" ca="1" si="6"/>
        <v>0</v>
      </c>
      <c r="F91" s="1523">
        <f t="shared" ca="1" si="7"/>
        <v>0</v>
      </c>
      <c r="G91" s="1523"/>
      <c r="H91" s="1523">
        <f t="shared" ca="1" si="8"/>
        <v>0</v>
      </c>
      <c r="I91" s="2"/>
      <c r="J91" s="1"/>
      <c r="K91" s="1"/>
      <c r="L91" s="1"/>
      <c r="M91" s="1"/>
      <c r="N91" s="1"/>
      <c r="O91" s="503"/>
      <c r="P91" s="1"/>
      <c r="Q91" s="1"/>
      <c r="R91" s="1"/>
      <c r="V91" s="503"/>
      <c r="W91" s="503"/>
      <c r="X91" s="503"/>
      <c r="Y91" s="503"/>
      <c r="Z91" s="503"/>
    </row>
    <row r="92" spans="1:27" s="267" customFormat="1" x14ac:dyDescent="0.3">
      <c r="A92" s="1"/>
      <c r="B92" s="1525" t="s">
        <v>314</v>
      </c>
      <c r="C92" s="1525"/>
      <c r="D92" s="1523">
        <f t="shared" ca="1" si="5"/>
        <v>0</v>
      </c>
      <c r="E92" s="1523">
        <f t="shared" ca="1" si="6"/>
        <v>0</v>
      </c>
      <c r="F92" s="1523">
        <f t="shared" ca="1" si="7"/>
        <v>0</v>
      </c>
      <c r="G92" s="1523"/>
      <c r="H92" s="1523">
        <f t="shared" ca="1" si="8"/>
        <v>0</v>
      </c>
      <c r="I92" s="2"/>
      <c r="J92" s="1"/>
      <c r="K92" s="1"/>
      <c r="L92" s="1"/>
      <c r="M92" s="1"/>
      <c r="N92" s="1"/>
      <c r="O92" s="503"/>
      <c r="P92" s="1"/>
      <c r="Q92" s="1"/>
      <c r="R92" s="1"/>
      <c r="V92" s="503"/>
      <c r="W92" s="503"/>
      <c r="X92" s="503"/>
      <c r="Y92" s="503"/>
      <c r="Z92" s="503"/>
    </row>
    <row r="93" spans="1:27" s="267" customFormat="1" x14ac:dyDescent="0.3">
      <c r="A93" s="1"/>
      <c r="B93" s="1525" t="s">
        <v>821</v>
      </c>
      <c r="C93" s="1525"/>
      <c r="D93" s="1523">
        <f t="shared" ca="1" si="5"/>
        <v>0</v>
      </c>
      <c r="E93" s="1523">
        <f t="shared" ca="1" si="6"/>
        <v>0</v>
      </c>
      <c r="F93" s="1523">
        <f t="shared" ca="1" si="7"/>
        <v>0</v>
      </c>
      <c r="G93" s="1523"/>
      <c r="H93" s="1523">
        <f t="shared" ca="1" si="8"/>
        <v>0</v>
      </c>
      <c r="I93" s="2"/>
      <c r="J93" s="1"/>
      <c r="K93" s="1"/>
      <c r="L93" s="1"/>
      <c r="M93" s="1"/>
      <c r="N93" s="1"/>
      <c r="O93" s="503"/>
      <c r="P93" s="1"/>
      <c r="Q93" s="1"/>
      <c r="R93" s="1"/>
      <c r="V93" s="503"/>
      <c r="W93" s="503"/>
      <c r="X93" s="503"/>
      <c r="Y93" s="503"/>
      <c r="Z93" s="503"/>
    </row>
    <row r="94" spans="1:27" s="267" customFormat="1" ht="12.75" customHeight="1" x14ac:dyDescent="0.3">
      <c r="A94" s="1"/>
      <c r="B94" s="1525" t="s">
        <v>315</v>
      </c>
      <c r="C94" s="1525"/>
      <c r="D94" s="1523">
        <f t="shared" ca="1" si="5"/>
        <v>0</v>
      </c>
      <c r="E94" s="1523">
        <f t="shared" ca="1" si="6"/>
        <v>0</v>
      </c>
      <c r="F94" s="1523">
        <f t="shared" ca="1" si="7"/>
        <v>0</v>
      </c>
      <c r="G94" s="1523"/>
      <c r="H94" s="1523">
        <f t="shared" ca="1" si="8"/>
        <v>0</v>
      </c>
      <c r="I94" s="2"/>
      <c r="J94" s="1"/>
      <c r="K94" s="1"/>
      <c r="L94" s="1"/>
      <c r="M94" s="1"/>
      <c r="N94" s="1"/>
      <c r="O94" s="503"/>
      <c r="P94" s="1"/>
      <c r="Q94" s="1"/>
      <c r="R94" s="1"/>
      <c r="V94" s="503"/>
      <c r="W94" s="503"/>
      <c r="X94" s="503"/>
      <c r="Y94" s="503"/>
      <c r="Z94" s="503"/>
    </row>
    <row r="95" spans="1:27" s="267" customFormat="1" x14ac:dyDescent="0.3">
      <c r="A95" s="1"/>
      <c r="B95" s="1"/>
      <c r="C95" s="1"/>
      <c r="D95" s="1"/>
      <c r="E95" s="203"/>
      <c r="F95" s="1"/>
      <c r="G95" s="1"/>
      <c r="H95" s="1"/>
      <c r="I95" s="2"/>
      <c r="J95" s="1"/>
      <c r="K95" s="1"/>
      <c r="L95" s="1"/>
      <c r="M95" s="1"/>
      <c r="N95" s="1"/>
      <c r="O95" s="503"/>
      <c r="P95" s="1"/>
      <c r="Q95" s="1"/>
      <c r="R95" s="1"/>
      <c r="V95" s="503"/>
      <c r="W95" s="503"/>
      <c r="X95" s="503"/>
      <c r="Y95" s="503"/>
      <c r="Z95" s="503"/>
    </row>
    <row r="96" spans="1:27" s="267" customFormat="1" x14ac:dyDescent="0.3">
      <c r="A96" s="1"/>
      <c r="B96" s="1"/>
      <c r="C96" s="1"/>
      <c r="D96" s="1"/>
      <c r="E96" s="203"/>
      <c r="F96" s="1"/>
      <c r="G96" s="1"/>
      <c r="H96" s="1"/>
      <c r="I96" s="2"/>
      <c r="J96" s="1"/>
      <c r="K96" s="1"/>
      <c r="L96" s="1"/>
      <c r="M96" s="1"/>
      <c r="N96" s="1"/>
      <c r="O96" s="503"/>
      <c r="P96" s="1"/>
      <c r="Q96" s="1"/>
      <c r="R96" s="1"/>
      <c r="V96" s="503"/>
      <c r="W96" s="503"/>
      <c r="X96" s="503"/>
      <c r="Y96" s="503"/>
      <c r="Z96" s="503"/>
    </row>
    <row r="97" spans="1:26" s="267" customFormat="1" x14ac:dyDescent="0.3">
      <c r="A97" s="1"/>
      <c r="B97" s="1"/>
      <c r="C97" s="1"/>
      <c r="D97" s="1"/>
      <c r="E97" s="203"/>
      <c r="F97" s="1"/>
      <c r="G97" s="1"/>
      <c r="H97" s="1"/>
      <c r="I97" s="2"/>
      <c r="J97" s="1"/>
      <c r="K97" s="1"/>
      <c r="L97" s="1"/>
      <c r="M97" s="1"/>
      <c r="N97" s="1"/>
      <c r="O97" s="503"/>
      <c r="P97" s="1"/>
      <c r="Q97" s="1"/>
      <c r="R97" s="1"/>
      <c r="V97" s="503"/>
      <c r="W97" s="503"/>
      <c r="X97" s="503"/>
      <c r="Y97" s="503"/>
      <c r="Z97" s="503"/>
    </row>
    <row r="98" spans="1:26" s="267" customFormat="1" x14ac:dyDescent="0.3">
      <c r="A98" s="1"/>
      <c r="B98" s="1"/>
      <c r="C98" s="1"/>
      <c r="D98" s="1"/>
      <c r="E98" s="203"/>
      <c r="F98" s="1"/>
      <c r="G98" s="1"/>
      <c r="H98" s="1"/>
      <c r="I98" s="2"/>
      <c r="J98" s="1"/>
      <c r="K98" s="1"/>
      <c r="L98" s="1"/>
      <c r="M98" s="1"/>
      <c r="N98" s="1"/>
      <c r="O98" s="503"/>
      <c r="P98" s="1"/>
      <c r="Q98" s="1"/>
      <c r="R98" s="1"/>
      <c r="V98" s="503"/>
      <c r="W98" s="503"/>
      <c r="X98" s="503"/>
      <c r="Y98" s="503"/>
      <c r="Z98" s="503"/>
    </row>
    <row r="99" spans="1:26" s="267" customFormat="1" x14ac:dyDescent="0.3">
      <c r="A99" s="1"/>
      <c r="B99" s="1"/>
      <c r="C99" s="1"/>
      <c r="D99" s="1"/>
      <c r="E99" s="203"/>
      <c r="F99" s="1"/>
      <c r="G99" s="1"/>
      <c r="H99" s="1"/>
      <c r="I99" s="2"/>
      <c r="J99" s="1"/>
      <c r="K99" s="1"/>
      <c r="L99" s="1"/>
      <c r="M99" s="1"/>
      <c r="N99" s="1"/>
      <c r="O99" s="503"/>
      <c r="P99" s="1"/>
      <c r="Q99" s="1"/>
      <c r="R99" s="1"/>
      <c r="V99" s="503"/>
      <c r="W99" s="503"/>
      <c r="X99" s="503"/>
      <c r="Y99" s="503"/>
      <c r="Z99" s="503"/>
    </row>
    <row r="100" spans="1:26" s="267" customFormat="1" x14ac:dyDescent="0.3">
      <c r="A100" s="1"/>
      <c r="B100" s="1"/>
      <c r="C100" s="1"/>
      <c r="D100" s="1"/>
      <c r="E100" s="203"/>
      <c r="F100" s="1"/>
      <c r="G100" s="1"/>
      <c r="H100" s="1"/>
      <c r="I100" s="2"/>
      <c r="J100" s="1"/>
      <c r="K100" s="1"/>
      <c r="L100" s="1"/>
      <c r="M100" s="1"/>
      <c r="N100" s="1"/>
      <c r="O100" s="503"/>
      <c r="P100" s="1"/>
      <c r="Q100" s="1"/>
      <c r="R100" s="1"/>
      <c r="V100" s="503"/>
      <c r="W100" s="503"/>
      <c r="X100" s="503"/>
      <c r="Y100" s="503"/>
      <c r="Z100" s="503"/>
    </row>
    <row r="101" spans="1:26" s="267" customFormat="1" x14ac:dyDescent="0.3">
      <c r="A101" s="1"/>
      <c r="B101" s="1"/>
      <c r="C101" s="1"/>
      <c r="D101" s="1"/>
      <c r="E101" s="203"/>
      <c r="F101" s="1"/>
      <c r="G101" s="1"/>
      <c r="H101" s="1"/>
      <c r="I101" s="2"/>
      <c r="J101" s="1"/>
      <c r="K101" s="1"/>
      <c r="L101" s="1"/>
      <c r="M101" s="1"/>
      <c r="N101" s="1"/>
      <c r="O101" s="503"/>
      <c r="P101" s="1"/>
      <c r="Q101" s="1"/>
      <c r="R101" s="1"/>
      <c r="V101" s="503"/>
      <c r="W101" s="503"/>
      <c r="X101" s="503"/>
      <c r="Y101" s="503"/>
      <c r="Z101" s="503"/>
    </row>
    <row r="102" spans="1:26" s="267" customFormat="1" x14ac:dyDescent="0.3">
      <c r="A102" s="1"/>
      <c r="B102" s="1"/>
      <c r="C102" s="1"/>
      <c r="D102" s="1"/>
      <c r="E102" s="203"/>
      <c r="F102" s="1"/>
      <c r="G102" s="1"/>
      <c r="H102" s="1"/>
      <c r="I102" s="2"/>
      <c r="J102" s="1"/>
      <c r="K102" s="1"/>
      <c r="L102" s="1"/>
      <c r="M102" s="1"/>
      <c r="N102" s="1"/>
      <c r="O102" s="503"/>
      <c r="P102" s="1"/>
      <c r="Q102" s="1"/>
      <c r="R102" s="1"/>
      <c r="V102" s="503"/>
      <c r="W102" s="503"/>
      <c r="X102" s="503"/>
      <c r="Y102" s="503"/>
      <c r="Z102" s="503"/>
    </row>
    <row r="103" spans="1:26" s="267" customFormat="1" x14ac:dyDescent="0.3">
      <c r="A103" s="1"/>
      <c r="B103" s="1"/>
      <c r="C103" s="1"/>
      <c r="D103" s="1"/>
      <c r="E103" s="203"/>
      <c r="F103" s="1"/>
      <c r="G103" s="1"/>
      <c r="H103" s="1"/>
      <c r="I103" s="2"/>
      <c r="J103" s="1"/>
      <c r="K103" s="1"/>
      <c r="L103" s="1"/>
      <c r="M103" s="1"/>
      <c r="N103" s="1"/>
      <c r="O103" s="503"/>
      <c r="P103" s="1"/>
      <c r="Q103" s="1"/>
      <c r="R103" s="1"/>
      <c r="V103" s="503"/>
      <c r="W103" s="503"/>
      <c r="X103" s="503"/>
      <c r="Y103" s="503"/>
      <c r="Z103" s="503"/>
    </row>
    <row r="104" spans="1:26" s="267" customFormat="1" x14ac:dyDescent="0.3">
      <c r="A104" s="1"/>
      <c r="B104" s="1"/>
      <c r="C104" s="1"/>
      <c r="D104" s="1"/>
      <c r="E104" s="203"/>
      <c r="F104" s="1"/>
      <c r="G104" s="1"/>
      <c r="H104" s="1"/>
      <c r="I104" s="2"/>
      <c r="J104" s="1"/>
      <c r="K104" s="1"/>
      <c r="L104" s="1"/>
      <c r="M104" s="1"/>
      <c r="N104" s="1"/>
      <c r="O104" s="503"/>
      <c r="P104" s="1"/>
      <c r="Q104" s="1"/>
      <c r="R104" s="1"/>
      <c r="V104" s="503"/>
      <c r="W104" s="503"/>
      <c r="X104" s="503"/>
      <c r="Y104" s="503"/>
      <c r="Z104" s="503"/>
    </row>
    <row r="105" spans="1:26" s="267" customFormat="1" x14ac:dyDescent="0.3">
      <c r="A105" s="1"/>
      <c r="B105" s="1"/>
      <c r="C105" s="1"/>
      <c r="D105" s="1"/>
      <c r="E105" s="203"/>
      <c r="F105" s="1"/>
      <c r="G105" s="1"/>
      <c r="H105" s="1"/>
      <c r="I105" s="2"/>
      <c r="J105" s="1"/>
      <c r="K105" s="1"/>
      <c r="L105" s="1"/>
      <c r="M105" s="1"/>
      <c r="N105" s="1"/>
      <c r="O105" s="503"/>
      <c r="P105" s="1"/>
      <c r="Q105" s="1"/>
      <c r="R105" s="1"/>
      <c r="V105" s="503"/>
      <c r="W105" s="503"/>
      <c r="X105" s="503"/>
      <c r="Y105" s="503"/>
      <c r="Z105" s="503"/>
    </row>
    <row r="106" spans="1:26" s="267" customFormat="1" x14ac:dyDescent="0.3">
      <c r="A106" s="1"/>
      <c r="B106" s="1"/>
      <c r="C106" s="1"/>
      <c r="D106" s="1"/>
      <c r="E106" s="203"/>
      <c r="F106" s="1"/>
      <c r="G106" s="1"/>
      <c r="H106" s="1"/>
      <c r="I106" s="2"/>
      <c r="J106" s="1"/>
      <c r="K106" s="1"/>
      <c r="L106" s="1"/>
      <c r="M106" s="1"/>
      <c r="N106" s="1"/>
      <c r="O106" s="503"/>
      <c r="P106" s="1"/>
      <c r="Q106" s="1"/>
      <c r="R106" s="1"/>
      <c r="V106" s="503"/>
      <c r="W106" s="503"/>
      <c r="X106" s="503"/>
      <c r="Y106" s="503"/>
      <c r="Z106" s="503"/>
    </row>
    <row r="107" spans="1:26" s="267" customFormat="1" x14ac:dyDescent="0.3">
      <c r="A107" s="1"/>
      <c r="B107" s="1"/>
      <c r="C107" s="1"/>
      <c r="D107" s="1"/>
      <c r="E107" s="203"/>
      <c r="F107" s="1"/>
      <c r="G107" s="1"/>
      <c r="H107" s="1"/>
      <c r="I107" s="2"/>
      <c r="J107" s="1"/>
      <c r="K107" s="1"/>
      <c r="L107" s="1"/>
      <c r="M107" s="1"/>
      <c r="N107" s="1"/>
      <c r="O107" s="503"/>
      <c r="P107" s="1"/>
      <c r="Q107" s="1"/>
      <c r="R107" s="1"/>
      <c r="V107" s="503"/>
      <c r="W107" s="503"/>
      <c r="X107" s="503"/>
      <c r="Y107" s="503"/>
      <c r="Z107" s="503"/>
    </row>
    <row r="108" spans="1:26" s="267" customFormat="1" x14ac:dyDescent="0.3">
      <c r="A108" s="1"/>
      <c r="B108" s="1"/>
      <c r="C108" s="1"/>
      <c r="D108" s="1"/>
      <c r="E108" s="203"/>
      <c r="F108" s="1"/>
      <c r="G108" s="1"/>
      <c r="H108" s="1"/>
      <c r="I108" s="2"/>
      <c r="J108" s="1"/>
      <c r="K108" s="1"/>
      <c r="L108" s="1"/>
      <c r="M108" s="1"/>
      <c r="N108" s="1"/>
      <c r="O108" s="503"/>
      <c r="P108" s="1"/>
      <c r="Q108" s="1"/>
      <c r="R108" s="1"/>
      <c r="V108" s="503"/>
      <c r="W108" s="503"/>
      <c r="X108" s="503"/>
      <c r="Y108" s="503"/>
      <c r="Z108" s="503"/>
    </row>
    <row r="109" spans="1:26" s="267" customFormat="1" x14ac:dyDescent="0.3">
      <c r="A109" s="1"/>
      <c r="B109" s="1"/>
      <c r="C109" s="1"/>
      <c r="D109" s="1"/>
      <c r="E109" s="203"/>
      <c r="F109" s="1"/>
      <c r="G109" s="1"/>
      <c r="H109" s="1"/>
      <c r="I109" s="2"/>
      <c r="J109" s="1"/>
      <c r="K109" s="1"/>
      <c r="L109" s="1"/>
      <c r="M109" s="1"/>
      <c r="N109" s="1"/>
      <c r="O109" s="503"/>
      <c r="P109" s="1"/>
      <c r="Q109" s="1"/>
      <c r="R109" s="1"/>
      <c r="V109" s="503"/>
      <c r="W109" s="503"/>
      <c r="X109" s="503"/>
      <c r="Y109" s="503"/>
      <c r="Z109" s="503"/>
    </row>
    <row r="110" spans="1:26" s="267" customFormat="1" x14ac:dyDescent="0.3">
      <c r="A110" s="1"/>
      <c r="B110" s="1"/>
      <c r="C110" s="1"/>
      <c r="D110" s="1"/>
      <c r="E110" s="203"/>
      <c r="F110" s="1"/>
      <c r="G110" s="1"/>
      <c r="H110" s="1"/>
      <c r="I110" s="2"/>
      <c r="J110" s="1"/>
      <c r="K110" s="1"/>
      <c r="L110" s="1"/>
      <c r="M110" s="1"/>
      <c r="N110" s="1"/>
      <c r="O110" s="503"/>
      <c r="P110" s="1"/>
      <c r="Q110" s="1"/>
      <c r="R110" s="1"/>
      <c r="V110" s="503"/>
      <c r="W110" s="503"/>
      <c r="X110" s="503"/>
      <c r="Y110" s="503"/>
      <c r="Z110" s="503"/>
    </row>
    <row r="111" spans="1:26" s="267" customFormat="1" x14ac:dyDescent="0.3">
      <c r="A111" s="1"/>
      <c r="B111" s="1"/>
      <c r="C111" s="1"/>
      <c r="D111" s="1"/>
      <c r="E111" s="203"/>
      <c r="F111" s="1"/>
      <c r="G111" s="1"/>
      <c r="H111" s="1"/>
      <c r="I111" s="2"/>
      <c r="J111" s="1"/>
      <c r="K111" s="1"/>
      <c r="L111" s="1"/>
      <c r="M111" s="1"/>
      <c r="N111" s="1"/>
      <c r="O111" s="503"/>
      <c r="P111" s="1"/>
      <c r="Q111" s="1"/>
      <c r="R111" s="1"/>
      <c r="V111" s="503"/>
      <c r="W111" s="503"/>
      <c r="X111" s="503"/>
      <c r="Y111" s="503"/>
      <c r="Z111" s="503"/>
    </row>
    <row r="112" spans="1:26" s="267" customFormat="1" x14ac:dyDescent="0.3">
      <c r="A112" s="1"/>
      <c r="B112" s="1"/>
      <c r="C112" s="1"/>
      <c r="D112" s="1"/>
      <c r="E112" s="203"/>
      <c r="F112" s="1"/>
      <c r="G112" s="1"/>
      <c r="H112" s="1"/>
      <c r="I112" s="2"/>
      <c r="J112" s="1"/>
      <c r="K112" s="1"/>
      <c r="L112" s="1"/>
      <c r="M112" s="1"/>
      <c r="N112" s="1"/>
      <c r="O112" s="503"/>
      <c r="P112" s="1"/>
      <c r="Q112" s="1"/>
      <c r="R112" s="1"/>
      <c r="V112" s="503"/>
      <c r="W112" s="503"/>
      <c r="X112" s="503"/>
      <c r="Y112" s="503"/>
      <c r="Z112" s="503"/>
    </row>
    <row r="113" spans="1:26" s="267" customFormat="1" x14ac:dyDescent="0.3">
      <c r="A113" s="1"/>
      <c r="B113" s="1"/>
      <c r="C113" s="1"/>
      <c r="D113" s="1"/>
      <c r="E113" s="203"/>
      <c r="F113" s="1"/>
      <c r="G113" s="1"/>
      <c r="H113" s="1"/>
      <c r="I113" s="2"/>
      <c r="J113" s="1"/>
      <c r="K113" s="1"/>
      <c r="L113" s="1"/>
      <c r="M113" s="1"/>
      <c r="N113" s="1"/>
      <c r="O113" s="503"/>
      <c r="P113" s="1"/>
      <c r="Q113" s="1"/>
      <c r="R113" s="1"/>
      <c r="V113" s="503"/>
      <c r="W113" s="503"/>
      <c r="X113" s="503"/>
      <c r="Y113" s="503"/>
      <c r="Z113" s="503"/>
    </row>
    <row r="114" spans="1:26" s="267" customFormat="1" x14ac:dyDescent="0.3">
      <c r="A114" s="1"/>
      <c r="B114" s="1"/>
      <c r="C114" s="1"/>
      <c r="D114" s="1"/>
      <c r="E114" s="203"/>
      <c r="F114" s="1"/>
      <c r="G114" s="1"/>
      <c r="H114" s="1"/>
      <c r="I114" s="2"/>
      <c r="J114" s="1"/>
      <c r="K114" s="1"/>
      <c r="L114" s="1"/>
      <c r="M114" s="1"/>
      <c r="N114" s="1"/>
      <c r="O114" s="503"/>
      <c r="P114" s="1"/>
      <c r="Q114" s="1"/>
      <c r="R114" s="1"/>
      <c r="V114" s="503"/>
      <c r="W114" s="503"/>
      <c r="X114" s="503"/>
      <c r="Y114" s="503"/>
      <c r="Z114" s="503"/>
    </row>
    <row r="115" spans="1:26" s="267" customFormat="1" x14ac:dyDescent="0.3">
      <c r="A115" s="1"/>
      <c r="B115" s="1"/>
      <c r="C115" s="1"/>
      <c r="D115" s="1"/>
      <c r="E115" s="203"/>
      <c r="F115" s="1"/>
      <c r="G115" s="1"/>
      <c r="H115" s="1"/>
      <c r="I115" s="2"/>
      <c r="J115" s="1"/>
      <c r="K115" s="1"/>
      <c r="L115" s="1"/>
      <c r="M115" s="1"/>
      <c r="N115" s="1"/>
      <c r="O115" s="503"/>
      <c r="P115" s="1"/>
      <c r="Q115" s="1"/>
      <c r="R115" s="1"/>
      <c r="V115" s="503"/>
      <c r="W115" s="503"/>
      <c r="X115" s="503"/>
      <c r="Y115" s="503"/>
      <c r="Z115" s="503"/>
    </row>
    <row r="116" spans="1:26" s="267" customFormat="1" x14ac:dyDescent="0.3">
      <c r="A116" s="1"/>
      <c r="B116" s="1"/>
      <c r="C116" s="1"/>
      <c r="D116" s="1"/>
      <c r="E116" s="203"/>
      <c r="F116" s="1"/>
      <c r="G116" s="1"/>
      <c r="H116" s="1"/>
      <c r="I116" s="2"/>
      <c r="J116" s="1"/>
      <c r="K116" s="1"/>
      <c r="L116" s="1"/>
      <c r="M116" s="1"/>
      <c r="N116" s="1"/>
      <c r="O116" s="503"/>
      <c r="P116" s="1"/>
      <c r="Q116" s="1"/>
      <c r="R116" s="1"/>
      <c r="V116" s="503"/>
      <c r="W116" s="503"/>
      <c r="X116" s="503"/>
      <c r="Y116" s="503"/>
      <c r="Z116" s="503"/>
    </row>
    <row r="117" spans="1:26" s="267" customFormat="1" x14ac:dyDescent="0.3">
      <c r="A117" s="1"/>
      <c r="B117" s="1"/>
      <c r="C117" s="1"/>
      <c r="D117" s="1"/>
      <c r="E117" s="203"/>
      <c r="F117" s="1"/>
      <c r="G117" s="1"/>
      <c r="H117" s="1"/>
      <c r="I117" s="2"/>
      <c r="J117" s="1"/>
      <c r="K117" s="1"/>
      <c r="L117" s="1"/>
      <c r="M117" s="1"/>
      <c r="N117" s="1"/>
      <c r="O117" s="503"/>
      <c r="P117" s="1"/>
      <c r="Q117" s="1"/>
      <c r="R117" s="1"/>
      <c r="V117" s="503"/>
      <c r="W117" s="503"/>
      <c r="X117" s="503"/>
      <c r="Y117" s="503"/>
      <c r="Z117" s="503"/>
    </row>
    <row r="118" spans="1:26" s="267" customFormat="1" x14ac:dyDescent="0.3">
      <c r="A118" s="1"/>
      <c r="B118" s="1"/>
      <c r="C118" s="1"/>
      <c r="D118" s="1"/>
      <c r="E118" s="203"/>
      <c r="F118" s="1"/>
      <c r="G118" s="1"/>
      <c r="H118" s="1"/>
      <c r="I118" s="2"/>
      <c r="J118" s="1"/>
      <c r="K118" s="1"/>
      <c r="L118" s="1"/>
      <c r="M118" s="1"/>
      <c r="N118" s="1"/>
      <c r="O118" s="503"/>
      <c r="P118" s="1"/>
      <c r="Q118" s="1"/>
      <c r="R118" s="1"/>
      <c r="V118" s="503"/>
      <c r="W118" s="503"/>
      <c r="X118" s="503"/>
      <c r="Y118" s="503"/>
      <c r="Z118" s="503"/>
    </row>
    <row r="119" spans="1:26" s="267" customFormat="1" x14ac:dyDescent="0.3">
      <c r="A119" s="1"/>
      <c r="B119" s="1"/>
      <c r="C119" s="1"/>
      <c r="D119" s="1"/>
      <c r="E119" s="203"/>
      <c r="F119" s="1"/>
      <c r="G119" s="1"/>
      <c r="H119" s="1"/>
      <c r="I119" s="2"/>
      <c r="J119" s="1"/>
      <c r="K119" s="1"/>
      <c r="L119" s="1"/>
      <c r="M119" s="1"/>
      <c r="N119" s="1"/>
      <c r="O119" s="503"/>
      <c r="P119" s="1"/>
      <c r="Q119" s="1"/>
      <c r="R119" s="1"/>
      <c r="V119" s="503"/>
      <c r="W119" s="503"/>
      <c r="X119" s="503"/>
      <c r="Y119" s="503"/>
      <c r="Z119" s="503"/>
    </row>
    <row r="120" spans="1:26" s="267" customFormat="1" x14ac:dyDescent="0.3">
      <c r="A120" s="1"/>
      <c r="B120" s="1"/>
      <c r="C120" s="1"/>
      <c r="D120" s="1"/>
      <c r="E120" s="203"/>
      <c r="F120" s="1"/>
      <c r="G120" s="1"/>
      <c r="H120" s="1"/>
      <c r="I120" s="2"/>
      <c r="J120" s="1"/>
      <c r="K120" s="1"/>
      <c r="L120" s="1"/>
      <c r="M120" s="1"/>
      <c r="N120" s="1"/>
      <c r="O120" s="503"/>
      <c r="P120" s="1"/>
      <c r="Q120" s="1"/>
      <c r="R120" s="1"/>
      <c r="V120" s="503"/>
      <c r="W120" s="503"/>
      <c r="X120" s="503"/>
      <c r="Y120" s="503"/>
      <c r="Z120" s="503"/>
    </row>
    <row r="121" spans="1:26" s="267" customFormat="1" x14ac:dyDescent="0.3">
      <c r="A121" s="1"/>
      <c r="B121" s="1"/>
      <c r="C121" s="1"/>
      <c r="D121" s="1"/>
      <c r="E121" s="203"/>
      <c r="F121" s="1"/>
      <c r="G121" s="1"/>
      <c r="H121" s="1"/>
      <c r="I121" s="2"/>
      <c r="J121" s="1"/>
      <c r="K121" s="1"/>
      <c r="L121" s="1"/>
      <c r="M121" s="1"/>
      <c r="N121" s="1"/>
      <c r="O121" s="503"/>
      <c r="P121" s="1"/>
      <c r="Q121" s="1"/>
      <c r="R121" s="1"/>
      <c r="V121" s="503"/>
      <c r="W121" s="503"/>
      <c r="X121" s="503"/>
      <c r="Y121" s="503"/>
      <c r="Z121" s="503"/>
    </row>
    <row r="122" spans="1:26" s="267" customFormat="1" x14ac:dyDescent="0.3">
      <c r="A122" s="1"/>
      <c r="B122" s="1"/>
      <c r="C122" s="1"/>
      <c r="D122" s="1"/>
      <c r="E122" s="203"/>
      <c r="F122" s="1"/>
      <c r="G122" s="1"/>
      <c r="H122" s="1"/>
      <c r="I122" s="2"/>
      <c r="J122" s="1"/>
      <c r="K122" s="1"/>
      <c r="L122" s="1"/>
      <c r="M122" s="1"/>
      <c r="N122" s="1"/>
      <c r="O122" s="503"/>
      <c r="P122" s="1"/>
      <c r="Q122" s="1"/>
      <c r="R122" s="1"/>
      <c r="V122" s="503"/>
      <c r="W122" s="503"/>
      <c r="X122" s="503"/>
      <c r="Y122" s="503"/>
      <c r="Z122" s="503"/>
    </row>
    <row r="123" spans="1:26" s="267" customFormat="1" x14ac:dyDescent="0.3">
      <c r="A123" s="1"/>
      <c r="B123" s="1"/>
      <c r="C123" s="1"/>
      <c r="D123" s="1"/>
      <c r="E123" s="203"/>
      <c r="F123" s="1"/>
      <c r="G123" s="1"/>
      <c r="H123" s="1"/>
      <c r="I123" s="2"/>
      <c r="J123" s="1"/>
      <c r="K123" s="1"/>
      <c r="L123" s="1"/>
      <c r="M123" s="1"/>
      <c r="N123" s="1"/>
      <c r="O123" s="503"/>
      <c r="P123" s="1"/>
      <c r="Q123" s="1"/>
      <c r="R123" s="1"/>
      <c r="V123" s="503"/>
      <c r="W123" s="503"/>
      <c r="X123" s="503"/>
      <c r="Y123" s="503"/>
      <c r="Z123" s="503"/>
    </row>
    <row r="124" spans="1:26" s="267" customFormat="1" x14ac:dyDescent="0.3">
      <c r="A124" s="1"/>
      <c r="B124" s="1"/>
      <c r="C124" s="1"/>
      <c r="D124" s="1"/>
      <c r="E124" s="203"/>
      <c r="F124" s="1"/>
      <c r="G124" s="1"/>
      <c r="H124" s="1"/>
      <c r="I124" s="2"/>
      <c r="J124" s="1"/>
      <c r="K124" s="1"/>
      <c r="L124" s="1"/>
      <c r="M124" s="1"/>
      <c r="N124" s="1"/>
      <c r="O124" s="503"/>
      <c r="P124" s="1"/>
      <c r="Q124" s="1"/>
      <c r="R124" s="1"/>
      <c r="V124" s="503"/>
      <c r="W124" s="503"/>
      <c r="X124" s="503"/>
      <c r="Y124" s="503"/>
      <c r="Z124" s="503"/>
    </row>
    <row r="125" spans="1:26" s="267" customFormat="1" x14ac:dyDescent="0.3">
      <c r="A125" s="1"/>
      <c r="B125" s="1"/>
      <c r="C125" s="1"/>
      <c r="D125" s="1"/>
      <c r="E125" s="203"/>
      <c r="F125" s="1"/>
      <c r="G125" s="1"/>
      <c r="H125" s="1"/>
      <c r="I125" s="2"/>
      <c r="J125" s="1"/>
      <c r="K125" s="1"/>
      <c r="L125" s="1"/>
      <c r="M125" s="1"/>
      <c r="N125" s="1"/>
      <c r="O125" s="503"/>
      <c r="P125" s="1"/>
      <c r="Q125" s="1"/>
      <c r="R125" s="1"/>
      <c r="V125" s="503"/>
      <c r="W125" s="503"/>
      <c r="X125" s="503"/>
      <c r="Y125" s="503"/>
      <c r="Z125" s="503"/>
    </row>
    <row r="126" spans="1:26" s="267" customFormat="1" x14ac:dyDescent="0.3">
      <c r="A126" s="1"/>
      <c r="B126" s="1"/>
      <c r="C126" s="1"/>
      <c r="D126" s="1"/>
      <c r="E126" s="203"/>
      <c r="F126" s="1"/>
      <c r="G126" s="1"/>
      <c r="H126" s="1"/>
      <c r="I126" s="2"/>
      <c r="J126" s="1"/>
      <c r="K126" s="1"/>
      <c r="L126" s="1"/>
      <c r="M126" s="1"/>
      <c r="N126" s="1"/>
      <c r="O126" s="503"/>
      <c r="P126" s="1"/>
      <c r="Q126" s="1"/>
      <c r="R126" s="1"/>
      <c r="V126" s="503"/>
      <c r="W126" s="503"/>
      <c r="X126" s="503"/>
      <c r="Y126" s="503"/>
      <c r="Z126" s="503"/>
    </row>
    <row r="127" spans="1:26" s="267" customFormat="1" x14ac:dyDescent="0.3">
      <c r="A127" s="1"/>
      <c r="B127" s="1"/>
      <c r="C127" s="1"/>
      <c r="D127" s="1"/>
      <c r="E127" s="203"/>
      <c r="F127" s="1"/>
      <c r="G127" s="1"/>
      <c r="H127" s="1"/>
      <c r="I127" s="2"/>
      <c r="J127" s="1"/>
      <c r="K127" s="1"/>
      <c r="L127" s="1"/>
      <c r="M127" s="1"/>
      <c r="N127" s="1"/>
      <c r="O127" s="503"/>
      <c r="P127" s="1"/>
      <c r="Q127" s="1"/>
      <c r="R127" s="1"/>
      <c r="V127" s="503"/>
      <c r="W127" s="503"/>
      <c r="X127" s="503"/>
      <c r="Y127" s="503"/>
      <c r="Z127" s="503"/>
    </row>
    <row r="128" spans="1:26" s="267" customFormat="1" x14ac:dyDescent="0.3">
      <c r="A128" s="1"/>
      <c r="B128" s="1"/>
      <c r="C128" s="1"/>
      <c r="D128" s="1"/>
      <c r="E128" s="203"/>
      <c r="F128" s="1"/>
      <c r="G128" s="1"/>
      <c r="H128" s="1"/>
      <c r="I128" s="2"/>
      <c r="J128" s="1"/>
      <c r="K128" s="1"/>
      <c r="L128" s="1"/>
      <c r="M128" s="1"/>
      <c r="N128" s="1"/>
      <c r="O128" s="503"/>
      <c r="P128" s="1"/>
      <c r="Q128" s="1"/>
      <c r="R128" s="1"/>
      <c r="V128" s="503"/>
      <c r="W128" s="503"/>
      <c r="X128" s="503"/>
      <c r="Y128" s="503"/>
      <c r="Z128" s="503"/>
    </row>
    <row r="129" spans="1:26" s="267" customFormat="1" x14ac:dyDescent="0.3">
      <c r="A129" s="1"/>
      <c r="B129" s="1"/>
      <c r="C129" s="1"/>
      <c r="D129" s="1"/>
      <c r="E129" s="203"/>
      <c r="F129" s="1"/>
      <c r="G129" s="1"/>
      <c r="H129" s="1"/>
      <c r="I129" s="2"/>
      <c r="J129" s="1"/>
      <c r="K129" s="1"/>
      <c r="L129" s="1"/>
      <c r="M129" s="1"/>
      <c r="N129" s="1"/>
      <c r="O129" s="503"/>
      <c r="P129" s="1"/>
      <c r="Q129" s="1"/>
      <c r="R129" s="1"/>
      <c r="V129" s="503"/>
      <c r="W129" s="503"/>
      <c r="X129" s="503"/>
      <c r="Y129" s="503"/>
      <c r="Z129" s="503"/>
    </row>
    <row r="130" spans="1:26" s="267" customFormat="1" x14ac:dyDescent="0.3">
      <c r="A130" s="1"/>
      <c r="B130" s="1"/>
      <c r="C130" s="1"/>
      <c r="D130" s="1"/>
      <c r="E130" s="203"/>
      <c r="F130" s="1"/>
      <c r="G130" s="1"/>
      <c r="H130" s="1"/>
      <c r="I130" s="2"/>
      <c r="J130" s="1"/>
      <c r="K130" s="1"/>
      <c r="L130" s="1"/>
      <c r="M130" s="1"/>
      <c r="N130" s="1"/>
      <c r="O130" s="503"/>
      <c r="P130" s="1"/>
      <c r="Q130" s="1"/>
      <c r="R130" s="1"/>
      <c r="V130" s="503"/>
      <c r="W130" s="503"/>
      <c r="X130" s="503"/>
      <c r="Y130" s="503"/>
      <c r="Z130" s="503"/>
    </row>
    <row r="131" spans="1:26" s="267" customFormat="1" x14ac:dyDescent="0.3">
      <c r="A131" s="1"/>
      <c r="B131" s="1"/>
      <c r="C131" s="1"/>
      <c r="D131" s="1"/>
      <c r="E131" s="203"/>
      <c r="F131" s="1"/>
      <c r="G131" s="1"/>
      <c r="H131" s="1"/>
      <c r="I131" s="2"/>
      <c r="J131" s="1"/>
      <c r="K131" s="1"/>
      <c r="L131" s="1"/>
      <c r="M131" s="1"/>
      <c r="N131" s="1"/>
      <c r="O131" s="503"/>
      <c r="P131" s="1"/>
      <c r="Q131" s="1"/>
      <c r="R131" s="1"/>
      <c r="V131" s="503"/>
      <c r="W131" s="503"/>
      <c r="X131" s="503"/>
      <c r="Y131" s="503"/>
      <c r="Z131" s="503"/>
    </row>
    <row r="132" spans="1:26" s="267" customFormat="1" x14ac:dyDescent="0.3">
      <c r="A132" s="1"/>
      <c r="B132" s="1"/>
      <c r="C132" s="1"/>
      <c r="D132" s="1"/>
      <c r="E132" s="203"/>
      <c r="F132" s="1"/>
      <c r="G132" s="1"/>
      <c r="H132" s="1"/>
      <c r="I132" s="2"/>
      <c r="J132" s="1"/>
      <c r="K132" s="1"/>
      <c r="L132" s="1"/>
      <c r="M132" s="1"/>
      <c r="N132" s="1"/>
      <c r="O132" s="503"/>
      <c r="P132" s="1"/>
      <c r="Q132" s="1"/>
      <c r="R132" s="1"/>
      <c r="V132" s="503"/>
      <c r="W132" s="503"/>
      <c r="X132" s="503"/>
      <c r="Y132" s="503"/>
      <c r="Z132" s="503"/>
    </row>
    <row r="133" spans="1:26" s="267" customFormat="1" x14ac:dyDescent="0.3">
      <c r="A133" s="1"/>
      <c r="B133" s="1"/>
      <c r="C133" s="1"/>
      <c r="D133" s="1"/>
      <c r="E133" s="203"/>
      <c r="F133" s="1"/>
      <c r="G133" s="1"/>
      <c r="H133" s="1"/>
      <c r="I133" s="2"/>
      <c r="J133" s="1"/>
      <c r="K133" s="1"/>
      <c r="L133" s="1"/>
      <c r="M133" s="1"/>
      <c r="N133" s="1"/>
      <c r="O133" s="503"/>
      <c r="P133" s="1"/>
      <c r="Q133" s="1"/>
      <c r="R133" s="1"/>
      <c r="V133" s="503"/>
      <c r="W133" s="503"/>
      <c r="X133" s="503"/>
      <c r="Y133" s="503"/>
      <c r="Z133" s="503"/>
    </row>
    <row r="134" spans="1:26" s="267" customFormat="1" x14ac:dyDescent="0.3">
      <c r="A134" s="1"/>
      <c r="B134" s="1"/>
      <c r="C134" s="1"/>
      <c r="D134" s="1"/>
      <c r="E134" s="203"/>
      <c r="F134" s="1"/>
      <c r="G134" s="1"/>
      <c r="H134" s="1"/>
      <c r="I134" s="2"/>
      <c r="J134" s="1"/>
      <c r="K134" s="1"/>
      <c r="L134" s="1"/>
      <c r="M134" s="1"/>
      <c r="N134" s="1"/>
      <c r="O134" s="503"/>
      <c r="P134" s="1"/>
      <c r="Q134" s="1"/>
      <c r="R134" s="1"/>
      <c r="V134" s="503"/>
      <c r="W134" s="503"/>
      <c r="X134" s="503"/>
      <c r="Y134" s="503"/>
      <c r="Z134" s="503"/>
    </row>
    <row r="135" spans="1:26" s="267" customFormat="1" x14ac:dyDescent="0.3">
      <c r="A135" s="1"/>
      <c r="B135" s="1"/>
      <c r="C135" s="1"/>
      <c r="D135" s="1"/>
      <c r="E135" s="203"/>
      <c r="F135" s="1"/>
      <c r="G135" s="1"/>
      <c r="H135" s="1"/>
      <c r="I135" s="2"/>
      <c r="J135" s="1"/>
      <c r="K135" s="1"/>
      <c r="L135" s="1"/>
      <c r="M135" s="1"/>
      <c r="N135" s="1"/>
      <c r="O135" s="503"/>
      <c r="P135" s="1"/>
      <c r="Q135" s="1"/>
      <c r="R135" s="1"/>
      <c r="V135" s="503"/>
      <c r="W135" s="503"/>
      <c r="X135" s="503"/>
      <c r="Y135" s="503"/>
      <c r="Z135" s="503"/>
    </row>
    <row r="136" spans="1:26" s="267" customFormat="1" x14ac:dyDescent="0.3">
      <c r="A136" s="1"/>
      <c r="B136" s="1"/>
      <c r="C136" s="1"/>
      <c r="D136" s="1"/>
      <c r="E136" s="203"/>
      <c r="F136" s="1"/>
      <c r="G136" s="1"/>
      <c r="H136" s="1"/>
      <c r="I136" s="2"/>
      <c r="J136" s="1"/>
      <c r="K136" s="1"/>
      <c r="L136" s="1"/>
      <c r="M136" s="1"/>
      <c r="N136" s="1"/>
      <c r="O136" s="503"/>
      <c r="P136" s="1"/>
      <c r="Q136" s="1"/>
      <c r="R136" s="1"/>
      <c r="V136" s="503"/>
      <c r="W136" s="503"/>
      <c r="X136" s="503"/>
      <c r="Y136" s="503"/>
      <c r="Z136" s="503"/>
    </row>
    <row r="137" spans="1:26" s="267" customFormat="1" x14ac:dyDescent="0.3">
      <c r="A137" s="1"/>
      <c r="B137" s="1"/>
      <c r="C137" s="1"/>
      <c r="D137" s="1"/>
      <c r="E137" s="203"/>
      <c r="F137" s="1"/>
      <c r="G137" s="1"/>
      <c r="H137" s="1"/>
      <c r="I137" s="2"/>
      <c r="J137" s="1"/>
      <c r="K137" s="1"/>
      <c r="L137" s="1"/>
      <c r="M137" s="1"/>
      <c r="N137" s="1"/>
      <c r="O137" s="503"/>
      <c r="P137" s="1"/>
      <c r="Q137" s="1"/>
      <c r="R137" s="1"/>
      <c r="V137" s="503"/>
      <c r="W137" s="503"/>
      <c r="X137" s="503"/>
      <c r="Y137" s="503"/>
      <c r="Z137" s="503"/>
    </row>
    <row r="138" spans="1:26" s="267" customFormat="1" x14ac:dyDescent="0.3">
      <c r="A138" s="1"/>
      <c r="B138" s="1"/>
      <c r="C138" s="1"/>
      <c r="D138" s="1"/>
      <c r="E138" s="203"/>
      <c r="F138" s="1"/>
      <c r="G138" s="1"/>
      <c r="H138" s="1"/>
      <c r="I138" s="2"/>
      <c r="J138" s="1"/>
      <c r="K138" s="1"/>
      <c r="L138" s="1"/>
      <c r="M138" s="1"/>
      <c r="N138" s="1"/>
      <c r="O138" s="503"/>
      <c r="P138" s="1"/>
      <c r="Q138" s="1"/>
      <c r="R138" s="1"/>
      <c r="V138" s="503"/>
      <c r="W138" s="503"/>
      <c r="X138" s="503"/>
      <c r="Y138" s="503"/>
      <c r="Z138" s="503"/>
    </row>
    <row r="139" spans="1:26" s="267" customFormat="1" x14ac:dyDescent="0.3">
      <c r="A139" s="1"/>
      <c r="B139" s="1"/>
      <c r="C139" s="1"/>
      <c r="D139" s="1"/>
      <c r="E139" s="203"/>
      <c r="F139" s="1"/>
      <c r="G139" s="1"/>
      <c r="H139" s="1"/>
      <c r="I139" s="2"/>
      <c r="J139" s="1"/>
      <c r="K139" s="1"/>
      <c r="L139" s="1"/>
      <c r="M139" s="1"/>
      <c r="N139" s="1"/>
      <c r="O139" s="503"/>
      <c r="P139" s="1"/>
      <c r="Q139" s="1"/>
      <c r="R139" s="1"/>
      <c r="V139" s="503"/>
      <c r="W139" s="503"/>
      <c r="X139" s="503"/>
      <c r="Y139" s="503"/>
      <c r="Z139" s="503"/>
    </row>
    <row r="140" spans="1:26" s="267" customFormat="1" x14ac:dyDescent="0.3">
      <c r="A140" s="1"/>
      <c r="B140" s="1"/>
      <c r="C140" s="1"/>
      <c r="D140" s="1"/>
      <c r="E140" s="203"/>
      <c r="F140" s="1"/>
      <c r="G140" s="1"/>
      <c r="H140" s="1"/>
      <c r="I140" s="2"/>
      <c r="J140" s="1"/>
      <c r="K140" s="1"/>
      <c r="L140" s="1"/>
      <c r="M140" s="1"/>
      <c r="N140" s="1"/>
      <c r="O140" s="503"/>
      <c r="P140" s="1"/>
      <c r="Q140" s="1"/>
      <c r="R140" s="1"/>
      <c r="V140" s="503"/>
      <c r="W140" s="503"/>
      <c r="X140" s="503"/>
      <c r="Y140" s="503"/>
      <c r="Z140" s="503"/>
    </row>
    <row r="141" spans="1:26" x14ac:dyDescent="0.3">
      <c r="S141" s="267"/>
    </row>
    <row r="142" spans="1:26" x14ac:dyDescent="0.3">
      <c r="S142" s="267"/>
    </row>
  </sheetData>
  <sheetProtection algorithmName="SHA-512" hashValue="fxySDKbsDdou58GVtW1NxzDnKxo8uHqtFgrhSzW7UeMGxO74sQkAQPdMoRO1NEGny7p69vz/Gl6PgJ5eahdnXw==" saltValue="DW7FdXBFn71VfDo8emYcUg==" spinCount="100000" sheet="1" formatCells="0" formatColumns="0" formatRows="0" insertColumns="0" insertRows="0" insertHyperlinks="0" deleteColumns="0" deleteRows="0" sort="0" autoFilter="0" pivotTables="0"/>
  <mergeCells count="95">
    <mergeCell ref="B80:E80"/>
    <mergeCell ref="B81:E81"/>
    <mergeCell ref="B82:F82"/>
    <mergeCell ref="L79:Q79"/>
    <mergeCell ref="L80:Q80"/>
    <mergeCell ref="L81:Q81"/>
    <mergeCell ref="B79:F79"/>
    <mergeCell ref="L25:M25"/>
    <mergeCell ref="L46:M46"/>
    <mergeCell ref="I48:J48"/>
    <mergeCell ref="L48:S48"/>
    <mergeCell ref="L27:M27"/>
    <mergeCell ref="L31:M31"/>
    <mergeCell ref="L34:L35"/>
    <mergeCell ref="P34:P35"/>
    <mergeCell ref="M34:M35"/>
    <mergeCell ref="J34:J35"/>
    <mergeCell ref="L64:M64"/>
    <mergeCell ref="P49:P50"/>
    <mergeCell ref="M49:M50"/>
    <mergeCell ref="N49:N50"/>
    <mergeCell ref="H69:J69"/>
    <mergeCell ref="H64:J65"/>
    <mergeCell ref="H58:J58"/>
    <mergeCell ref="H60:J60"/>
    <mergeCell ref="H62:J62"/>
    <mergeCell ref="B18:J18"/>
    <mergeCell ref="B28:J28"/>
    <mergeCell ref="B25:J25"/>
    <mergeCell ref="B26:J26"/>
    <mergeCell ref="B33:F33"/>
    <mergeCell ref="B27:J27"/>
    <mergeCell ref="F30:J30"/>
    <mergeCell ref="H21:J21"/>
    <mergeCell ref="B46:E46"/>
    <mergeCell ref="B53:D53"/>
    <mergeCell ref="I34:I35"/>
    <mergeCell ref="H34:H35"/>
    <mergeCell ref="D34:F35"/>
    <mergeCell ref="E53:G53"/>
    <mergeCell ref="B17:J17"/>
    <mergeCell ref="L75:S75"/>
    <mergeCell ref="H42:J42"/>
    <mergeCell ref="L49:L50"/>
    <mergeCell ref="R49:R50"/>
    <mergeCell ref="H49:I49"/>
    <mergeCell ref="D42:E42"/>
    <mergeCell ref="B49:D50"/>
    <mergeCell ref="B55:D55"/>
    <mergeCell ref="B54:D54"/>
    <mergeCell ref="S49:S50"/>
    <mergeCell ref="B52:D52"/>
    <mergeCell ref="E36:F36"/>
    <mergeCell ref="N34:N35"/>
    <mergeCell ref="S34:S35"/>
    <mergeCell ref="R34:R35"/>
    <mergeCell ref="B2:S2"/>
    <mergeCell ref="B8:J8"/>
    <mergeCell ref="B23:J23"/>
    <mergeCell ref="D4:E4"/>
    <mergeCell ref="L6:M6"/>
    <mergeCell ref="L4:P4"/>
    <mergeCell ref="R4:R6"/>
    <mergeCell ref="S4:S6"/>
    <mergeCell ref="B11:J11"/>
    <mergeCell ref="B10:J10"/>
    <mergeCell ref="B19:J19"/>
    <mergeCell ref="B15:J15"/>
    <mergeCell ref="B12:J12"/>
    <mergeCell ref="B13:J13"/>
    <mergeCell ref="B16:J16"/>
    <mergeCell ref="B14:J14"/>
    <mergeCell ref="L77:P77"/>
    <mergeCell ref="F78:H78"/>
    <mergeCell ref="L78:P78"/>
    <mergeCell ref="B78:E78"/>
    <mergeCell ref="L73:P73"/>
    <mergeCell ref="I72:J73"/>
    <mergeCell ref="L72:P72"/>
    <mergeCell ref="H70:J70"/>
    <mergeCell ref="R40:S40"/>
    <mergeCell ref="R56:S56"/>
    <mergeCell ref="H44:J44"/>
    <mergeCell ref="D37:G37"/>
    <mergeCell ref="D38:G38"/>
    <mergeCell ref="D39:G39"/>
    <mergeCell ref="D40:G40"/>
    <mergeCell ref="E54:G54"/>
    <mergeCell ref="E55:G55"/>
    <mergeCell ref="E56:G56"/>
    <mergeCell ref="B56:D56"/>
    <mergeCell ref="H67:I67"/>
    <mergeCell ref="E49:G50"/>
    <mergeCell ref="E51:G51"/>
    <mergeCell ref="E52:G52"/>
  </mergeCells>
  <phoneticPr fontId="13" type="noConversion"/>
  <conditionalFormatting sqref="V79">
    <cfRule type="expression" dxfId="349" priority="76">
      <formula>T79&gt;S79</formula>
    </cfRule>
  </conditionalFormatting>
  <conditionalFormatting sqref="U79">
    <cfRule type="cellIs" dxfId="348" priority="73" stopIfTrue="1" operator="equal">
      <formula>"J"</formula>
    </cfRule>
    <cfRule type="cellIs" dxfId="347" priority="74" stopIfTrue="1" operator="equal">
      <formula>"L"</formula>
    </cfRule>
    <cfRule type="cellIs" dxfId="346" priority="75" stopIfTrue="1" operator="equal">
      <formula>"K"</formula>
    </cfRule>
  </conditionalFormatting>
  <conditionalFormatting sqref="U40">
    <cfRule type="expression" dxfId="345" priority="72">
      <formula>$M$40&gt;40%</formula>
    </cfRule>
  </conditionalFormatting>
  <conditionalFormatting sqref="V40">
    <cfRule type="cellIs" dxfId="344" priority="71" operator="greaterThan">
      <formula>0</formula>
    </cfRule>
  </conditionalFormatting>
  <conditionalFormatting sqref="U42">
    <cfRule type="expression" dxfId="343" priority="70">
      <formula>$V$40&gt;0</formula>
    </cfRule>
  </conditionalFormatting>
  <conditionalFormatting sqref="V42">
    <cfRule type="cellIs" dxfId="342" priority="69" operator="greaterThan">
      <formula>0</formula>
    </cfRule>
  </conditionalFormatting>
  <conditionalFormatting sqref="U80:U81">
    <cfRule type="cellIs" dxfId="341" priority="66" stopIfTrue="1" operator="equal">
      <formula>"J"</formula>
    </cfRule>
    <cfRule type="cellIs" dxfId="340" priority="67" stopIfTrue="1" operator="equal">
      <formula>"L"</formula>
    </cfRule>
    <cfRule type="cellIs" dxfId="339" priority="68" stopIfTrue="1" operator="equal">
      <formula>"K"</formula>
    </cfRule>
  </conditionalFormatting>
  <conditionalFormatting sqref="J81:K81">
    <cfRule type="cellIs" dxfId="338" priority="63" stopIfTrue="1" operator="equal">
      <formula>"J"</formula>
    </cfRule>
    <cfRule type="cellIs" dxfId="337" priority="64" stopIfTrue="1" operator="equal">
      <formula>"L"</formula>
    </cfRule>
    <cfRule type="cellIs" dxfId="336" priority="65" stopIfTrue="1" operator="equal">
      <formula>"K"</formula>
    </cfRule>
  </conditionalFormatting>
  <conditionalFormatting sqref="I72:J73">
    <cfRule type="expression" dxfId="335" priority="62">
      <formula>$L$70=0</formula>
    </cfRule>
  </conditionalFormatting>
  <conditionalFormatting sqref="G64:H64">
    <cfRule type="expression" dxfId="334" priority="3351">
      <formula>$J$68=0</formula>
    </cfRule>
  </conditionalFormatting>
  <conditionalFormatting sqref="M70">
    <cfRule type="cellIs" dxfId="333" priority="60" operator="equal">
      <formula>0</formula>
    </cfRule>
  </conditionalFormatting>
  <conditionalFormatting sqref="I46">
    <cfRule type="cellIs" dxfId="332" priority="55" operator="equal">
      <formula>0</formula>
    </cfRule>
    <cfRule type="cellIs" dxfId="331" priority="57" operator="notEqual">
      <formula>0</formula>
    </cfRule>
  </conditionalFormatting>
  <conditionalFormatting sqref="J36:J39 L36:M39 P36:P39">
    <cfRule type="cellIs" dxfId="330" priority="54" operator="equal">
      <formula>0</formula>
    </cfRule>
  </conditionalFormatting>
  <conditionalFormatting sqref="J40 L40:M40 P40">
    <cfRule type="cellIs" dxfId="329" priority="53" operator="equal">
      <formula>0</formula>
    </cfRule>
  </conditionalFormatting>
  <conditionalFormatting sqref="P51:P55">
    <cfRule type="cellIs" dxfId="328" priority="52" operator="equal">
      <formula>0</formula>
    </cfRule>
  </conditionalFormatting>
  <conditionalFormatting sqref="J67 L67 P67 R67:S67">
    <cfRule type="cellIs" dxfId="327" priority="51" operator="lessThan">
      <formula>0</formula>
    </cfRule>
  </conditionalFormatting>
  <conditionalFormatting sqref="M67">
    <cfRule type="expression" dxfId="326" priority="50">
      <formula>$L$67&lt;0</formula>
    </cfRule>
  </conditionalFormatting>
  <conditionalFormatting sqref="R31">
    <cfRule type="expression" dxfId="325" priority="48" stopIfTrue="1">
      <formula>R30&lt;0</formula>
    </cfRule>
    <cfRule type="expression" dxfId="324" priority="49" stopIfTrue="1">
      <formula>R30&gt;0</formula>
    </cfRule>
  </conditionalFormatting>
  <conditionalFormatting sqref="S31">
    <cfRule type="expression" dxfId="323" priority="44" stopIfTrue="1">
      <formula>S30&lt;0</formula>
    </cfRule>
    <cfRule type="expression" dxfId="322" priority="45" stopIfTrue="1">
      <formula>S30&gt;0</formula>
    </cfRule>
  </conditionalFormatting>
  <conditionalFormatting sqref="P31">
    <cfRule type="expression" dxfId="321" priority="42" stopIfTrue="1">
      <formula>P30&lt;0</formula>
    </cfRule>
    <cfRule type="expression" dxfId="320" priority="43" stopIfTrue="1">
      <formula>P30&gt;0</formula>
    </cfRule>
  </conditionalFormatting>
  <conditionalFormatting sqref="L31">
    <cfRule type="expression" dxfId="319" priority="40" stopIfTrue="1">
      <formula>L30&lt;0</formula>
    </cfRule>
    <cfRule type="expression" dxfId="318" priority="41" stopIfTrue="1">
      <formula>L30&gt;0</formula>
    </cfRule>
  </conditionalFormatting>
  <conditionalFormatting sqref="N30 P30 R30:S30">
    <cfRule type="cellIs" dxfId="317" priority="39" operator="lessThan">
      <formula>0</formula>
    </cfRule>
  </conditionalFormatting>
  <conditionalFormatting sqref="L30">
    <cfRule type="cellIs" dxfId="316" priority="38" operator="lessThan">
      <formula>0</formula>
    </cfRule>
  </conditionalFormatting>
  <conditionalFormatting sqref="M30">
    <cfRule type="expression" dxfId="315" priority="37">
      <formula>L30&lt;0</formula>
    </cfRule>
  </conditionalFormatting>
  <conditionalFormatting sqref="N44 P44 R44:S44">
    <cfRule type="cellIs" dxfId="314" priority="36" operator="lessThan">
      <formula>0</formula>
    </cfRule>
  </conditionalFormatting>
  <conditionalFormatting sqref="L44">
    <cfRule type="cellIs" dxfId="313" priority="35" operator="lessThan">
      <formula>0</formula>
    </cfRule>
  </conditionalFormatting>
  <conditionalFormatting sqref="M44">
    <cfRule type="expression" dxfId="312" priority="34">
      <formula>L44&lt;0</formula>
    </cfRule>
  </conditionalFormatting>
  <conditionalFormatting sqref="P46">
    <cfRule type="expression" dxfId="311" priority="32" stopIfTrue="1">
      <formula>P44&lt;0</formula>
    </cfRule>
    <cfRule type="expression" dxfId="310" priority="33" stopIfTrue="1">
      <formula>P44&gt;0</formula>
    </cfRule>
  </conditionalFormatting>
  <conditionalFormatting sqref="R46">
    <cfRule type="expression" dxfId="309" priority="30" stopIfTrue="1">
      <formula>R44&lt;0</formula>
    </cfRule>
    <cfRule type="expression" dxfId="308" priority="31" stopIfTrue="1">
      <formula>R44&gt;0</formula>
    </cfRule>
  </conditionalFormatting>
  <conditionalFormatting sqref="S46">
    <cfRule type="expression" dxfId="307" priority="28" stopIfTrue="1">
      <formula>S44&lt;0</formula>
    </cfRule>
    <cfRule type="expression" dxfId="306" priority="29" stopIfTrue="1">
      <formula>S44&gt;0</formula>
    </cfRule>
  </conditionalFormatting>
  <conditionalFormatting sqref="L46">
    <cfRule type="expression" dxfId="305" priority="26" stopIfTrue="1">
      <formula>L44&lt;0</formula>
    </cfRule>
    <cfRule type="expression" dxfId="304" priority="27" stopIfTrue="1">
      <formula>L44&gt;0</formula>
    </cfRule>
  </conditionalFormatting>
  <conditionalFormatting sqref="N62 P62 R62:S62">
    <cfRule type="cellIs" dxfId="303" priority="25" operator="lessThan">
      <formula>0</formula>
    </cfRule>
  </conditionalFormatting>
  <conditionalFormatting sqref="L62">
    <cfRule type="cellIs" dxfId="302" priority="24" operator="lessThan">
      <formula>0</formula>
    </cfRule>
  </conditionalFormatting>
  <conditionalFormatting sqref="M62">
    <cfRule type="expression" dxfId="301" priority="23">
      <formula>L62&lt;0</formula>
    </cfRule>
  </conditionalFormatting>
  <conditionalFormatting sqref="R64">
    <cfRule type="expression" dxfId="300" priority="21" stopIfTrue="1">
      <formula>R62&lt;0</formula>
    </cfRule>
    <cfRule type="expression" dxfId="299" priority="22" stopIfTrue="1">
      <formula>R62&gt;0</formula>
    </cfRule>
  </conditionalFormatting>
  <conditionalFormatting sqref="S64">
    <cfRule type="expression" dxfId="298" priority="19" stopIfTrue="1">
      <formula>S62&lt;0</formula>
    </cfRule>
    <cfRule type="expression" dxfId="297" priority="20" stopIfTrue="1">
      <formula>S62&gt;0</formula>
    </cfRule>
  </conditionalFormatting>
  <conditionalFormatting sqref="P64">
    <cfRule type="expression" dxfId="296" priority="17" stopIfTrue="1">
      <formula>P62&lt;0</formula>
    </cfRule>
    <cfRule type="expression" dxfId="295" priority="18" stopIfTrue="1">
      <formula>P62&gt;0</formula>
    </cfRule>
  </conditionalFormatting>
  <conditionalFormatting sqref="L64:M64">
    <cfRule type="expression" dxfId="294" priority="14">
      <formula>L21=0</formula>
    </cfRule>
    <cfRule type="expression" dxfId="293" priority="15" stopIfTrue="1">
      <formula>L62&lt;=0</formula>
    </cfRule>
    <cfRule type="expression" dxfId="292" priority="16" stopIfTrue="1">
      <formula>L62&gt;0</formula>
    </cfRule>
  </conditionalFormatting>
  <conditionalFormatting sqref="M40">
    <cfRule type="cellIs" dxfId="291" priority="13" operator="greaterThan">
      <formula>0.4</formula>
    </cfRule>
  </conditionalFormatting>
  <conditionalFormatting sqref="L40">
    <cfRule type="expression" dxfId="290" priority="12">
      <formula>$M$40&gt;0.4</formula>
    </cfRule>
  </conditionalFormatting>
  <conditionalFormatting sqref="P40">
    <cfRule type="expression" dxfId="289" priority="11">
      <formula>$M$40&gt;0.4</formula>
    </cfRule>
  </conditionalFormatting>
  <conditionalFormatting sqref="J51:J55">
    <cfRule type="cellIs" dxfId="288" priority="10" operator="equal">
      <formula>"en cours"</formula>
    </cfRule>
  </conditionalFormatting>
  <conditionalFormatting sqref="P56">
    <cfRule type="cellIs" dxfId="287" priority="9" operator="equal">
      <formula>0</formula>
    </cfRule>
  </conditionalFormatting>
  <conditionalFormatting sqref="F46">
    <cfRule type="expression" dxfId="286" priority="8">
      <formula>$I$46=0</formula>
    </cfRule>
  </conditionalFormatting>
  <conditionalFormatting sqref="C42">
    <cfRule type="cellIs" dxfId="285" priority="6" operator="equal">
      <formula>0</formula>
    </cfRule>
  </conditionalFormatting>
  <conditionalFormatting sqref="B42">
    <cfRule type="cellIs" dxfId="284" priority="7" operator="equal">
      <formula>0</formula>
    </cfRule>
  </conditionalFormatting>
  <conditionalFormatting sqref="F42">
    <cfRule type="cellIs" dxfId="283" priority="5" operator="equal">
      <formula>0</formula>
    </cfRule>
  </conditionalFormatting>
  <conditionalFormatting sqref="R42:S42">
    <cfRule type="cellIs" dxfId="282" priority="4" operator="equal">
      <formula>0</formula>
    </cfRule>
  </conditionalFormatting>
  <conditionalFormatting sqref="L42">
    <cfRule type="cellIs" dxfId="281" priority="3" operator="equal">
      <formula>0</formula>
    </cfRule>
  </conditionalFormatting>
  <conditionalFormatting sqref="N42">
    <cfRule type="cellIs" dxfId="280" priority="2" operator="equal">
      <formula>0</formula>
    </cfRule>
  </conditionalFormatting>
  <conditionalFormatting sqref="P42">
    <cfRule type="cellIs" dxfId="279" priority="1" operator="equal">
      <formula>0</formula>
    </cfRule>
  </conditionalFormatting>
  <dataValidations count="6">
    <dataValidation allowBlank="1" showInputMessage="1" showErrorMessage="1" sqref="H56:I56 H39 H52:I52" xr:uid="{00000000-0002-0000-0D00-000000000000}"/>
    <dataValidation allowBlank="1" showInputMessage="1" showErrorMessage="1" promptTitle="Attention !" prompt="L'apport d'Herrikoa est limité à 40% du_x000a_montant total du capital." sqref="H40" xr:uid="{00000000-0002-0000-0D00-000001000000}"/>
    <dataValidation allowBlank="1" showInputMessage="1" showErrorMessage="1" prompt="Joindre la méthode de valorisation de la prime d'émission" sqref="I36:I39" xr:uid="{00000000-0002-0000-0D00-000002000000}"/>
    <dataValidation type="list" allowBlank="1" showInputMessage="1" showErrorMessage="1" sqref="J51:J56" xr:uid="{00000000-0002-0000-0D00-000003000000}">
      <formula1>"oui, en cours"</formula1>
    </dataValidation>
    <dataValidation allowBlank="1" showInputMessage="1" showErrorMessage="1" prompt="Signe - _x000a_avant le montant" sqref="C36:C40" xr:uid="{00000000-0002-0000-0D00-000004000000}"/>
    <dataValidation type="list" allowBlank="1" showInputMessage="1" showErrorMessage="1" sqref="E51:F56" xr:uid="{00000000-0002-0000-0D00-000005000000}">
      <formula1>$B$87:$B$94</formula1>
    </dataValidation>
  </dataValidations>
  <hyperlinks>
    <hyperlink ref="I48" location="'Simulation emprunt'!A1" display="Voir simulation d'emprunt" xr:uid="{00000000-0004-0000-0D00-000000000000}"/>
    <hyperlink ref="I48:J48" location="'Tableaux d''emprunts'!B1" display="Voir tableaux d'emprunts" xr:uid="{00000000-0004-0000-0D00-000001000000}"/>
  </hyperlinks>
  <printOptions horizontalCentered="1"/>
  <pageMargins left="0" right="0" top="0" bottom="0" header="0" footer="0"/>
  <pageSetup paperSize="9" scale="59" orientation="portrait" r:id="rId1"/>
  <headerFooter alignWithMargins="0"/>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499984740745262"/>
  </sheetPr>
  <dimension ref="A1:T86"/>
  <sheetViews>
    <sheetView showGridLines="0" showRowColHeaders="0" topLeftCell="A2" zoomScaleNormal="100" workbookViewId="0">
      <selection activeCell="B2" sqref="B2:T2"/>
    </sheetView>
  </sheetViews>
  <sheetFormatPr baseColWidth="10" defaultColWidth="12" defaultRowHeight="13.8" x14ac:dyDescent="0.3"/>
  <cols>
    <col min="1" max="1" width="2" style="1355" customWidth="1"/>
    <col min="2" max="2" width="11.77734375" style="1354" customWidth="1"/>
    <col min="3" max="3" width="11.33203125" style="1357" customWidth="1"/>
    <col min="4" max="6" width="11.33203125" style="1355" customWidth="1"/>
    <col min="7" max="7" width="12.77734375" style="1355" customWidth="1"/>
    <col min="8" max="8" width="11.33203125" style="1355" customWidth="1"/>
    <col min="9" max="10" width="12.77734375" style="1355" customWidth="1"/>
    <col min="11" max="11" width="1" style="1357" customWidth="1"/>
    <col min="12" max="12" width="11.33203125" style="1355" customWidth="1"/>
    <col min="13" max="13" width="14.33203125" style="1355" customWidth="1"/>
    <col min="14" max="15" width="11.33203125" style="1355" customWidth="1"/>
    <col min="16" max="17" width="12.77734375" style="1355" customWidth="1"/>
    <col min="18" max="18" width="1" style="1355" customWidth="1"/>
    <col min="19" max="19" width="7.77734375" style="1355" customWidth="1"/>
    <col min="20" max="20" width="6.6640625" style="1355" customWidth="1"/>
    <col min="21" max="21" width="10.109375" style="1355" customWidth="1"/>
    <col min="22" max="16384" width="12" style="1355"/>
  </cols>
  <sheetData>
    <row r="1" spans="2:20" ht="6" customHeight="1" x14ac:dyDescent="0.3"/>
    <row r="2" spans="2:20" ht="21.9" customHeight="1" x14ac:dyDescent="0.3">
      <c r="B2" s="5035" t="s">
        <v>1298</v>
      </c>
      <c r="C2" s="5036"/>
      <c r="D2" s="5036"/>
      <c r="E2" s="5036"/>
      <c r="F2" s="5036"/>
      <c r="G2" s="5036"/>
      <c r="H2" s="5036"/>
      <c r="I2" s="5036"/>
      <c r="J2" s="5036"/>
      <c r="K2" s="5036"/>
      <c r="L2" s="5036"/>
      <c r="M2" s="5036"/>
      <c r="N2" s="5036"/>
      <c r="O2" s="5036"/>
      <c r="P2" s="5036"/>
      <c r="Q2" s="5036"/>
      <c r="R2" s="5036"/>
      <c r="S2" s="5036"/>
      <c r="T2" s="5037"/>
    </row>
    <row r="3" spans="2:20" ht="6" customHeight="1" x14ac:dyDescent="0.3"/>
    <row r="4" spans="2:20" ht="20.100000000000001" customHeight="1" x14ac:dyDescent="0.3">
      <c r="B4" s="4973" t="s">
        <v>1227</v>
      </c>
      <c r="C4" s="4973"/>
      <c r="D4" s="4973"/>
      <c r="E4" s="4973"/>
      <c r="F4" s="4973"/>
      <c r="G4" s="4973"/>
    </row>
    <row r="5" spans="2:20" s="1353" customFormat="1" ht="20.100000000000001" customHeight="1" x14ac:dyDescent="0.25">
      <c r="B5" s="4904" t="s">
        <v>877</v>
      </c>
      <c r="C5" s="4905"/>
      <c r="D5" s="5006" t="s">
        <v>1190</v>
      </c>
      <c r="E5" s="5007"/>
      <c r="F5" s="5007"/>
      <c r="G5" s="5007"/>
      <c r="H5" s="4974" t="s">
        <v>1192</v>
      </c>
      <c r="I5" s="4975"/>
      <c r="J5" s="4976"/>
      <c r="K5" s="1495"/>
      <c r="L5" s="4979" t="s">
        <v>1192</v>
      </c>
      <c r="M5" s="4980"/>
      <c r="N5" s="5053" t="s">
        <v>1193</v>
      </c>
      <c r="O5" s="5054"/>
      <c r="P5" s="5054"/>
      <c r="Q5" s="5054"/>
      <c r="S5" s="4890" t="s">
        <v>1194</v>
      </c>
      <c r="T5" s="4891"/>
    </row>
    <row r="6" spans="2:20" s="1335" customFormat="1" ht="15" customHeight="1" x14ac:dyDescent="0.3">
      <c r="B6" s="4906"/>
      <c r="C6" s="4907"/>
      <c r="D6" s="1362" t="str">
        <f>IF(ISBLANK(An)," ",An-3)</f>
        <v xml:space="preserve"> </v>
      </c>
      <c r="E6" s="1363" t="str">
        <f>IF(ISBLANK(An)," ",An-2)</f>
        <v xml:space="preserve"> </v>
      </c>
      <c r="F6" s="1363" t="str">
        <f>IF(ISBLANK(An)," ",An-1)</f>
        <v xml:space="preserve"> </v>
      </c>
      <c r="G6" s="5004" t="s">
        <v>1191</v>
      </c>
      <c r="H6" s="1406" t="str">
        <f>IF(ISBLANK(An)," ",An)</f>
        <v xml:space="preserve"> </v>
      </c>
      <c r="I6" s="1407" t="str">
        <f>IF(ISBLANK(An)," ",An+1)</f>
        <v xml:space="preserve"> </v>
      </c>
      <c r="J6" s="1408" t="str">
        <f>IF(ISBLANK(An)," ",An+2)</f>
        <v xml:space="preserve"> </v>
      </c>
      <c r="K6" s="1343"/>
      <c r="L6" s="4977" t="s">
        <v>1228</v>
      </c>
      <c r="M6" s="4978"/>
      <c r="N6" s="1336" t="str">
        <f>IF(ISBLANK(An)," ",An)</f>
        <v xml:space="preserve"> </v>
      </c>
      <c r="O6" s="1336" t="str">
        <f>IF(ISBLANK(An)," ",An+1)</f>
        <v xml:space="preserve"> </v>
      </c>
      <c r="P6" s="1336" t="str">
        <f>IF(ISBLANK(An)," ",An+2)</f>
        <v xml:space="preserve"> </v>
      </c>
      <c r="Q6" s="5055" t="s">
        <v>1191</v>
      </c>
      <c r="S6" s="4892"/>
      <c r="T6" s="4893"/>
    </row>
    <row r="7" spans="2:20" s="1353" customFormat="1" ht="15" customHeight="1" x14ac:dyDescent="0.25">
      <c r="B7" s="4908"/>
      <c r="C7" s="4909"/>
      <c r="D7" s="1364" t="str">
        <f>IF(ISBLANK(durée_3)," ",durée_3)</f>
        <v xml:space="preserve"> </v>
      </c>
      <c r="E7" s="1365" t="str">
        <f>IF(ISBLANK(durée_2)," ",durée_2)</f>
        <v xml:space="preserve"> </v>
      </c>
      <c r="F7" s="1365" t="str">
        <f>IF(ISBLANK(durée_1)," ",durée_1)</f>
        <v xml:space="preserve"> </v>
      </c>
      <c r="G7" s="5005"/>
      <c r="H7" s="1409" t="str">
        <f>IF(ISBLANK(durée_5)," ",durée_5)</f>
        <v xml:space="preserve"> </v>
      </c>
      <c r="I7" s="1410" t="str">
        <f>IF(ISBLANK(durée_6)," ",durée_6)</f>
        <v xml:space="preserve"> </v>
      </c>
      <c r="J7" s="1411" t="str">
        <f>IF(ISBLANK(durée_7)," ",durée_7)</f>
        <v xml:space="preserve"> </v>
      </c>
      <c r="K7" s="1495"/>
      <c r="L7" s="4977"/>
      <c r="M7" s="4978"/>
      <c r="N7" s="2380" t="str">
        <f>IF(ISBLANK(durée_5)," ",durée_5)</f>
        <v xml:space="preserve"> </v>
      </c>
      <c r="O7" s="2380" t="str">
        <f>IF(ISBLANK(durée_6)," ",durée_6)</f>
        <v xml:space="preserve"> </v>
      </c>
      <c r="P7" s="2380" t="str">
        <f>IF(ISBLANK(durée_7)," ",durée_7)</f>
        <v xml:space="preserve"> </v>
      </c>
      <c r="Q7" s="5056"/>
      <c r="S7" s="4892"/>
      <c r="T7" s="4893"/>
    </row>
    <row r="8" spans="2:20" s="1353" customFormat="1" ht="20.100000000000001" customHeight="1" x14ac:dyDescent="0.25">
      <c r="B8" s="4894" t="s">
        <v>1208</v>
      </c>
      <c r="C8" s="4895"/>
      <c r="D8" s="2377">
        <f>IF(ca_3=0,0,1)</f>
        <v>0</v>
      </c>
      <c r="E8" s="2378">
        <f>IF(ca_2=0,0,IF(ca_3=0,1,2))</f>
        <v>0</v>
      </c>
      <c r="F8" s="2378">
        <f>IF(AND(ca_2=0,ca_3=0),1,IF(ca_3=0,2,3))</f>
        <v>1</v>
      </c>
      <c r="G8" s="2379">
        <f>SUM(D8:F8)</f>
        <v>1</v>
      </c>
      <c r="H8" s="1412"/>
      <c r="I8" s="1413"/>
      <c r="J8" s="1414"/>
      <c r="K8" s="1495"/>
      <c r="L8" s="4896" t="s">
        <v>1208</v>
      </c>
      <c r="M8" s="4897"/>
      <c r="N8" s="2381">
        <v>3</v>
      </c>
      <c r="O8" s="2381">
        <v>2</v>
      </c>
      <c r="P8" s="2381">
        <v>1</v>
      </c>
      <c r="Q8" s="2382">
        <f>SUM(N8:P8)</f>
        <v>6</v>
      </c>
      <c r="S8" s="1394" t="str">
        <f>IF(taux_actualisation=0,"Taux ?","Taux :")</f>
        <v>Taux ?</v>
      </c>
      <c r="T8" s="1395"/>
    </row>
    <row r="9" spans="2:20" s="1353" customFormat="1" ht="20.100000000000001" customHeight="1" x14ac:dyDescent="0.25">
      <c r="B9" s="4898" t="s">
        <v>1195</v>
      </c>
      <c r="C9" s="1359" t="s">
        <v>1196</v>
      </c>
      <c r="D9" s="1338" t="str">
        <f>IF(ISERROR((D10/ca_4)-1)," ",(D10/ca_4)-1)</f>
        <v xml:space="preserve"> </v>
      </c>
      <c r="E9" s="1338" t="str">
        <f>IF(ISERROR((E10/D10)-1)," ",(E10/D10)-1)</f>
        <v xml:space="preserve"> </v>
      </c>
      <c r="F9" s="1361" t="str">
        <f>IF(ISERROR((F10/E10)-1)," ",(F10/E10)-1)</f>
        <v xml:space="preserve"> </v>
      </c>
      <c r="G9" s="1403"/>
      <c r="H9" s="1405" t="str">
        <f>IF(ISERROR((H10/F10)-1)," ",(H10/F10)-1)</f>
        <v xml:space="preserve"> </v>
      </c>
      <c r="I9" s="1338" t="str">
        <f>IF(ISERROR((I10/H10)-1)," ",(I10/H10)-1)</f>
        <v xml:space="preserve"> </v>
      </c>
      <c r="J9" s="1339" t="str">
        <f>IF(ISERROR((J10/I10)-1)," ",(J10/I10)-1)</f>
        <v xml:space="preserve"> </v>
      </c>
      <c r="K9" s="1495"/>
      <c r="L9" s="4900" t="s">
        <v>1240</v>
      </c>
      <c r="M9" s="4901"/>
      <c r="N9" s="1432"/>
      <c r="O9" s="1432"/>
      <c r="P9" s="1433"/>
      <c r="Q9" s="1337"/>
      <c r="S9" s="1393"/>
      <c r="T9" s="1392"/>
    </row>
    <row r="10" spans="2:20" s="1353" customFormat="1" ht="20.100000000000001" customHeight="1" x14ac:dyDescent="0.25">
      <c r="B10" s="4899"/>
      <c r="C10" s="2475" t="s">
        <v>176</v>
      </c>
      <c r="D10" s="2476">
        <f>ca_3</f>
        <v>0</v>
      </c>
      <c r="E10" s="2476">
        <f>ca_2</f>
        <v>0</v>
      </c>
      <c r="F10" s="2477">
        <f>ca_1</f>
        <v>0</v>
      </c>
      <c r="G10" s="2478">
        <f>IF(ISERROR(((D10*$D$8*12/$D$7)+(E10*$E$8*12/$E$7)+(F10*$F$8*12/$F$7))/$G$8),0,((D10*$D$8*12/$D$7)+(E10*$E$8*12/$E$7)+(F10*$F$8*12/$F$7))/$G$8)</f>
        <v>0</v>
      </c>
      <c r="H10" s="2479">
        <f>ca_5</f>
        <v>0</v>
      </c>
      <c r="I10" s="2480">
        <f>ca_6</f>
        <v>0</v>
      </c>
      <c r="J10" s="2481">
        <f>ca_7</f>
        <v>0</v>
      </c>
      <c r="K10" s="1495"/>
      <c r="L10" s="4902" t="s">
        <v>1241</v>
      </c>
      <c r="M10" s="4903"/>
      <c r="N10" s="2496">
        <f>IF(ISBLANK(N9),H10,F10*(1+N9))</f>
        <v>0</v>
      </c>
      <c r="O10" s="2496">
        <f>IF(ISBLANK(O9),I10,N10*(1+O9))</f>
        <v>0</v>
      </c>
      <c r="P10" s="2497">
        <f>IF(ISBLANK(P9),J10,O10*(1+P9))</f>
        <v>0</v>
      </c>
      <c r="Q10" s="2498">
        <f>IF(ISERROR(((N10*$N$8*12/$N$7)+(O10*$O$8*12/$O$7)+(P10*$P$8*12/$P$7))/$Q$8),0,((N10*$N$8*12/$N$7)+(O10*$O$8*12/$O$7)+(P10*$P$8*12/$P$7))/$Q$8)</f>
        <v>0</v>
      </c>
      <c r="S10" s="4910">
        <f>IF(taux_actualisation=0,0,AVERAGE((N10*12/$N$7)/(1+taux_actualisation)^1,(O10*12/$O$7)/(1+taux_actualisation)^2,(P10*12/$P$7/(1+taux_actualisation)^3)))</f>
        <v>0</v>
      </c>
      <c r="T10" s="4911"/>
    </row>
    <row r="11" spans="2:20" s="1353" customFormat="1" ht="20.100000000000001" customHeight="1" x14ac:dyDescent="0.25">
      <c r="B11" s="4924" t="s">
        <v>1225</v>
      </c>
      <c r="C11" s="2488" t="s">
        <v>1197</v>
      </c>
      <c r="D11" s="2489" t="str">
        <f t="shared" ref="D11:J11" si="0">IF(ISERROR(D12/D10)," ",D12/D10)</f>
        <v xml:space="preserve"> </v>
      </c>
      <c r="E11" s="2489" t="str">
        <f t="shared" si="0"/>
        <v xml:space="preserve"> </v>
      </c>
      <c r="F11" s="2490" t="str">
        <f t="shared" si="0"/>
        <v xml:space="preserve"> </v>
      </c>
      <c r="G11" s="2491" t="str">
        <f t="shared" si="0"/>
        <v xml:space="preserve"> </v>
      </c>
      <c r="H11" s="2492" t="str">
        <f t="shared" si="0"/>
        <v xml:space="preserve"> </v>
      </c>
      <c r="I11" s="2493" t="str">
        <f t="shared" si="0"/>
        <v xml:space="preserve"> </v>
      </c>
      <c r="J11" s="2493" t="str">
        <f t="shared" si="0"/>
        <v xml:space="preserve"> </v>
      </c>
      <c r="K11" s="1496"/>
      <c r="L11" s="4926" t="s">
        <v>1242</v>
      </c>
      <c r="M11" s="4927"/>
      <c r="N11" s="2501"/>
      <c r="O11" s="2501"/>
      <c r="P11" s="2501"/>
      <c r="Q11" s="2502" t="str">
        <f>IF(ISERROR(Q12/Q10)," ",Q12/Q10)</f>
        <v xml:space="preserve"> </v>
      </c>
      <c r="S11" s="4928" t="str">
        <f>IF(ISERROR(S12/S10)," ",S12/S10)</f>
        <v xml:space="preserve"> </v>
      </c>
      <c r="T11" s="4929"/>
    </row>
    <row r="12" spans="2:20" s="1353" customFormat="1" ht="20.100000000000001" customHeight="1" x14ac:dyDescent="0.25">
      <c r="B12" s="4925"/>
      <c r="C12" s="2494" t="s">
        <v>176</v>
      </c>
      <c r="D12" s="2754">
        <f>ebe_3</f>
        <v>0</v>
      </c>
      <c r="E12" s="2754">
        <f>ebe_2</f>
        <v>0</v>
      </c>
      <c r="F12" s="2756">
        <f>ebe_1</f>
        <v>0</v>
      </c>
      <c r="G12" s="2495">
        <f>IF(ISERROR(((D12*$D$8*12/$D$7)+(E12*$E$8*12/$E$7)+(F12*$F$8*12/$F$7))/$G$8),0,((D12*$D$8*12/$D$7)+(E12*$E$8*12/$E$7)+(F12*$F$8*12/$F$7))/$G$8)</f>
        <v>0</v>
      </c>
      <c r="H12" s="2758">
        <f>ebe_5</f>
        <v>0</v>
      </c>
      <c r="I12" s="2760">
        <f>ebe_6</f>
        <v>0</v>
      </c>
      <c r="J12" s="2761">
        <f>ebe_7</f>
        <v>0</v>
      </c>
      <c r="K12" s="1495"/>
      <c r="L12" s="4930" t="s">
        <v>1244</v>
      </c>
      <c r="M12" s="4931"/>
      <c r="N12" s="2503">
        <f>IF(ISERROR(IF(ISBLANK(N11),N10*H11,N10*N11)),0,IF(ISBLANK(N11),N10*H11,N10*N11))</f>
        <v>0</v>
      </c>
      <c r="O12" s="2503">
        <f>IF(ISERROR(IF(ISBLANK(O11),O10*I11,O10*O11)),0,IF(ISBLANK(O11),O10*I11,O10*O11))</f>
        <v>0</v>
      </c>
      <c r="P12" s="2503">
        <f>IF(ISERROR(IF(ISBLANK(P11),P10*J11,P10*P11)),0,IF(ISBLANK(P11),P10*J11,P10*P11))</f>
        <v>0</v>
      </c>
      <c r="Q12" s="2504">
        <f>IF(ISERROR(((N12*$N$8*12/$N$7)+(O12*$O$8*12/$O$7)+(P12*$P$8*12/$P$7))/$Q$8),0,((N12*$N$8*12/$N$7)+(O12*$O$8*12/$O$7)+(P12*$P$8*12/$P$7))/$Q$8)</f>
        <v>0</v>
      </c>
      <c r="S12" s="4912">
        <f>IF(taux_actualisation=0,0,AVERAGE((N12*12/$N$7)/(1+taux_actualisation)^1,(O12*12/$O$7)/(1+taux_actualisation)^2,(P12*12/$P$7/(1+taux_actualisation)^3)))</f>
        <v>0</v>
      </c>
      <c r="T12" s="4913" t="e">
        <f>AVERAGE((#REF!*12/$N$7)/(1+taux_actualisation)^1,(#REF!*12/$O$7)/(1+taux_actualisation)^2,(#REF!*12/$P$7/(1+taux_actualisation)^3))</f>
        <v>#REF!</v>
      </c>
    </row>
    <row r="13" spans="2:20" s="1353" customFormat="1" ht="20.100000000000001" customHeight="1" x14ac:dyDescent="0.25">
      <c r="B13" s="4914" t="s">
        <v>1226</v>
      </c>
      <c r="C13" s="2482" t="s">
        <v>1197</v>
      </c>
      <c r="D13" s="2483" t="str">
        <f t="shared" ref="D13:J13" si="1">IF(ISERROR(D14/D10)," ",D14/D10)</f>
        <v xml:space="preserve"> </v>
      </c>
      <c r="E13" s="2483" t="str">
        <f t="shared" si="1"/>
        <v xml:space="preserve"> </v>
      </c>
      <c r="F13" s="2484" t="str">
        <f t="shared" si="1"/>
        <v xml:space="preserve"> </v>
      </c>
      <c r="G13" s="2485" t="str">
        <f t="shared" si="1"/>
        <v xml:space="preserve"> </v>
      </c>
      <c r="H13" s="2486" t="str">
        <f t="shared" si="1"/>
        <v xml:space="preserve"> </v>
      </c>
      <c r="I13" s="2487" t="str">
        <f t="shared" si="1"/>
        <v xml:space="preserve"> </v>
      </c>
      <c r="J13" s="2487" t="str">
        <f t="shared" si="1"/>
        <v xml:space="preserve"> </v>
      </c>
      <c r="K13" s="1496"/>
      <c r="L13" s="4916" t="s">
        <v>1242</v>
      </c>
      <c r="M13" s="4917"/>
      <c r="N13" s="2499"/>
      <c r="O13" s="2499"/>
      <c r="P13" s="2499"/>
      <c r="Q13" s="2500" t="str">
        <f>IF(ISERROR(Q14/Q10)," ",Q14/Q10)</f>
        <v xml:space="preserve"> </v>
      </c>
      <c r="S13" s="4918" t="str">
        <f>IF(ISERROR(S14/S10)," ",S14/S10)</f>
        <v xml:space="preserve"> </v>
      </c>
      <c r="T13" s="4919"/>
    </row>
    <row r="14" spans="2:20" s="1353" customFormat="1" ht="20.100000000000001" customHeight="1" x14ac:dyDescent="0.25">
      <c r="B14" s="4915"/>
      <c r="C14" s="1360" t="s">
        <v>176</v>
      </c>
      <c r="D14" s="2755">
        <f>r_3</f>
        <v>0</v>
      </c>
      <c r="E14" s="2755">
        <f>r_2</f>
        <v>0</v>
      </c>
      <c r="F14" s="2757">
        <f>r_1</f>
        <v>0</v>
      </c>
      <c r="G14" s="1404">
        <f>IF(ISERROR(((D14*$D$8*12/$D$7)+(E14*$E$8*12/$E$7)+(F14*$F$8*12/$F$7))/$G$8),0,((D14*$D$8*12/$D$7)+(E14*$E$8*12/$E$7)+(F14*$F$8*12/$F$7))/$G$8)</f>
        <v>0</v>
      </c>
      <c r="H14" s="2759">
        <f>r_5</f>
        <v>0</v>
      </c>
      <c r="I14" s="2763">
        <f>r_6</f>
        <v>0</v>
      </c>
      <c r="J14" s="2762">
        <f>r_7</f>
        <v>0</v>
      </c>
      <c r="K14" s="1495"/>
      <c r="L14" s="4920" t="s">
        <v>1243</v>
      </c>
      <c r="M14" s="4921"/>
      <c r="N14" s="1340">
        <f>IF(ISERROR(IF(ISBLANK(N13),N10*H13,N10*N13)),0,IF(ISBLANK(N13),N10*H13,N10*N13))</f>
        <v>0</v>
      </c>
      <c r="O14" s="1340">
        <f>IF(ISERROR(IF(ISBLANK(O13),O10*I13,O10*O13)),0,IF(ISBLANK(O13),O10*I13,O10*O13))</f>
        <v>0</v>
      </c>
      <c r="P14" s="1341">
        <f>IF(ISERROR(IF(ISBLANK(P13),P10*J13,P10*P13)),0,IF(ISBLANK(P13),P10*J13,P10*P13))</f>
        <v>0</v>
      </c>
      <c r="Q14" s="1391">
        <f>IF(ISERROR(((N14*$N$8*12/$N$7)+(O14*$O$8*12/$O$7)+(P14*$P$8*12/$P$7))/$Q$8),0,((N14*$N$8*12/$N$7)+(O14*$O$8*12/$O$7)+(P14*$P$8*12/$P$7))/$Q$8)</f>
        <v>0</v>
      </c>
      <c r="S14" s="4922">
        <f>IF(taux_actualisation=0,0,AVERAGE((N14*12/$N$7)/(1+taux_actualisation)^1,(O14*12/$O$7)/(1+taux_actualisation)^2,(P14*12/$P$7/(1+taux_actualisation)^3)))</f>
        <v>0</v>
      </c>
      <c r="T14" s="4923" t="e">
        <f>AVERAGE((#REF!*12/$N$7)/(1+taux_actualisation)^1,(#REF!*12/$O$7)/(1+taux_actualisation)^2,(#REF!*12/$P$7/(1+taux_actualisation)^3))</f>
        <v>#REF!</v>
      </c>
    </row>
    <row r="15" spans="2:20" s="1335" customFormat="1" ht="6" customHeight="1" x14ac:dyDescent="0.25">
      <c r="B15" s="1342"/>
      <c r="C15" s="1343"/>
      <c r="E15" s="1344"/>
      <c r="F15" s="1344"/>
      <c r="G15" s="1344"/>
      <c r="H15" s="1344"/>
      <c r="I15" s="1344"/>
      <c r="J15" s="1344"/>
      <c r="K15" s="1343"/>
      <c r="O15" s="1344"/>
      <c r="P15" s="1344"/>
      <c r="Q15" s="1344"/>
    </row>
    <row r="16" spans="2:20" s="1380" customFormat="1" ht="20.100000000000001" customHeight="1" x14ac:dyDescent="0.3">
      <c r="B16" s="4973" t="s">
        <v>1198</v>
      </c>
      <c r="C16" s="4973"/>
      <c r="D16" s="4973"/>
      <c r="E16" s="4973"/>
      <c r="F16" s="4973"/>
      <c r="G16" s="4973"/>
      <c r="H16" s="1381"/>
      <c r="I16" s="1382"/>
      <c r="J16" s="1382"/>
      <c r="K16" s="1497"/>
      <c r="L16" s="4973" t="s">
        <v>1198</v>
      </c>
      <c r="M16" s="4973"/>
      <c r="N16" s="4973"/>
      <c r="O16" s="4973"/>
      <c r="P16" s="4973"/>
      <c r="Q16" s="4973"/>
      <c r="S16" s="1383"/>
      <c r="T16" s="1383"/>
    </row>
    <row r="17" spans="1:20" s="1353" customFormat="1" ht="20.100000000000001" customHeight="1" x14ac:dyDescent="0.25">
      <c r="B17" s="5010" t="s">
        <v>1199</v>
      </c>
      <c r="C17" s="5011"/>
      <c r="D17" s="5011"/>
      <c r="E17" s="5011"/>
      <c r="F17" s="5012"/>
      <c r="G17" s="1434">
        <f>emp_1</f>
        <v>0</v>
      </c>
      <c r="H17" s="5013"/>
      <c r="I17" s="5014"/>
      <c r="J17" s="5015"/>
      <c r="K17" s="1495"/>
      <c r="L17" s="5010" t="s">
        <v>1199</v>
      </c>
      <c r="M17" s="5011"/>
      <c r="N17" s="5011"/>
      <c r="O17" s="5011"/>
      <c r="P17" s="5012"/>
      <c r="Q17" s="1434">
        <f>emp_1</f>
        <v>0</v>
      </c>
      <c r="S17" s="1383"/>
      <c r="T17" s="1383"/>
    </row>
    <row r="18" spans="1:20" s="1353" customFormat="1" ht="19.5" customHeight="1" x14ac:dyDescent="0.25">
      <c r="B18" s="4995" t="s">
        <v>1200</v>
      </c>
      <c r="C18" s="4996"/>
      <c r="D18" s="4996"/>
      <c r="E18" s="4996"/>
      <c r="F18" s="4997"/>
      <c r="G18" s="1435">
        <f>tr_1</f>
        <v>0</v>
      </c>
      <c r="H18" s="5016"/>
      <c r="I18" s="5017"/>
      <c r="J18" s="5018"/>
      <c r="K18" s="1495"/>
      <c r="L18" s="4995" t="s">
        <v>1200</v>
      </c>
      <c r="M18" s="4996"/>
      <c r="N18" s="4996"/>
      <c r="O18" s="4996"/>
      <c r="P18" s="4997"/>
      <c r="Q18" s="1436">
        <f>tr_1</f>
        <v>0</v>
      </c>
      <c r="S18" s="1383"/>
      <c r="T18" s="1383"/>
    </row>
    <row r="19" spans="1:20" s="1353" customFormat="1" ht="20.100000000000001" customHeight="1" x14ac:dyDescent="0.25">
      <c r="B19" s="5008" t="s">
        <v>1233</v>
      </c>
      <c r="C19" s="5009"/>
      <c r="D19" s="5009"/>
      <c r="E19" s="5009"/>
      <c r="F19" s="1375" t="s">
        <v>1202</v>
      </c>
      <c r="G19" s="1376"/>
      <c r="H19" s="5016"/>
      <c r="I19" s="5017"/>
      <c r="J19" s="5018"/>
      <c r="K19" s="1495"/>
      <c r="L19" s="5008" t="s">
        <v>1201</v>
      </c>
      <c r="M19" s="5009"/>
      <c r="N19" s="5009"/>
      <c r="O19" s="5009"/>
      <c r="P19" s="1377" t="s">
        <v>1202</v>
      </c>
      <c r="Q19" s="1376"/>
      <c r="S19" s="1383"/>
      <c r="T19" s="1383"/>
    </row>
    <row r="20" spans="1:20" s="1353" customFormat="1" ht="20.100000000000001" customHeight="1" x14ac:dyDescent="0.25">
      <c r="B20" s="4972" t="s">
        <v>1203</v>
      </c>
      <c r="C20" s="3447"/>
      <c r="D20" s="3447"/>
      <c r="E20" s="3447"/>
      <c r="F20" s="1356" t="s">
        <v>1202</v>
      </c>
      <c r="G20" s="1374"/>
      <c r="H20" s="5016"/>
      <c r="I20" s="5017"/>
      <c r="J20" s="5018"/>
      <c r="K20" s="1495"/>
      <c r="L20" s="4972" t="s">
        <v>1203</v>
      </c>
      <c r="M20" s="3447"/>
      <c r="N20" s="3447"/>
      <c r="O20" s="3447"/>
      <c r="P20" s="1356" t="s">
        <v>1202</v>
      </c>
      <c r="Q20" s="1374"/>
      <c r="S20" s="1383"/>
      <c r="T20" s="1383"/>
    </row>
    <row r="21" spans="1:20" s="1353" customFormat="1" ht="20.100000000000001" customHeight="1" x14ac:dyDescent="0.25">
      <c r="B21" s="4943" t="s">
        <v>1204</v>
      </c>
      <c r="C21" s="4944"/>
      <c r="D21" s="4944"/>
      <c r="E21" s="4944"/>
      <c r="F21" s="1346" t="s">
        <v>1202</v>
      </c>
      <c r="G21" s="1345"/>
      <c r="H21" s="5019"/>
      <c r="I21" s="5020"/>
      <c r="J21" s="5021"/>
      <c r="K21" s="1495"/>
      <c r="L21" s="4943" t="s">
        <v>1204</v>
      </c>
      <c r="M21" s="4944"/>
      <c r="N21" s="4944"/>
      <c r="O21" s="4944"/>
      <c r="P21" s="1346" t="s">
        <v>1202</v>
      </c>
      <c r="Q21" s="1345"/>
      <c r="S21" s="1383"/>
      <c r="T21" s="1383"/>
    </row>
    <row r="22" spans="1:20" s="1335" customFormat="1" ht="6" customHeight="1" x14ac:dyDescent="0.25">
      <c r="B22" s="1342"/>
      <c r="C22" s="1343"/>
      <c r="E22" s="1344"/>
      <c r="F22" s="1344"/>
      <c r="G22" s="1344"/>
      <c r="H22" s="1344"/>
      <c r="I22" s="1344"/>
      <c r="J22" s="1344"/>
      <c r="K22" s="1343"/>
      <c r="O22" s="1344"/>
      <c r="P22" s="1344"/>
      <c r="Q22" s="1344"/>
      <c r="S22" s="1383"/>
      <c r="T22" s="1383"/>
    </row>
    <row r="23" spans="1:20" s="1384" customFormat="1" ht="20.100000000000001" customHeight="1" x14ac:dyDescent="0.3">
      <c r="B23" s="1347" t="s">
        <v>1205</v>
      </c>
      <c r="C23" s="1385"/>
      <c r="K23" s="1385"/>
      <c r="L23" s="1213" t="s">
        <v>1206</v>
      </c>
    </row>
    <row r="24" spans="1:20" ht="20.100000000000001" customHeight="1" x14ac:dyDescent="0.3">
      <c r="B24" s="4991" t="s">
        <v>1207</v>
      </c>
      <c r="C24" s="4992"/>
      <c r="D24" s="4992"/>
      <c r="E24" s="4992"/>
      <c r="F24" s="4992"/>
      <c r="G24" s="4993"/>
      <c r="H24" s="4940"/>
      <c r="I24" s="4941"/>
      <c r="J24" s="4942"/>
      <c r="K24" s="1498"/>
      <c r="L24" s="4991" t="s">
        <v>1234</v>
      </c>
      <c r="M24" s="4992"/>
      <c r="N24" s="4992"/>
      <c r="O24" s="5068"/>
      <c r="P24" s="1358" t="s">
        <v>1208</v>
      </c>
      <c r="Q24" s="5002" t="s">
        <v>1209</v>
      </c>
      <c r="R24" s="5003"/>
      <c r="S24" s="1386"/>
      <c r="T24" s="1386"/>
    </row>
    <row r="25" spans="1:20" s="1353" customFormat="1" ht="20.100000000000001" customHeight="1" x14ac:dyDescent="0.3">
      <c r="A25" s="1500">
        <f>IF(G25&gt;0,1,0)</f>
        <v>0</v>
      </c>
      <c r="B25" s="2519" t="s">
        <v>1210</v>
      </c>
      <c r="C25" s="4984" t="s">
        <v>1211</v>
      </c>
      <c r="D25" s="4985"/>
      <c r="E25" s="4985"/>
      <c r="F25" s="4986"/>
      <c r="G25" s="1503"/>
      <c r="H25" s="5057" t="s">
        <v>1231</v>
      </c>
      <c r="I25" s="5058"/>
      <c r="J25" s="5059"/>
      <c r="K25" s="1500">
        <f>IF(P25&gt;0,1,0)</f>
        <v>0</v>
      </c>
      <c r="L25" s="2516" t="s">
        <v>1212</v>
      </c>
      <c r="M25" s="4984" t="s">
        <v>1211</v>
      </c>
      <c r="N25" s="4985"/>
      <c r="O25" s="4986"/>
      <c r="P25" s="1503"/>
      <c r="Q25" s="4998">
        <f>IF(taux_actualisation=0,0,P25)</f>
        <v>0</v>
      </c>
      <c r="R25" s="4999"/>
      <c r="S25" s="1387"/>
      <c r="T25" s="1387"/>
    </row>
    <row r="26" spans="1:20" ht="20.100000000000001" customHeight="1" x14ac:dyDescent="0.3">
      <c r="A26" s="1500"/>
      <c r="B26" s="4994" t="s">
        <v>1229</v>
      </c>
      <c r="C26" s="5060" t="s">
        <v>1213</v>
      </c>
      <c r="D26" s="5061"/>
      <c r="E26" s="5061"/>
      <c r="F26" s="5062"/>
      <c r="G26" s="1370">
        <f>IF(G25=0,0,G10*G25)</f>
        <v>0</v>
      </c>
      <c r="H26" s="1366" t="s">
        <v>1232</v>
      </c>
      <c r="I26" s="1367"/>
      <c r="J26" s="1378">
        <f>IF(G25=0,0,VE)</f>
        <v>0</v>
      </c>
      <c r="K26" s="1500"/>
      <c r="L26" s="4994" t="s">
        <v>1229</v>
      </c>
      <c r="M26" s="5042" t="s">
        <v>1213</v>
      </c>
      <c r="N26" s="5043"/>
      <c r="O26" s="5044"/>
      <c r="P26" s="1348">
        <f>IF(P25=0,0,Q10*P25)</f>
        <v>0</v>
      </c>
      <c r="Q26" s="4948">
        <f>IF(ISERROR(S10*Q25),0,S10*Q25)</f>
        <v>0</v>
      </c>
      <c r="R26" s="4949"/>
      <c r="S26" s="4945"/>
      <c r="T26" s="4945"/>
    </row>
    <row r="27" spans="1:20" ht="20.100000000000001" customHeight="1" x14ac:dyDescent="0.3">
      <c r="A27" s="1500"/>
      <c r="B27" s="4994"/>
      <c r="C27" s="5063" t="s">
        <v>1214</v>
      </c>
      <c r="D27" s="5063"/>
      <c r="E27" s="5063"/>
      <c r="F27" s="5064"/>
      <c r="G27" s="1371">
        <f>IF(G25=0,0,G26-$G$17+$G$18+$G$19+$G$20-$G$21)</f>
        <v>0</v>
      </c>
      <c r="H27" s="2505" t="s">
        <v>1232</v>
      </c>
      <c r="I27" s="2506"/>
      <c r="J27" s="2507">
        <f>IF(G26=0,0,VFP)</f>
        <v>0</v>
      </c>
      <c r="K27" s="1500"/>
      <c r="L27" s="4994"/>
      <c r="M27" s="5045" t="s">
        <v>1214</v>
      </c>
      <c r="N27" s="5046"/>
      <c r="O27" s="5047"/>
      <c r="P27" s="1349">
        <f>IF(P25=0,0,P26-$Q$17+$Q$18+$Q$19+$Q$20-$Q$21)</f>
        <v>0</v>
      </c>
      <c r="Q27" s="4950">
        <f>IF(Q25=0,0,Q26-$Q$17+$Q$18+$Q$19+$Q$20-$Q$21)</f>
        <v>0</v>
      </c>
      <c r="R27" s="4951"/>
      <c r="S27" s="4945"/>
      <c r="T27" s="4945"/>
    </row>
    <row r="28" spans="1:20" ht="20.100000000000001" customHeight="1" x14ac:dyDescent="0.3">
      <c r="A28" s="1500">
        <f>IF(G28&gt;0,1,0)</f>
        <v>0</v>
      </c>
      <c r="B28" s="2520" t="s">
        <v>1215</v>
      </c>
      <c r="C28" s="4937" t="s">
        <v>1211</v>
      </c>
      <c r="D28" s="4938"/>
      <c r="E28" s="4938"/>
      <c r="F28" s="4939"/>
      <c r="G28" s="2509"/>
      <c r="H28" s="5065" t="s">
        <v>1235</v>
      </c>
      <c r="I28" s="5066"/>
      <c r="J28" s="5067"/>
      <c r="K28" s="1500">
        <f>IF(P28&gt;0,1,0)</f>
        <v>0</v>
      </c>
      <c r="L28" s="2517" t="s">
        <v>1216</v>
      </c>
      <c r="M28" s="4937" t="s">
        <v>1211</v>
      </c>
      <c r="N28" s="4987"/>
      <c r="O28" s="4988"/>
      <c r="P28" s="2514"/>
      <c r="Q28" s="5000">
        <f>IF(taux_actualisation=0,0,P28)</f>
        <v>0</v>
      </c>
      <c r="R28" s="5001"/>
      <c r="S28" s="1388"/>
      <c r="T28" s="1388"/>
    </row>
    <row r="29" spans="1:20" ht="20.100000000000001" customHeight="1" x14ac:dyDescent="0.3">
      <c r="A29" s="1500"/>
      <c r="B29" s="4989" t="s">
        <v>1230</v>
      </c>
      <c r="C29" s="4932" t="s">
        <v>1213</v>
      </c>
      <c r="D29" s="4933"/>
      <c r="E29" s="4933"/>
      <c r="F29" s="4934"/>
      <c r="G29" s="1372">
        <f>IF(G28=0,0,G12*G28)</f>
        <v>0</v>
      </c>
      <c r="H29" s="1366" t="s">
        <v>1232</v>
      </c>
      <c r="I29" s="1367"/>
      <c r="J29" s="1378">
        <f>IF(G28=0,0,VE)</f>
        <v>0</v>
      </c>
      <c r="K29" s="1500"/>
      <c r="L29" s="4989" t="s">
        <v>1230</v>
      </c>
      <c r="M29" s="5048" t="s">
        <v>1213</v>
      </c>
      <c r="N29" s="3498"/>
      <c r="O29" s="5049"/>
      <c r="P29" s="1390">
        <f>IF(P28=0,0,Q12*P28)</f>
        <v>0</v>
      </c>
      <c r="Q29" s="4970">
        <f>IF(ISERROR(S12*Q28),0,S12*Q28)</f>
        <v>0</v>
      </c>
      <c r="R29" s="4971">
        <f>IF(ISERROR(T12*R28),0,T12*R28)</f>
        <v>0</v>
      </c>
      <c r="S29" s="4945"/>
      <c r="T29" s="4945"/>
    </row>
    <row r="30" spans="1:20" ht="20.100000000000001" customHeight="1" x14ac:dyDescent="0.3">
      <c r="A30" s="1500"/>
      <c r="B30" s="4990"/>
      <c r="C30" s="4935" t="s">
        <v>1214</v>
      </c>
      <c r="D30" s="4935"/>
      <c r="E30" s="4935"/>
      <c r="F30" s="4936"/>
      <c r="G30" s="2510">
        <f>IF(G28=0,0,G29-$G$17+$G$18+$G$19+$G$20-$G$21)</f>
        <v>0</v>
      </c>
      <c r="H30" s="2511" t="s">
        <v>1232</v>
      </c>
      <c r="I30" s="2512"/>
      <c r="J30" s="2513">
        <f>IF(G29=0,0,VFP)</f>
        <v>0</v>
      </c>
      <c r="K30" s="1500"/>
      <c r="L30" s="4990"/>
      <c r="M30" s="5050" t="s">
        <v>1214</v>
      </c>
      <c r="N30" s="5051"/>
      <c r="O30" s="5052"/>
      <c r="P30" s="2515">
        <f>IF(P28=0,0,P29-$Q$17+$Q$18+$Q$19+$Q$20-$Q$21)</f>
        <v>0</v>
      </c>
      <c r="Q30" s="4946">
        <f>IF(Q28=0,0,Q29-$Q$17+$Q$18+$Q$19+$Q$20-$Q$21)</f>
        <v>0</v>
      </c>
      <c r="R30" s="4947">
        <f>R29-$Q$17+$Q$18+$Q$19+$Q$20-$Q$21</f>
        <v>0</v>
      </c>
      <c r="S30" s="4945"/>
      <c r="T30" s="4945"/>
    </row>
    <row r="31" spans="1:20" ht="20.100000000000001" customHeight="1" x14ac:dyDescent="0.3">
      <c r="A31" s="1500">
        <f>IF(G31&gt;0,1,0)</f>
        <v>0</v>
      </c>
      <c r="B31" s="2521" t="s">
        <v>1217</v>
      </c>
      <c r="C31" s="5032" t="s">
        <v>1211</v>
      </c>
      <c r="D31" s="5033"/>
      <c r="E31" s="5033"/>
      <c r="F31" s="5034"/>
      <c r="G31" s="2508"/>
      <c r="H31" s="4981" t="s">
        <v>1236</v>
      </c>
      <c r="I31" s="4982"/>
      <c r="J31" s="4983"/>
      <c r="K31" s="1500">
        <f>IF(P31&gt;0,1,0)</f>
        <v>0</v>
      </c>
      <c r="L31" s="2518" t="s">
        <v>1218</v>
      </c>
      <c r="M31" s="5032" t="s">
        <v>1211</v>
      </c>
      <c r="N31" s="5033"/>
      <c r="O31" s="5034"/>
      <c r="P31" s="2508"/>
      <c r="Q31" s="4968">
        <f>IF(taux_actualisation=0,0,P31)</f>
        <v>0</v>
      </c>
      <c r="R31" s="4969"/>
      <c r="S31" s="1389"/>
      <c r="T31" s="1389"/>
    </row>
    <row r="32" spans="1:20" ht="20.100000000000001" customHeight="1" x14ac:dyDescent="0.3">
      <c r="A32" s="1500"/>
      <c r="B32" s="4952" t="s">
        <v>1238</v>
      </c>
      <c r="C32" s="4966" t="s">
        <v>1237</v>
      </c>
      <c r="D32" s="4966"/>
      <c r="E32" s="4966"/>
      <c r="F32" s="4967"/>
      <c r="G32" s="1504"/>
      <c r="H32" s="4961"/>
      <c r="I32" s="4962"/>
      <c r="J32" s="4963"/>
      <c r="K32" s="1500"/>
      <c r="L32" s="4952" t="s">
        <v>1238</v>
      </c>
      <c r="M32" s="4964" t="s">
        <v>1239</v>
      </c>
      <c r="N32" s="4964"/>
      <c r="O32" s="4965"/>
      <c r="P32" s="1505"/>
      <c r="Q32" s="4954"/>
      <c r="R32" s="4955"/>
      <c r="S32" s="4945"/>
      <c r="T32" s="4945"/>
    </row>
    <row r="33" spans="1:20" ht="20.100000000000001" customHeight="1" x14ac:dyDescent="0.3">
      <c r="A33" s="1500">
        <f>SUM(A25:A31)</f>
        <v>0</v>
      </c>
      <c r="B33" s="4953"/>
      <c r="C33" s="4958" t="s">
        <v>1214</v>
      </c>
      <c r="D33" s="4959"/>
      <c r="E33" s="4959"/>
      <c r="F33" s="4960"/>
      <c r="G33" s="1373">
        <f>(G14*G31)+G32</f>
        <v>0</v>
      </c>
      <c r="H33" s="1368" t="s">
        <v>1232</v>
      </c>
      <c r="I33" s="1369"/>
      <c r="J33" s="1379">
        <f>IF(G31=0,0,VFP)</f>
        <v>0</v>
      </c>
      <c r="K33" s="1500">
        <f>SUM(K25:K31)</f>
        <v>0</v>
      </c>
      <c r="L33" s="4953"/>
      <c r="M33" s="4958" t="s">
        <v>1214</v>
      </c>
      <c r="N33" s="4959"/>
      <c r="O33" s="4960"/>
      <c r="P33" s="1350">
        <f>(Q14*P31)+P32</f>
        <v>0</v>
      </c>
      <c r="Q33" s="4956">
        <f>(S14*Q31)+Q32</f>
        <v>0</v>
      </c>
      <c r="R33" s="4957"/>
      <c r="S33" s="4945"/>
      <c r="T33" s="4945"/>
    </row>
    <row r="34" spans="1:20" ht="6" customHeight="1" x14ac:dyDescent="0.3"/>
    <row r="35" spans="1:20" ht="20.100000000000001" customHeight="1" x14ac:dyDescent="0.3">
      <c r="C35" s="1355"/>
      <c r="E35" s="1494"/>
      <c r="F35" s="1501" t="s">
        <v>1268</v>
      </c>
      <c r="G35" s="2522" t="str">
        <f>IF(A33&gt;1,0,IF(A25=1,G14/G27,IF(A28=1,G14/G30,IF(A31=1,G14/G33," "))))</f>
        <v xml:space="preserve"> </v>
      </c>
      <c r="H35" s="1501" t="s">
        <v>1268</v>
      </c>
      <c r="I35" s="2522" t="str">
        <f>IF(ISERROR(G14/VFP)," ",G14/VFP)</f>
        <v xml:space="preserve"> </v>
      </c>
      <c r="J35" s="2523" t="str">
        <f>IF(ISERROR(Q14/VFP)," ",Q14/VFP)</f>
        <v xml:space="preserve"> </v>
      </c>
      <c r="O35" s="1501" t="s">
        <v>1268</v>
      </c>
      <c r="P35" s="2523" t="str">
        <f>IF(K33&gt;1,0,IF(K25=1,Q14/P27,IF(K28=1,Q14/P30,IF(K31=1,Q14/P33," "))))</f>
        <v xml:space="preserve"> </v>
      </c>
    </row>
    <row r="36" spans="1:20" ht="20.100000000000001" customHeight="1" x14ac:dyDescent="0.3">
      <c r="C36" s="1494"/>
      <c r="E36" s="1494"/>
      <c r="F36" s="1502" t="s">
        <v>1267</v>
      </c>
      <c r="G36" s="2524" t="str">
        <f>IF(ISERROR(1/G35)," ",1/G35)</f>
        <v xml:space="preserve"> </v>
      </c>
      <c r="H36" s="1502" t="s">
        <v>1267</v>
      </c>
      <c r="I36" s="2524" t="str">
        <f t="shared" ref="I36:J36" si="2">IF(ISERROR(1/I35)," ",1/I35)</f>
        <v xml:space="preserve"> </v>
      </c>
      <c r="J36" s="2524" t="str">
        <f t="shared" si="2"/>
        <v xml:space="preserve"> </v>
      </c>
      <c r="O36" s="1502" t="s">
        <v>1267</v>
      </c>
      <c r="P36" s="2524" t="str">
        <f>IF(ISERROR(1/P35)," ",1/P35)</f>
        <v xml:space="preserve"> </v>
      </c>
    </row>
    <row r="38" spans="1:20" s="1398" customFormat="1" ht="12.75" customHeight="1" x14ac:dyDescent="0.3">
      <c r="B38" s="1396"/>
      <c r="C38" s="1397"/>
      <c r="K38" s="1397"/>
    </row>
    <row r="39" spans="1:20" s="1398" customFormat="1" x14ac:dyDescent="0.3">
      <c r="B39" s="1396"/>
      <c r="C39" s="1397"/>
      <c r="K39" s="1397"/>
    </row>
    <row r="40" spans="1:20" s="1398" customFormat="1" ht="20.100000000000001" customHeight="1" x14ac:dyDescent="0.3">
      <c r="B40" s="1396"/>
      <c r="C40" s="1399" t="s">
        <v>1219</v>
      </c>
      <c r="D40" s="1399" t="s">
        <v>1220</v>
      </c>
      <c r="E40" s="1400" t="s">
        <v>1221</v>
      </c>
      <c r="H40" s="1399" t="s">
        <v>1222</v>
      </c>
      <c r="I40" s="1399" t="s">
        <v>1223</v>
      </c>
      <c r="J40" s="1400" t="s">
        <v>1224</v>
      </c>
      <c r="K40" s="1397"/>
      <c r="N40" s="1399" t="s">
        <v>1222</v>
      </c>
      <c r="O40" s="1399" t="s">
        <v>1223</v>
      </c>
      <c r="P40" s="1400" t="s">
        <v>1224</v>
      </c>
    </row>
    <row r="41" spans="1:20" s="1398" customFormat="1" ht="20.100000000000001" customHeight="1" x14ac:dyDescent="0.3">
      <c r="B41" s="1396"/>
      <c r="C41" s="1401">
        <f>G27/1000</f>
        <v>0</v>
      </c>
      <c r="D41" s="1401">
        <f>G30/1000</f>
        <v>0</v>
      </c>
      <c r="E41" s="1402">
        <f>G33/1000</f>
        <v>0</v>
      </c>
      <c r="H41" s="1401">
        <f>P27/1000</f>
        <v>0</v>
      </c>
      <c r="I41" s="1401">
        <f>P30/1000</f>
        <v>0</v>
      </c>
      <c r="J41" s="1402">
        <f>P33/1000</f>
        <v>0</v>
      </c>
      <c r="K41" s="1397"/>
      <c r="N41" s="1401">
        <f>Q27/1000</f>
        <v>0</v>
      </c>
      <c r="O41" s="1401">
        <f>Q30/1000</f>
        <v>0</v>
      </c>
      <c r="P41" s="1402">
        <f>Q33/1000</f>
        <v>0</v>
      </c>
    </row>
    <row r="42" spans="1:20" s="1398" customFormat="1" ht="20.100000000000001" customHeight="1" x14ac:dyDescent="0.3">
      <c r="B42" s="1396"/>
      <c r="C42" s="1397"/>
      <c r="K42" s="1397"/>
    </row>
    <row r="43" spans="1:20" s="1398" customFormat="1" ht="20.100000000000001" customHeight="1" x14ac:dyDescent="0.3">
      <c r="B43" s="1396"/>
      <c r="C43" s="1397"/>
      <c r="K43" s="1397"/>
    </row>
    <row r="44" spans="1:20" s="1398" customFormat="1" ht="20.100000000000001" customHeight="1" x14ac:dyDescent="0.3">
      <c r="B44" s="1396"/>
      <c r="C44" s="1397"/>
      <c r="K44" s="1397"/>
    </row>
    <row r="45" spans="1:20" ht="20.100000000000001" customHeight="1" x14ac:dyDescent="0.3"/>
    <row r="46" spans="1:20" ht="20.100000000000001" customHeight="1" x14ac:dyDescent="0.3"/>
    <row r="47" spans="1:20" ht="20.100000000000001" customHeight="1" x14ac:dyDescent="0.3"/>
    <row r="48" spans="1:20" ht="20.100000000000001" customHeight="1" x14ac:dyDescent="0.3"/>
    <row r="49" spans="2:15" ht="20.100000000000001" customHeight="1" x14ac:dyDescent="0.3"/>
    <row r="50" spans="2:15" ht="20.100000000000001" customHeight="1" x14ac:dyDescent="0.3"/>
    <row r="51" spans="2:15" ht="20.100000000000001" customHeight="1" x14ac:dyDescent="0.3">
      <c r="E51" s="1351"/>
      <c r="K51" s="1351"/>
      <c r="O51" s="1351"/>
    </row>
    <row r="52" spans="2:15" ht="21.9" customHeight="1" x14ac:dyDescent="0.3">
      <c r="B52" s="5035" t="s">
        <v>1254</v>
      </c>
      <c r="C52" s="5036"/>
      <c r="D52" s="5036"/>
      <c r="E52" s="5036"/>
      <c r="F52" s="5036"/>
      <c r="G52" s="5036"/>
      <c r="H52" s="5036"/>
      <c r="I52" s="5036"/>
      <c r="J52" s="5037"/>
      <c r="K52" s="1351"/>
      <c r="O52" s="1351"/>
    </row>
    <row r="53" spans="2:15" ht="9.9" customHeight="1" x14ac:dyDescent="0.3"/>
    <row r="54" spans="2:15" ht="15" customHeight="1" x14ac:dyDescent="0.3">
      <c r="B54" s="5038" t="str">
        <f>IF(ISBLANK(An)," ",An)</f>
        <v xml:space="preserve"> </v>
      </c>
      <c r="C54" s="5039"/>
      <c r="D54" s="1418" t="str">
        <f>IF(ISBLANK(An)," ",An+1)</f>
        <v xml:space="preserve"> </v>
      </c>
      <c r="E54" s="1418" t="str">
        <f>IF(ISBLANK(An)," ",An+2)</f>
        <v xml:space="preserve"> </v>
      </c>
      <c r="F54" s="1418" t="str">
        <f>IF(ISBLANK(An)," ",An+3)</f>
        <v xml:space="preserve"> </v>
      </c>
      <c r="G54" s="1418" t="str">
        <f>IF(ISBLANK(An)," ",An+4)</f>
        <v xml:space="preserve"> </v>
      </c>
      <c r="H54" s="1418" t="str">
        <f>IF(ISBLANK(An)," ",An+5)</f>
        <v xml:space="preserve"> </v>
      </c>
      <c r="I54" s="1470" t="str">
        <f>IF(ISBLANK(An)," ",An+6)</f>
        <v xml:space="preserve"> </v>
      </c>
      <c r="J54" s="1419" t="str">
        <f>IF(ISBLANK(An)," ",An+7)</f>
        <v xml:space="preserve"> </v>
      </c>
      <c r="K54" s="1352"/>
      <c r="O54" s="1352"/>
    </row>
    <row r="55" spans="2:15" ht="15" customHeight="1" x14ac:dyDescent="0.3">
      <c r="B55" s="5040">
        <v>0</v>
      </c>
      <c r="C55" s="5041"/>
      <c r="D55" s="1420">
        <v>1</v>
      </c>
      <c r="E55" s="1421">
        <v>2</v>
      </c>
      <c r="F55" s="1421">
        <v>3</v>
      </c>
      <c r="G55" s="1421">
        <v>4</v>
      </c>
      <c r="H55" s="1421">
        <v>5</v>
      </c>
      <c r="I55" s="1421">
        <v>6</v>
      </c>
      <c r="J55" s="1422">
        <v>7</v>
      </c>
      <c r="K55" s="1352"/>
      <c r="O55" s="1352"/>
    </row>
    <row r="56" spans="2:15" ht="3" customHeight="1" x14ac:dyDescent="0.3"/>
    <row r="57" spans="2:15" ht="20.100000000000001" customHeight="1" x14ac:dyDescent="0.3">
      <c r="B57" s="1415" t="s">
        <v>1247</v>
      </c>
      <c r="C57" s="1416">
        <f>capital_hk_1+capital_hk_2</f>
        <v>0</v>
      </c>
      <c r="D57" s="5024" t="s">
        <v>1251</v>
      </c>
      <c r="E57" s="5025"/>
      <c r="F57" s="5025"/>
      <c r="G57" s="1430" t="s">
        <v>1252</v>
      </c>
      <c r="H57" s="1431">
        <f>part_capital_hk_2</f>
        <v>0</v>
      </c>
      <c r="I57" s="1471" t="s">
        <v>1253</v>
      </c>
      <c r="J57" s="1431">
        <f>part_capital_hk_1</f>
        <v>0</v>
      </c>
    </row>
    <row r="58" spans="2:15" ht="3" customHeight="1" x14ac:dyDescent="0.3"/>
    <row r="59" spans="2:15" ht="20.100000000000001" customHeight="1" x14ac:dyDescent="0.3">
      <c r="B59" s="1427" t="s">
        <v>1250</v>
      </c>
    </row>
    <row r="60" spans="2:15" ht="20.100000000000001" customHeight="1" x14ac:dyDescent="0.3">
      <c r="B60" s="5026" t="s">
        <v>1255</v>
      </c>
      <c r="C60" s="5027"/>
      <c r="D60" s="5027"/>
      <c r="E60" s="5028"/>
      <c r="F60" s="1507"/>
      <c r="G60" s="1507"/>
      <c r="H60" s="1507"/>
      <c r="I60" s="1507"/>
      <c r="J60" s="1507"/>
    </row>
    <row r="61" spans="2:15" ht="20.100000000000001" customHeight="1" x14ac:dyDescent="0.3">
      <c r="B61" s="1423" t="s">
        <v>1246</v>
      </c>
      <c r="C61" s="1424">
        <f>r_1_holding*H57</f>
        <v>0</v>
      </c>
      <c r="D61" s="1424">
        <f>r_2_holding*H57</f>
        <v>0</v>
      </c>
      <c r="E61" s="1424">
        <f>r_3_holding*H57</f>
        <v>0</v>
      </c>
      <c r="F61" s="1424">
        <f>E61*(1+F60)</f>
        <v>0</v>
      </c>
      <c r="G61" s="1424">
        <f>F61*(1+G60)</f>
        <v>0</v>
      </c>
      <c r="H61" s="1424">
        <f t="shared" ref="H61:J61" si="3">G61*(1+H60)</f>
        <v>0</v>
      </c>
      <c r="I61" s="1424">
        <f t="shared" si="3"/>
        <v>0</v>
      </c>
      <c r="J61" s="1424">
        <f t="shared" si="3"/>
        <v>0</v>
      </c>
    </row>
    <row r="62" spans="2:15" ht="30" customHeight="1" x14ac:dyDescent="0.3">
      <c r="B62" s="1428" t="s">
        <v>1248</v>
      </c>
      <c r="C62" s="1429">
        <f>C57+C61</f>
        <v>0</v>
      </c>
      <c r="D62" s="1429">
        <f t="shared" ref="D62:J62" si="4">C62+D61</f>
        <v>0</v>
      </c>
      <c r="E62" s="1429">
        <f t="shared" si="4"/>
        <v>0</v>
      </c>
      <c r="F62" s="1429">
        <f t="shared" si="4"/>
        <v>0</v>
      </c>
      <c r="G62" s="1429">
        <f t="shared" si="4"/>
        <v>0</v>
      </c>
      <c r="H62" s="1429">
        <f t="shared" si="4"/>
        <v>0</v>
      </c>
      <c r="I62" s="1429">
        <f t="shared" si="4"/>
        <v>0</v>
      </c>
      <c r="J62" s="1429">
        <f t="shared" si="4"/>
        <v>0</v>
      </c>
    </row>
    <row r="63" spans="2:15" ht="3" customHeight="1" x14ac:dyDescent="0.3"/>
    <row r="64" spans="2:15" ht="20.100000000000001" customHeight="1" x14ac:dyDescent="0.3">
      <c r="F64" s="5022" t="s">
        <v>830</v>
      </c>
      <c r="G64" s="5023"/>
      <c r="H64" s="1417" t="str">
        <f>IF(ISERROR(RATE(H55,0,C57,-H62))," ",RATE(H55,0,C57,-H62))</f>
        <v xml:space="preserve"> </v>
      </c>
      <c r="I64" s="1417" t="str">
        <f>IF(ISERROR(RATE(I55,0,C57,-I62))," ",RATE(I55,0,C57,-I62))</f>
        <v xml:space="preserve"> </v>
      </c>
      <c r="J64" s="1417" t="str">
        <f>IF(ISERROR(RATE(J55,0,C57,-J62))," ",RATE(J55,0,C57,-J62))</f>
        <v xml:space="preserve"> </v>
      </c>
    </row>
    <row r="65" spans="2:11" ht="3" customHeight="1" x14ac:dyDescent="0.3"/>
    <row r="66" spans="2:11" ht="20.100000000000001" customHeight="1" x14ac:dyDescent="0.3">
      <c r="B66" s="1427" t="s">
        <v>1249</v>
      </c>
    </row>
    <row r="67" spans="2:11" ht="20.100000000000001" customHeight="1" x14ac:dyDescent="0.3">
      <c r="B67" s="5029" t="s">
        <v>1256</v>
      </c>
      <c r="C67" s="5030"/>
      <c r="D67" s="5030"/>
      <c r="E67" s="5031"/>
      <c r="F67" s="1506"/>
      <c r="G67" s="1506"/>
      <c r="H67" s="1506"/>
      <c r="I67" s="1506"/>
      <c r="J67" s="1506"/>
    </row>
    <row r="68" spans="2:11" ht="20.100000000000001" customHeight="1" x14ac:dyDescent="0.3">
      <c r="B68" s="1423" t="s">
        <v>1246</v>
      </c>
      <c r="C68" s="1424">
        <f>IF(hold="oui",(N14-div2_holding)*H57,N14*J57)</f>
        <v>0</v>
      </c>
      <c r="D68" s="1424">
        <f>IF(hold="oui",(O14-div3_holding)*H57,O14*J57)</f>
        <v>0</v>
      </c>
      <c r="E68" s="1424">
        <f>IF(hold="oui",(P14-div3_holding)*H57,P14*J57)</f>
        <v>0</v>
      </c>
      <c r="F68" s="1424">
        <f t="shared" ref="F68:J68" si="5">E68*(1+F67)</f>
        <v>0</v>
      </c>
      <c r="G68" s="1424">
        <f t="shared" si="5"/>
        <v>0</v>
      </c>
      <c r="H68" s="1424">
        <f t="shared" si="5"/>
        <v>0</v>
      </c>
      <c r="I68" s="1424">
        <f t="shared" si="5"/>
        <v>0</v>
      </c>
      <c r="J68" s="1424">
        <f t="shared" si="5"/>
        <v>0</v>
      </c>
      <c r="K68" s="1499"/>
    </row>
    <row r="69" spans="2:11" ht="30" customHeight="1" x14ac:dyDescent="0.3">
      <c r="B69" s="1425" t="s">
        <v>1245</v>
      </c>
      <c r="C69" s="1426">
        <f>C62+C68</f>
        <v>0</v>
      </c>
      <c r="D69" s="1426">
        <f t="shared" ref="D69:E69" si="6">D62+D68</f>
        <v>0</v>
      </c>
      <c r="E69" s="1426">
        <f t="shared" si="6"/>
        <v>0</v>
      </c>
      <c r="F69" s="1426">
        <f t="shared" ref="F69:J69" si="7">F62+F68</f>
        <v>0</v>
      </c>
      <c r="G69" s="1426">
        <f t="shared" si="7"/>
        <v>0</v>
      </c>
      <c r="H69" s="1426">
        <f t="shared" si="7"/>
        <v>0</v>
      </c>
      <c r="I69" s="1426">
        <f t="shared" si="7"/>
        <v>0</v>
      </c>
      <c r="J69" s="1426">
        <f t="shared" si="7"/>
        <v>0</v>
      </c>
    </row>
    <row r="70" spans="2:11" ht="3" customHeight="1" x14ac:dyDescent="0.3"/>
    <row r="71" spans="2:11" ht="20.100000000000001" customHeight="1" x14ac:dyDescent="0.3">
      <c r="F71" s="5022" t="s">
        <v>830</v>
      </c>
      <c r="G71" s="5023"/>
      <c r="H71" s="1417" t="str">
        <f>IF(ISERROR(RATE(H55,0,C57,-H69))," ",RATE(H55,0,C57,-H69))</f>
        <v xml:space="preserve"> </v>
      </c>
      <c r="I71" s="1417" t="str">
        <f>IF(ISERROR(RATE(I55,0,C57,-I69))," ",RATE(I55,0,C57,-I69))</f>
        <v xml:space="preserve"> </v>
      </c>
      <c r="J71" s="1417" t="str">
        <f>IF(ISERROR(RATE(J55,0,C57,-J69))," ",RATE(J55,0,C57,-J69))</f>
        <v xml:space="preserve"> </v>
      </c>
    </row>
    <row r="72" spans="2:11" ht="20.100000000000001" customHeight="1" x14ac:dyDescent="0.3"/>
    <row r="73" spans="2:11" ht="20.100000000000001" customHeight="1" x14ac:dyDescent="0.3"/>
    <row r="74" spans="2:11" ht="20.100000000000001" customHeight="1" x14ac:dyDescent="0.3"/>
    <row r="75" spans="2:11" ht="20.100000000000001" customHeight="1" x14ac:dyDescent="0.3"/>
    <row r="76" spans="2:11" ht="20.100000000000001" customHeight="1" x14ac:dyDescent="0.3"/>
    <row r="77" spans="2:11" ht="20.100000000000001" customHeight="1" x14ac:dyDescent="0.3"/>
    <row r="78" spans="2:11" ht="20.100000000000001" customHeight="1" x14ac:dyDescent="0.3"/>
    <row r="79" spans="2:11" ht="20.100000000000001" customHeight="1" x14ac:dyDescent="0.3"/>
    <row r="80" spans="2:11"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sheetData>
  <sheetProtection algorithmName="SHA-512" hashValue="xO0Ag3MkfZ8w9L79ixXVxJ4OxnLbSRtpEApqArqmjE6GuVcVR3kE6iXkSUI44WQQdQquCTUwkma5XJ2NmL543Q==" saltValue="0+F/kIRK1RJLjNTvG6h4xA==" spinCount="100000" sheet="1" objects="1" scenarios="1" formatCells="0" formatColumns="0" formatRows="0" insertColumns="0" insertRows="0" insertHyperlinks="0" deleteColumns="0" deleteRows="0" sort="0" autoFilter="0" pivotTables="0"/>
  <mergeCells count="95">
    <mergeCell ref="B2:T2"/>
    <mergeCell ref="B52:J52"/>
    <mergeCell ref="B54:C54"/>
    <mergeCell ref="B55:C55"/>
    <mergeCell ref="F64:G64"/>
    <mergeCell ref="M26:O26"/>
    <mergeCell ref="M27:O27"/>
    <mergeCell ref="M29:O29"/>
    <mergeCell ref="M30:O30"/>
    <mergeCell ref="N5:Q5"/>
    <mergeCell ref="Q6:Q7"/>
    <mergeCell ref="H25:J25"/>
    <mergeCell ref="C26:F26"/>
    <mergeCell ref="C27:F27"/>
    <mergeCell ref="H28:J28"/>
    <mergeCell ref="L24:O24"/>
    <mergeCell ref="F71:G71"/>
    <mergeCell ref="D57:F57"/>
    <mergeCell ref="B60:E60"/>
    <mergeCell ref="B67:E67"/>
    <mergeCell ref="M31:O31"/>
    <mergeCell ref="C31:F31"/>
    <mergeCell ref="Q25:R25"/>
    <mergeCell ref="Q28:R28"/>
    <mergeCell ref="Q24:R24"/>
    <mergeCell ref="G6:G7"/>
    <mergeCell ref="D5:G5"/>
    <mergeCell ref="B19:E19"/>
    <mergeCell ref="L19:O19"/>
    <mergeCell ref="B20:E20"/>
    <mergeCell ref="B17:F17"/>
    <mergeCell ref="H17:J21"/>
    <mergeCell ref="L17:P17"/>
    <mergeCell ref="M25:O25"/>
    <mergeCell ref="L21:O21"/>
    <mergeCell ref="B16:G16"/>
    <mergeCell ref="L16:Q16"/>
    <mergeCell ref="B18:F18"/>
    <mergeCell ref="Q31:R31"/>
    <mergeCell ref="Q29:R29"/>
    <mergeCell ref="L20:O20"/>
    <mergeCell ref="B4:G4"/>
    <mergeCell ref="H5:J5"/>
    <mergeCell ref="L6:M7"/>
    <mergeCell ref="L5:M5"/>
    <mergeCell ref="H31:J31"/>
    <mergeCell ref="C25:F25"/>
    <mergeCell ref="M28:O28"/>
    <mergeCell ref="B29:B30"/>
    <mergeCell ref="L29:L30"/>
    <mergeCell ref="B24:G24"/>
    <mergeCell ref="B26:B27"/>
    <mergeCell ref="L26:L27"/>
    <mergeCell ref="L18:P18"/>
    <mergeCell ref="S33:T33"/>
    <mergeCell ref="B32:B33"/>
    <mergeCell ref="L32:L33"/>
    <mergeCell ref="Q32:R32"/>
    <mergeCell ref="S32:T32"/>
    <mergeCell ref="Q33:R33"/>
    <mergeCell ref="C33:F33"/>
    <mergeCell ref="H32:J32"/>
    <mergeCell ref="M32:O32"/>
    <mergeCell ref="M33:O33"/>
    <mergeCell ref="C32:F32"/>
    <mergeCell ref="S29:T29"/>
    <mergeCell ref="Q30:R30"/>
    <mergeCell ref="S30:T30"/>
    <mergeCell ref="Q26:R26"/>
    <mergeCell ref="S26:T26"/>
    <mergeCell ref="Q27:R27"/>
    <mergeCell ref="S27:T27"/>
    <mergeCell ref="C29:F29"/>
    <mergeCell ref="C30:F30"/>
    <mergeCell ref="C28:F28"/>
    <mergeCell ref="H24:J24"/>
    <mergeCell ref="B21:E21"/>
    <mergeCell ref="S12:T12"/>
    <mergeCell ref="B13:B14"/>
    <mergeCell ref="L13:M13"/>
    <mergeCell ref="S13:T13"/>
    <mergeCell ref="L14:M14"/>
    <mergeCell ref="S14:T14"/>
    <mergeCell ref="B11:B12"/>
    <mergeCell ref="L11:M11"/>
    <mergeCell ref="S11:T11"/>
    <mergeCell ref="L12:M12"/>
    <mergeCell ref="S5:T7"/>
    <mergeCell ref="B8:C8"/>
    <mergeCell ref="L8:M8"/>
    <mergeCell ref="B9:B10"/>
    <mergeCell ref="L9:M9"/>
    <mergeCell ref="L10:M10"/>
    <mergeCell ref="B5:C7"/>
    <mergeCell ref="S10:T10"/>
  </mergeCells>
  <conditionalFormatting sqref="E9">
    <cfRule type="cellIs" dxfId="278" priority="31" operator="equal">
      <formula>0</formula>
    </cfRule>
  </conditionalFormatting>
  <conditionalFormatting sqref="T8">
    <cfRule type="cellIs" dxfId="277" priority="45" operator="equal">
      <formula>0</formula>
    </cfRule>
  </conditionalFormatting>
  <conditionalFormatting sqref="P9">
    <cfRule type="cellIs" dxfId="276" priority="28" operator="equal">
      <formula>0</formula>
    </cfRule>
  </conditionalFormatting>
  <conditionalFormatting sqref="O9">
    <cfRule type="cellIs" dxfId="275" priority="29" operator="equal">
      <formula>0</formula>
    </cfRule>
  </conditionalFormatting>
  <conditionalFormatting sqref="P11">
    <cfRule type="cellIs" dxfId="274" priority="18" operator="equal">
      <formula>0</formula>
    </cfRule>
  </conditionalFormatting>
  <conditionalFormatting sqref="P13">
    <cfRule type="cellIs" dxfId="273" priority="17" operator="equal">
      <formula>0</formula>
    </cfRule>
  </conditionalFormatting>
  <conditionalFormatting sqref="F9">
    <cfRule type="cellIs" dxfId="272" priority="30" operator="equal">
      <formula>0</formula>
    </cfRule>
  </conditionalFormatting>
  <conditionalFormatting sqref="N9">
    <cfRule type="cellIs" dxfId="271" priority="26" operator="equal">
      <formula>0</formula>
    </cfRule>
  </conditionalFormatting>
  <conditionalFormatting sqref="C9">
    <cfRule type="cellIs" dxfId="270" priority="27" operator="equal">
      <formula>0</formula>
    </cfRule>
  </conditionalFormatting>
  <conditionalFormatting sqref="H9">
    <cfRule type="cellIs" dxfId="269" priority="23" operator="equal">
      <formula>0</formula>
    </cfRule>
  </conditionalFormatting>
  <conditionalFormatting sqref="I9">
    <cfRule type="cellIs" dxfId="268" priority="25" operator="equal">
      <formula>0</formula>
    </cfRule>
  </conditionalFormatting>
  <conditionalFormatting sqref="J9">
    <cfRule type="cellIs" dxfId="267" priority="24" operator="equal">
      <formula>0</formula>
    </cfRule>
  </conditionalFormatting>
  <conditionalFormatting sqref="O11">
    <cfRule type="cellIs" dxfId="266" priority="21" operator="equal">
      <formula>0</formula>
    </cfRule>
  </conditionalFormatting>
  <conditionalFormatting sqref="N11">
    <cfRule type="cellIs" dxfId="265" priority="22" operator="equal">
      <formula>0</formula>
    </cfRule>
  </conditionalFormatting>
  <conditionalFormatting sqref="O13">
    <cfRule type="cellIs" dxfId="264" priority="19" operator="equal">
      <formula>0</formula>
    </cfRule>
  </conditionalFormatting>
  <conditionalFormatting sqref="N13">
    <cfRule type="cellIs" dxfId="263" priority="20" operator="equal">
      <formula>0</formula>
    </cfRule>
  </conditionalFormatting>
  <conditionalFormatting sqref="J26:J27 J33 J29:J30">
    <cfRule type="cellIs" dxfId="262" priority="16" operator="notEqual">
      <formula>0</formula>
    </cfRule>
  </conditionalFormatting>
  <conditionalFormatting sqref="G26:G27 P26:P27">
    <cfRule type="cellIs" dxfId="261" priority="15" operator="equal">
      <formula>0</formula>
    </cfRule>
  </conditionalFormatting>
  <conditionalFormatting sqref="G29:G30 P29:P30">
    <cfRule type="cellIs" dxfId="260" priority="14" operator="equal">
      <formula>0</formula>
    </cfRule>
  </conditionalFormatting>
  <conditionalFormatting sqref="G33 P33">
    <cfRule type="cellIs" dxfId="259" priority="13" operator="equal">
      <formula>0</formula>
    </cfRule>
  </conditionalFormatting>
  <conditionalFormatting sqref="Q25:R27">
    <cfRule type="cellIs" dxfId="258" priority="12" operator="equal">
      <formula>0</formula>
    </cfRule>
  </conditionalFormatting>
  <conditionalFormatting sqref="Q28:R30">
    <cfRule type="cellIs" dxfId="257" priority="11" operator="equal">
      <formula>0</formula>
    </cfRule>
  </conditionalFormatting>
  <conditionalFormatting sqref="Q31:R33">
    <cfRule type="cellIs" dxfId="256" priority="10" operator="equal">
      <formula>0</formula>
    </cfRule>
  </conditionalFormatting>
  <conditionalFormatting sqref="S10:T10 S12:T12 S14:T14">
    <cfRule type="cellIs" dxfId="255" priority="9" operator="equal">
      <formula>0</formula>
    </cfRule>
  </conditionalFormatting>
  <conditionalFormatting sqref="S8">
    <cfRule type="expression" dxfId="254" priority="8">
      <formula>$T$8=0</formula>
    </cfRule>
  </conditionalFormatting>
  <conditionalFormatting sqref="D9">
    <cfRule type="cellIs" dxfId="253" priority="3" operator="equal">
      <formula>0</formula>
    </cfRule>
  </conditionalFormatting>
  <conditionalFormatting sqref="P35">
    <cfRule type="cellIs" dxfId="252" priority="2" operator="equal">
      <formula>0</formula>
    </cfRule>
  </conditionalFormatting>
  <conditionalFormatting sqref="G35">
    <cfRule type="cellIs" dxfId="251" priority="1" operator="equal">
      <formula>0</formula>
    </cfRule>
  </conditionalFormatting>
  <dataValidations count="1">
    <dataValidation allowBlank="1" showInputMessage="1" showErrorMessage="1" prompt="Si le taux prévisionnel n'est pas réaliste, inscrire le taux retenu" sqref="N9:P9 N11:P11 N13:P13" xr:uid="{00000000-0002-0000-0E00-000000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3">
    <tabColor theme="1"/>
    <pageSetUpPr fitToPage="1"/>
  </sheetPr>
  <dimension ref="A1:AG58"/>
  <sheetViews>
    <sheetView showGridLines="0" showRowColHeaders="0" zoomScaleNormal="100" zoomScalePageLayoutView="95" workbookViewId="0">
      <selection activeCell="G22" sqref="G22:H22"/>
    </sheetView>
  </sheetViews>
  <sheetFormatPr baseColWidth="10" defaultColWidth="10.77734375" defaultRowHeight="13.8" x14ac:dyDescent="0.3"/>
  <cols>
    <col min="1" max="1" width="1.77734375" style="1" customWidth="1"/>
    <col min="2" max="2" width="12.77734375" style="1" customWidth="1"/>
    <col min="3" max="3" width="21.77734375" style="1" customWidth="1"/>
    <col min="4" max="10" width="13.77734375" style="1" customWidth="1"/>
    <col min="11" max="11" width="13.77734375" style="2" customWidth="1"/>
    <col min="12" max="12" width="1" style="1" customWidth="1"/>
    <col min="13" max="17" width="13.77734375" style="1" customWidth="1"/>
    <col min="18" max="18" width="11.77734375" style="1" customWidth="1"/>
    <col min="19" max="19" width="7.77734375" style="1" customWidth="1"/>
    <col min="20" max="30" width="9.77734375" style="1" customWidth="1"/>
    <col min="31" max="16384" width="10.77734375" style="1"/>
  </cols>
  <sheetData>
    <row r="1" spans="2:31" ht="6" customHeight="1" x14ac:dyDescent="0.3"/>
    <row r="2" spans="2:31" s="137" customFormat="1" ht="21.9" customHeight="1" x14ac:dyDescent="0.35">
      <c r="B2" s="3371" t="s">
        <v>290</v>
      </c>
      <c r="C2" s="3372"/>
      <c r="D2" s="3372"/>
      <c r="E2" s="3372"/>
      <c r="F2" s="3372"/>
      <c r="G2" s="3372"/>
      <c r="H2" s="3372"/>
      <c r="I2" s="3372"/>
      <c r="J2" s="3372"/>
      <c r="K2" s="3372"/>
      <c r="L2" s="3372"/>
      <c r="M2" s="3372"/>
      <c r="N2" s="3372"/>
      <c r="O2" s="3372"/>
      <c r="P2" s="3372"/>
      <c r="Q2" s="3372"/>
      <c r="R2" s="5076"/>
    </row>
    <row r="3" spans="2:31" ht="13.5" customHeight="1" x14ac:dyDescent="0.3"/>
    <row r="4" spans="2:31" ht="21.9" customHeight="1" x14ac:dyDescent="0.3">
      <c r="B4" s="392" t="s">
        <v>542</v>
      </c>
      <c r="C4" s="1150" t="str">
        <f>IF(ISBLANK(nom)," ",nom)</f>
        <v xml:space="preserve"> </v>
      </c>
      <c r="D4" s="1150"/>
      <c r="E4" s="1150"/>
      <c r="I4" s="392" t="s">
        <v>541</v>
      </c>
      <c r="J4" s="5073" t="str">
        <f>IF(ISBLANK(commune)," ",commune)</f>
        <v xml:space="preserve"> </v>
      </c>
      <c r="K4" s="5074"/>
      <c r="L4" s="5074"/>
      <c r="M4" s="5074"/>
      <c r="N4" s="5075"/>
    </row>
    <row r="5" spans="2:31" s="2" customFormat="1" ht="6" customHeight="1" x14ac:dyDescent="0.3">
      <c r="B5" s="338"/>
      <c r="C5" s="338"/>
      <c r="D5" s="338"/>
    </row>
    <row r="6" spans="2:31" s="2" customFormat="1" ht="20.100000000000001" customHeight="1" x14ac:dyDescent="0.3">
      <c r="B6" s="5079" t="s">
        <v>579</v>
      </c>
      <c r="C6" s="5080"/>
      <c r="D6" s="5215" t="s">
        <v>512</v>
      </c>
      <c r="E6" s="5093" t="s">
        <v>584</v>
      </c>
      <c r="F6" s="5217" t="s">
        <v>284</v>
      </c>
      <c r="G6" s="5218"/>
      <c r="H6" s="5164" t="s">
        <v>406</v>
      </c>
      <c r="I6" s="5176" t="s">
        <v>581</v>
      </c>
      <c r="J6" s="5176"/>
      <c r="K6" s="5176"/>
      <c r="L6" s="5177"/>
      <c r="M6" s="5160" t="s">
        <v>580</v>
      </c>
      <c r="N6" s="5219" t="s">
        <v>862</v>
      </c>
      <c r="O6" s="5158" t="s">
        <v>582</v>
      </c>
      <c r="P6" s="5093" t="s">
        <v>511</v>
      </c>
      <c r="Q6" s="5099" t="s">
        <v>585</v>
      </c>
    </row>
    <row r="7" spans="2:31" s="2" customFormat="1" ht="20.100000000000001" customHeight="1" x14ac:dyDescent="0.3">
      <c r="B7" s="5081"/>
      <c r="C7" s="5082"/>
      <c r="D7" s="5216"/>
      <c r="E7" s="5094"/>
      <c r="F7" s="2772" t="s">
        <v>280</v>
      </c>
      <c r="G7" s="2773" t="s">
        <v>279</v>
      </c>
      <c r="H7" s="5165"/>
      <c r="I7" s="2778" t="s">
        <v>176</v>
      </c>
      <c r="J7" s="5178" t="s">
        <v>861</v>
      </c>
      <c r="K7" s="5179"/>
      <c r="L7" s="5180"/>
      <c r="M7" s="5161"/>
      <c r="N7" s="5220"/>
      <c r="O7" s="5159"/>
      <c r="P7" s="5157"/>
      <c r="Q7" s="5100"/>
    </row>
    <row r="8" spans="2:31" s="2" customFormat="1" ht="20.100000000000001" customHeight="1" x14ac:dyDescent="0.3">
      <c r="B8" s="5200" t="s">
        <v>283</v>
      </c>
      <c r="C8" s="3363"/>
      <c r="D8" s="1856"/>
      <c r="E8" s="1857"/>
      <c r="F8" s="2764"/>
      <c r="G8" s="2768"/>
      <c r="H8" s="1858"/>
      <c r="I8" s="255"/>
      <c r="J8" s="1859"/>
      <c r="K8" s="5181"/>
      <c r="L8" s="5182"/>
      <c r="M8" s="1851"/>
      <c r="N8" s="65"/>
      <c r="O8" s="1863">
        <f>IF(ISBLANK(M8),0,N8-M8)</f>
        <v>0</v>
      </c>
      <c r="P8" s="1864" t="str">
        <f>IF(ISERROR(IF(ISBLANK(M8)," ",(POWER(N8/M8,1/G8))-1))," ",IF(ISBLANK(M8)," ",(POWER(N8/M8,1/G8))-1))</f>
        <v xml:space="preserve"> </v>
      </c>
      <c r="Q8" s="1866">
        <f>E8-M8</f>
        <v>0</v>
      </c>
    </row>
    <row r="9" spans="2:31" s="2" customFormat="1" ht="20.100000000000001" customHeight="1" x14ac:dyDescent="0.3">
      <c r="B9" s="5201"/>
      <c r="C9" s="5202"/>
      <c r="D9" s="1847"/>
      <c r="E9" s="1848"/>
      <c r="F9" s="2765"/>
      <c r="G9" s="2769"/>
      <c r="H9" s="1849"/>
      <c r="I9" s="2776"/>
      <c r="J9" s="2777"/>
      <c r="K9" s="5183"/>
      <c r="L9" s="5184"/>
      <c r="M9" s="1848"/>
      <c r="N9" s="1860"/>
      <c r="O9" s="1854">
        <f>IF(ISBLANK(M9),0,N9-M9)</f>
        <v>0</v>
      </c>
      <c r="P9" s="1865" t="str">
        <f>IF(ISERROR(IF(ISBLANK(M9)," ",(POWER(N9/M9,1/G9))-1))," ",IF(ISBLANK(M9)," ",(POWER(N9/M9,1/G9))-1))</f>
        <v xml:space="preserve"> </v>
      </c>
      <c r="Q9" s="1867">
        <f>E9-M9</f>
        <v>0</v>
      </c>
    </row>
    <row r="10" spans="2:31" s="2" customFormat="1" ht="20.100000000000001" customHeight="1" x14ac:dyDescent="0.3">
      <c r="B10" s="5229" t="s">
        <v>583</v>
      </c>
      <c r="C10" s="5230"/>
      <c r="D10" s="1850"/>
      <c r="E10" s="1851"/>
      <c r="F10" s="2766"/>
      <c r="G10" s="2770"/>
      <c r="H10" s="1852"/>
      <c r="I10" s="5095" t="s">
        <v>405</v>
      </c>
      <c r="J10" s="5096"/>
      <c r="K10" s="5185"/>
      <c r="L10" s="5186"/>
      <c r="M10" s="1851"/>
      <c r="N10" s="1861"/>
      <c r="O10" s="854"/>
      <c r="P10" s="854"/>
      <c r="Q10" s="1866">
        <f>E10-M10</f>
        <v>0</v>
      </c>
    </row>
    <row r="11" spans="2:31" s="2" customFormat="1" ht="20.100000000000001" customHeight="1" x14ac:dyDescent="0.3">
      <c r="B11" s="5231"/>
      <c r="C11" s="5202"/>
      <c r="D11" s="1853"/>
      <c r="E11" s="1854"/>
      <c r="F11" s="2767"/>
      <c r="G11" s="2771"/>
      <c r="H11" s="1855"/>
      <c r="I11" s="5097"/>
      <c r="J11" s="5098"/>
      <c r="K11" s="5244"/>
      <c r="L11" s="5245"/>
      <c r="M11" s="1854"/>
      <c r="N11" s="1862"/>
      <c r="O11" s="1846"/>
      <c r="P11" s="1846"/>
      <c r="Q11" s="1868">
        <f>E11-M11</f>
        <v>0</v>
      </c>
    </row>
    <row r="12" spans="2:31" s="2" customFormat="1" ht="3" customHeight="1" x14ac:dyDescent="0.3">
      <c r="B12" s="372"/>
      <c r="C12" s="1139"/>
      <c r="D12" s="378"/>
      <c r="E12" s="65"/>
      <c r="F12" s="373"/>
      <c r="G12" s="374"/>
      <c r="H12" s="375"/>
      <c r="I12" s="379"/>
      <c r="J12" s="376"/>
      <c r="K12" s="376"/>
      <c r="L12" s="376"/>
      <c r="M12" s="65"/>
      <c r="N12" s="65"/>
      <c r="O12" s="380"/>
      <c r="P12" s="380"/>
      <c r="Q12" s="377"/>
    </row>
    <row r="13" spans="2:31" s="2" customFormat="1" ht="20.100000000000001" customHeight="1" x14ac:dyDescent="0.3">
      <c r="D13" s="1223" t="s">
        <v>197</v>
      </c>
      <c r="E13" s="1876">
        <f>E8+E9+E10+E11</f>
        <v>0</v>
      </c>
      <c r="F13" s="373"/>
      <c r="G13" s="374"/>
      <c r="H13" s="1223" t="s">
        <v>197</v>
      </c>
      <c r="I13" s="2774">
        <f>I8+I9</f>
        <v>0</v>
      </c>
      <c r="J13" s="374"/>
      <c r="K13" s="374"/>
      <c r="L13" s="374"/>
      <c r="N13" s="1223" t="s">
        <v>197</v>
      </c>
      <c r="O13" s="2775">
        <f>O8+O9</f>
        <v>0</v>
      </c>
      <c r="P13" s="1223" t="s">
        <v>197</v>
      </c>
      <c r="Q13" s="1875">
        <f>Q8+Q9+Q10+Q11</f>
        <v>0</v>
      </c>
    </row>
    <row r="14" spans="2:31" s="2" customFormat="1" ht="15" customHeight="1" x14ac:dyDescent="0.3">
      <c r="B14" s="338"/>
      <c r="C14" s="338"/>
      <c r="D14" s="338"/>
    </row>
    <row r="15" spans="2:31" ht="20.100000000000001" customHeight="1" x14ac:dyDescent="0.3">
      <c r="B15" s="5232" t="s">
        <v>587</v>
      </c>
      <c r="C15" s="5233"/>
      <c r="D15" s="1869" t="s">
        <v>49</v>
      </c>
      <c r="E15" s="5172" t="s">
        <v>284</v>
      </c>
      <c r="F15" s="5172"/>
      <c r="G15" s="5240" t="s">
        <v>894</v>
      </c>
      <c r="H15" s="5104" t="s">
        <v>282</v>
      </c>
      <c r="I15" s="5105"/>
      <c r="J15" s="5105"/>
      <c r="K15" s="5105"/>
      <c r="L15" s="5107"/>
      <c r="M15" s="5104" t="s">
        <v>1036</v>
      </c>
      <c r="N15" s="5105"/>
      <c r="O15" s="5105"/>
      <c r="P15" s="5105"/>
      <c r="Q15" s="5105"/>
      <c r="R15" s="5106"/>
    </row>
    <row r="16" spans="2:31" ht="30" customHeight="1" x14ac:dyDescent="0.3">
      <c r="B16" s="5234"/>
      <c r="C16" s="5235"/>
      <c r="D16" s="1874" t="s">
        <v>176</v>
      </c>
      <c r="E16" s="2781" t="s">
        <v>280</v>
      </c>
      <c r="F16" s="2782" t="s">
        <v>279</v>
      </c>
      <c r="G16" s="5241"/>
      <c r="H16" s="5108"/>
      <c r="I16" s="5109"/>
      <c r="J16" s="5109"/>
      <c r="K16" s="5109"/>
      <c r="L16" s="5110"/>
      <c r="M16" s="2783" t="s">
        <v>513</v>
      </c>
      <c r="N16" s="2784" t="s">
        <v>203</v>
      </c>
      <c r="O16" s="2785" t="s">
        <v>281</v>
      </c>
      <c r="P16" s="2785" t="s">
        <v>77</v>
      </c>
      <c r="Q16" s="5166" t="s">
        <v>282</v>
      </c>
      <c r="R16" s="5167"/>
      <c r="T16" s="1268">
        <f>(F19-E19)</f>
        <v>0</v>
      </c>
      <c r="U16" s="849">
        <v>0</v>
      </c>
      <c r="V16" s="849">
        <v>0</v>
      </c>
      <c r="W16" s="849">
        <v>0</v>
      </c>
      <c r="X16" s="849">
        <v>0</v>
      </c>
      <c r="Y16" s="849">
        <v>0</v>
      </c>
      <c r="Z16" s="849">
        <v>0</v>
      </c>
      <c r="AA16" s="849">
        <v>1</v>
      </c>
      <c r="AB16" s="1025">
        <v>2</v>
      </c>
      <c r="AC16" s="849">
        <v>3</v>
      </c>
      <c r="AD16" s="849">
        <v>4</v>
      </c>
      <c r="AE16" s="849">
        <v>5</v>
      </c>
    </row>
    <row r="17" spans="2:31" ht="20.100000000000001" customHeight="1" x14ac:dyDescent="0.3">
      <c r="B17" s="5236" t="str">
        <f>IF(I22=0," ","Capital")</f>
        <v xml:space="preserve"> </v>
      </c>
      <c r="C17" s="3378"/>
      <c r="D17" s="5203">
        <f>capital_hk_1+capital_hk_2</f>
        <v>0</v>
      </c>
      <c r="E17" s="3340" t="s">
        <v>896</v>
      </c>
      <c r="F17" s="2779"/>
      <c r="G17" s="1873"/>
      <c r="H17" s="5115"/>
      <c r="I17" s="3359"/>
      <c r="J17" s="3359"/>
      <c r="K17" s="5116"/>
      <c r="L17" s="5116"/>
      <c r="M17" s="5274"/>
      <c r="N17" s="5275"/>
      <c r="O17" s="5272"/>
      <c r="P17" s="5269"/>
      <c r="Q17" s="5162"/>
      <c r="R17" s="5163"/>
      <c r="T17" s="144"/>
      <c r="U17" s="1269">
        <f t="shared" ref="U17:Z17" si="0">V17-1</f>
        <v>-5</v>
      </c>
      <c r="V17" s="1269">
        <f t="shared" si="0"/>
        <v>-4</v>
      </c>
      <c r="W17" s="1269">
        <f t="shared" si="0"/>
        <v>-3</v>
      </c>
      <c r="X17" s="1269">
        <f t="shared" si="0"/>
        <v>-2</v>
      </c>
      <c r="Y17" s="1269">
        <f t="shared" si="0"/>
        <v>-1</v>
      </c>
      <c r="Z17" s="1269">
        <f t="shared" si="0"/>
        <v>0</v>
      </c>
      <c r="AA17" s="1269">
        <f>F19-(T16-1)</f>
        <v>1</v>
      </c>
      <c r="AB17" s="1269">
        <f>IF(AB16&lt;=$T$16,AA17+1,0)</f>
        <v>0</v>
      </c>
      <c r="AC17" s="1269">
        <f>IF(AC16&lt;=$T$16,AB17+1,0)</f>
        <v>0</v>
      </c>
      <c r="AD17" s="1269">
        <f>IF(AD16&lt;=$T$16,AC17+1,0)</f>
        <v>0</v>
      </c>
      <c r="AE17" s="1269">
        <f>IF(AE16&lt;=$T$16,AD17+1,0)</f>
        <v>0</v>
      </c>
    </row>
    <row r="18" spans="2:31" ht="20.100000000000001" customHeight="1" x14ac:dyDescent="0.3">
      <c r="B18" s="5237" t="str">
        <f>IF(capital_hk_1&gt;0,"société cible",IF(capital_hk_2&gt;0,"société holding"," "))</f>
        <v xml:space="preserve"> </v>
      </c>
      <c r="C18" s="5238"/>
      <c r="D18" s="5119"/>
      <c r="E18" s="3341" t="s">
        <v>895</v>
      </c>
      <c r="F18" s="2780"/>
      <c r="G18" s="1870"/>
      <c r="H18" s="5117"/>
      <c r="I18" s="5117"/>
      <c r="J18" s="5117"/>
      <c r="K18" s="5117"/>
      <c r="L18" s="5117"/>
      <c r="M18" s="5190"/>
      <c r="N18" s="5198"/>
      <c r="O18" s="5273"/>
      <c r="P18" s="5270"/>
      <c r="Q18" s="5156"/>
      <c r="R18" s="3547"/>
      <c r="T18" s="144"/>
      <c r="U18" s="1270">
        <f>$D$19</f>
        <v>0</v>
      </c>
      <c r="V18" s="1270">
        <f t="shared" ref="V18:Z18" si="1">$D$19</f>
        <v>0</v>
      </c>
      <c r="W18" s="1270">
        <f t="shared" si="1"/>
        <v>0</v>
      </c>
      <c r="X18" s="1270">
        <f t="shared" si="1"/>
        <v>0</v>
      </c>
      <c r="Y18" s="1270">
        <f t="shared" si="1"/>
        <v>0</v>
      </c>
      <c r="Z18" s="1270">
        <f t="shared" si="1"/>
        <v>0</v>
      </c>
      <c r="AA18" s="1271">
        <f>$D$19</f>
        <v>0</v>
      </c>
      <c r="AB18" s="1271">
        <f>AA18-AA20</f>
        <v>0</v>
      </c>
      <c r="AC18" s="1271">
        <f>AB18-AB20</f>
        <v>0</v>
      </c>
      <c r="AD18" s="1271">
        <f>AC18-AC20</f>
        <v>0</v>
      </c>
      <c r="AE18" s="1271">
        <f>AD18-AD20</f>
        <v>0</v>
      </c>
    </row>
    <row r="19" spans="2:31" ht="20.100000000000001" customHeight="1" x14ac:dyDescent="0.3">
      <c r="B19" s="5239" t="str">
        <f>IF(E22=" ",G22,E22)</f>
        <v xml:space="preserve"> </v>
      </c>
      <c r="C19" s="4269"/>
      <c r="D19" s="5118">
        <f>complt_hk1+complt_hk2</f>
        <v>0</v>
      </c>
      <c r="E19" s="5187">
        <f>différé_complt_hk1+différé_complt_hk2</f>
        <v>0</v>
      </c>
      <c r="F19" s="5191">
        <f>durée_complt_hk1+durée_complt_hk2</f>
        <v>0</v>
      </c>
      <c r="G19" s="1871">
        <f>taux_complt_hk1+taux_complt_hk2</f>
        <v>0</v>
      </c>
      <c r="H19" s="5195"/>
      <c r="I19" s="5196"/>
      <c r="J19" s="5196"/>
      <c r="K19" s="4272"/>
      <c r="L19" s="4272"/>
      <c r="M19" s="5190"/>
      <c r="N19" s="5198"/>
      <c r="O19" s="5271"/>
      <c r="P19" s="5270"/>
      <c r="Q19" s="5156"/>
      <c r="R19" s="3547"/>
      <c r="T19" s="144"/>
      <c r="U19" s="1270">
        <f>U18*$G$19</f>
        <v>0</v>
      </c>
      <c r="V19" s="1270">
        <f t="shared" ref="V19:AA19" si="2">V18*$G$19</f>
        <v>0</v>
      </c>
      <c r="W19" s="1270">
        <f t="shared" si="2"/>
        <v>0</v>
      </c>
      <c r="X19" s="1270">
        <f t="shared" si="2"/>
        <v>0</v>
      </c>
      <c r="Y19" s="1270">
        <f t="shared" si="2"/>
        <v>0</v>
      </c>
      <c r="Z19" s="1270">
        <f t="shared" si="2"/>
        <v>0</v>
      </c>
      <c r="AA19" s="1270">
        <f t="shared" si="2"/>
        <v>0</v>
      </c>
      <c r="AB19" s="1270">
        <f>AB18*$G$19</f>
        <v>0</v>
      </c>
      <c r="AC19" s="1270">
        <f>AC18*$G$19</f>
        <v>0</v>
      </c>
      <c r="AD19" s="1270">
        <f>AD18*$G$19</f>
        <v>0</v>
      </c>
      <c r="AE19" s="1270">
        <f>AE18*$G$19</f>
        <v>0</v>
      </c>
    </row>
    <row r="20" spans="2:31" ht="20.100000000000001" customHeight="1" x14ac:dyDescent="0.3">
      <c r="B20" s="5237" t="str">
        <f>IF(complt_hk1&gt;0,"société cible",IF(complt_hk2&gt;0,"société holding"," "))</f>
        <v xml:space="preserve"> </v>
      </c>
      <c r="C20" s="5238"/>
      <c r="D20" s="5119"/>
      <c r="E20" s="5188"/>
      <c r="F20" s="5192"/>
      <c r="G20" s="1872"/>
      <c r="H20" s="5197"/>
      <c r="I20" s="5197"/>
      <c r="J20" s="5197"/>
      <c r="K20" s="5197"/>
      <c r="L20" s="5197"/>
      <c r="M20" s="5190"/>
      <c r="N20" s="5199"/>
      <c r="O20" s="5199"/>
      <c r="P20" s="5199"/>
      <c r="Q20" s="5156"/>
      <c r="R20" s="3547"/>
      <c r="T20" s="144"/>
      <c r="U20" s="1272"/>
      <c r="V20" s="1272"/>
      <c r="W20" s="1272"/>
      <c r="X20" s="1272"/>
      <c r="Y20" s="1272"/>
      <c r="Z20" s="1272"/>
      <c r="AA20" s="1270">
        <f>ROUND(IF(AA16&lt;$T$16,$D$19/$T$16,AA18),2)</f>
        <v>0</v>
      </c>
      <c r="AB20" s="1270">
        <f>ROUND(IF(AB16&lt;$T$16,$D$19/$T$16,AB18),2)</f>
        <v>0</v>
      </c>
      <c r="AC20" s="1270">
        <f>ROUND(IF(AC16&lt;$T$16,$D$19/$T$16,AC18),2)</f>
        <v>0</v>
      </c>
      <c r="AD20" s="1270">
        <f>ROUND(IF(AD16&lt;$T$16,$D$19/$T$16,AD18),2)</f>
        <v>0</v>
      </c>
      <c r="AE20" s="1270">
        <f>ROUND(IF(AE16&lt;$T$16,$D$19/$T$16,AE18),2)</f>
        <v>0</v>
      </c>
    </row>
    <row r="21" spans="2:31" ht="3" customHeight="1" x14ac:dyDescent="0.3">
      <c r="B21" s="200"/>
      <c r="C21" s="200"/>
      <c r="J21" s="939"/>
      <c r="K21" s="940"/>
      <c r="L21" s="940"/>
      <c r="M21" s="939"/>
      <c r="T21" s="368"/>
      <c r="U21" s="1273"/>
      <c r="V21" s="1273"/>
      <c r="W21" s="1273"/>
      <c r="X21" s="1273"/>
      <c r="Y21" s="1273"/>
      <c r="Z21" s="1273"/>
      <c r="AA21" s="1273"/>
      <c r="AB21" s="1273"/>
      <c r="AC21" s="1273"/>
      <c r="AD21" s="1273"/>
      <c r="AE21" s="1273"/>
    </row>
    <row r="22" spans="2:31" ht="20.25" customHeight="1" x14ac:dyDescent="0.3">
      <c r="C22" s="349" t="s">
        <v>197</v>
      </c>
      <c r="D22" s="1877">
        <f>SUM(D17:D20)</f>
        <v>0</v>
      </c>
      <c r="E22" s="5189" t="str">
        <f>IF(ISBLANK('Plan de financement'!E61)," ",'Plan de financement'!E61)</f>
        <v xml:space="preserve"> </v>
      </c>
      <c r="F22" s="5189"/>
      <c r="G22" s="5189" t="str">
        <f>IF(ISBLANK('Holding-plan de financement'!E56)," ",'Holding-plan de financement'!E56)</f>
        <v xml:space="preserve"> </v>
      </c>
      <c r="H22" s="5189"/>
      <c r="I22" s="1137">
        <f>IF((capital_hk_1+capital_hk_2)&gt;0,1,0)</f>
        <v>0</v>
      </c>
      <c r="J22" s="663"/>
      <c r="K22" s="1"/>
      <c r="T22" s="144"/>
      <c r="U22" s="1270">
        <f t="shared" ref="U22:Z22" si="3">U19</f>
        <v>0</v>
      </c>
      <c r="V22" s="1270">
        <f t="shared" si="3"/>
        <v>0</v>
      </c>
      <c r="W22" s="1270">
        <f t="shared" si="3"/>
        <v>0</v>
      </c>
      <c r="X22" s="1270">
        <f t="shared" si="3"/>
        <v>0</v>
      </c>
      <c r="Y22" s="1270">
        <f t="shared" si="3"/>
        <v>0</v>
      </c>
      <c r="Z22" s="1270">
        <f t="shared" si="3"/>
        <v>0</v>
      </c>
      <c r="AA22" s="1274">
        <f>IF(AA20=0,0,AA20*(POWER((1+$G$20),AA17))+AA19)</f>
        <v>0</v>
      </c>
      <c r="AB22" s="1274">
        <f>IF(AB20=0,0,AB20*(POWER((1+$G$20),AB17))+AB19)</f>
        <v>0</v>
      </c>
      <c r="AC22" s="1274">
        <f>IF(AC20=0,0,AC20*(POWER((1+$G$20),AC17))+AC19)</f>
        <v>0</v>
      </c>
      <c r="AD22" s="1274">
        <f>IF(AD20=0,0,AD20*(POWER((1+$G$20),AD17))+AD19)</f>
        <v>0</v>
      </c>
      <c r="AE22" s="1274">
        <f>IF(AE20=0,0,AE20*(POWER((1+$G$20),AE17))+AE19)</f>
        <v>0</v>
      </c>
    </row>
    <row r="23" spans="2:31" ht="20.100000000000001" customHeight="1" x14ac:dyDescent="0.3">
      <c r="F23" s="938"/>
      <c r="G23" s="938"/>
      <c r="H23" s="58"/>
      <c r="I23" s="58"/>
      <c r="K23" s="1"/>
      <c r="N23" s="58"/>
      <c r="O23" s="58"/>
      <c r="P23" s="58"/>
      <c r="Q23" s="58"/>
      <c r="R23" s="58"/>
    </row>
    <row r="24" spans="2:31" s="81" customFormat="1" ht="20.100000000000001" customHeight="1" x14ac:dyDescent="0.3">
      <c r="B24" s="5084" t="str">
        <f>"Projet : "&amp;stade</f>
        <v xml:space="preserve">Projet : </v>
      </c>
      <c r="C24" s="5085"/>
      <c r="D24" s="5086"/>
      <c r="E24" s="5087" t="s">
        <v>534</v>
      </c>
      <c r="F24" s="5088"/>
      <c r="G24" s="5089"/>
      <c r="H24" s="1233" t="str">
        <f>IF(ISBLANK(creation)," ",creation)</f>
        <v xml:space="preserve"> </v>
      </c>
      <c r="I24" s="5090" t="str">
        <f>IF(stade="transmission d'entreprise","Création d'une nouvelle société  d'exploitation ?"," ")</f>
        <v xml:space="preserve"> </v>
      </c>
      <c r="J24" s="5091"/>
      <c r="K24" s="5091"/>
      <c r="L24" s="5091"/>
      <c r="M24" s="5091"/>
      <c r="N24" s="1228" t="str">
        <f>IF(AND(stade="transmission d'entreprise",ISBLANK(sté_exploitation)),"Non",IF(AND(stade="transmission d'entreprise",sté_exploitation="non"),"Non",IF(AND(stade="transmission d'entreprise",sté_exploitation="oui"),"Oui"," ")))</f>
        <v xml:space="preserve"> </v>
      </c>
      <c r="O24" s="5092" t="str">
        <f>IF(stade="transmission d'entreprise","Rachat par holding ?"," ")</f>
        <v xml:space="preserve"> </v>
      </c>
      <c r="P24" s="5091"/>
      <c r="Q24" s="1228" t="str">
        <f>IF(AND(stade="transmission d'entreprise",ISBLANK(hold)),"Non",IF(AND(stade="transmission d'entreprise",hold="non"),"Non",IF(AND(stade="transmission d'entreprise",hold="oui"),"Oui"," ")))</f>
        <v xml:space="preserve"> </v>
      </c>
    </row>
    <row r="25" spans="2:31" ht="6" customHeight="1" x14ac:dyDescent="0.3"/>
    <row r="26" spans="2:31" ht="20.100000000000001" customHeight="1" x14ac:dyDescent="0.3">
      <c r="B26" s="4620" t="s">
        <v>1187</v>
      </c>
      <c r="C26" s="5135"/>
      <c r="D26" s="5204" t="s">
        <v>766</v>
      </c>
      <c r="E26" s="5205"/>
      <c r="F26" s="5206"/>
      <c r="G26" s="5173" t="s">
        <v>767</v>
      </c>
      <c r="H26" s="5174"/>
      <c r="I26" s="5175"/>
      <c r="K26" s="4366" t="s">
        <v>1188</v>
      </c>
      <c r="L26" s="5193"/>
      <c r="M26" s="5193"/>
      <c r="N26" s="5193"/>
      <c r="O26" s="5276" t="str">
        <f>IF(ISBLANK(An)," ",An)</f>
        <v xml:space="preserve"> </v>
      </c>
      <c r="P26" s="5242" t="str">
        <f>IF(ISBLANK(An)," ",An+1)</f>
        <v xml:space="preserve"> </v>
      </c>
      <c r="Q26" s="5069" t="str">
        <f>IF(ISBLANK(An)," ",An+2)</f>
        <v xml:space="preserve"> </v>
      </c>
    </row>
    <row r="27" spans="2:31" ht="20.100000000000001" customHeight="1" x14ac:dyDescent="0.3">
      <c r="B27" s="5136"/>
      <c r="C27" s="5137"/>
      <c r="D27" s="799" t="str">
        <f>IF(ISBLANK(An)," ",exercice_3)</f>
        <v xml:space="preserve"> </v>
      </c>
      <c r="E27" s="799" t="str">
        <f>IF(ISBLANK(An)," ",exercice_2)</f>
        <v xml:space="preserve"> </v>
      </c>
      <c r="F27" s="800" t="str">
        <f>IF(ISBLANK(An)," ",exercice_1)</f>
        <v xml:space="preserve"> </v>
      </c>
      <c r="G27" s="1332" t="str">
        <f>IF(ISBLANK(An)," ",An)</f>
        <v xml:space="preserve"> </v>
      </c>
      <c r="H27" s="1333" t="str">
        <f>IF(ISBLANK(An)," ",An+1)</f>
        <v xml:space="preserve"> </v>
      </c>
      <c r="I27" s="1878" t="str">
        <f>IF(ISBLANK(An)," ",An+2)</f>
        <v xml:space="preserve"> </v>
      </c>
      <c r="K27" s="4367"/>
      <c r="L27" s="5194"/>
      <c r="M27" s="5194"/>
      <c r="N27" s="5194"/>
      <c r="O27" s="5277"/>
      <c r="P27" s="5243"/>
      <c r="Q27" s="5070"/>
    </row>
    <row r="28" spans="2:31" ht="21.9" customHeight="1" x14ac:dyDescent="0.3">
      <c r="B28" s="5138"/>
      <c r="C28" s="5139"/>
      <c r="D28" s="1889" t="str">
        <f>IF(ISBLANK(durée_3)," ",durée_3)</f>
        <v xml:space="preserve"> </v>
      </c>
      <c r="E28" s="1889" t="str">
        <f>IF(ISBLANK(durée_2)," ",durée_2)</f>
        <v xml:space="preserve"> </v>
      </c>
      <c r="F28" s="1890" t="str">
        <f>IF(ISBLANK(durée_1)," ",durée_1)</f>
        <v xml:space="preserve"> </v>
      </c>
      <c r="G28" s="1891" t="str">
        <f>IF(ISBLANK(durée_5)," ",durée_5)</f>
        <v xml:space="preserve"> </v>
      </c>
      <c r="H28" s="1892" t="str">
        <f>IF(ISBLANK(durée_6)," ",durée_6)</f>
        <v xml:space="preserve"> </v>
      </c>
      <c r="I28" s="1893" t="str">
        <f>IF(ISBLANK(durée_7)," ",durée_7)</f>
        <v xml:space="preserve"> </v>
      </c>
      <c r="K28" s="5122" t="s">
        <v>844</v>
      </c>
      <c r="L28" s="5123"/>
      <c r="M28" s="5124"/>
      <c r="N28" s="5125"/>
      <c r="O28" s="2786">
        <f>invest_5</f>
        <v>0</v>
      </c>
      <c r="P28" s="2786">
        <f>invest_6</f>
        <v>0</v>
      </c>
      <c r="Q28" s="1897">
        <f>invest_7</f>
        <v>0</v>
      </c>
    </row>
    <row r="29" spans="2:31" ht="21.9" customHeight="1" x14ac:dyDescent="0.3">
      <c r="B29" s="5140" t="s">
        <v>447</v>
      </c>
      <c r="C29" s="3363"/>
      <c r="D29" s="2794">
        <f>IF(ISBLANK(ca_3)," ",s_3)</f>
        <v>0</v>
      </c>
      <c r="E29" s="2794">
        <f>IF(ISBLANK(ca_2)," ",s_2)</f>
        <v>0</v>
      </c>
      <c r="F29" s="1887">
        <f>IF(ISBLANK(ca_1)," ",s_1)</f>
        <v>0</v>
      </c>
      <c r="G29" s="2793">
        <f>IF(ISBLANK(ca_5)," ",s_5)</f>
        <v>0</v>
      </c>
      <c r="H29" s="2795">
        <f>IF(ISBLANK(ca_6)," ",s_6)</f>
        <v>0</v>
      </c>
      <c r="I29" s="1888">
        <f>IF(ISBLANK(ca_7)," ",s_7)</f>
        <v>0</v>
      </c>
      <c r="K29" s="5126" t="s">
        <v>845</v>
      </c>
      <c r="L29" s="5127"/>
      <c r="M29" s="5127"/>
      <c r="N29" s="5128"/>
      <c r="O29" s="2787">
        <f>plancher_FR+complément_FR</f>
        <v>0</v>
      </c>
      <c r="P29" s="2788"/>
      <c r="Q29" s="1902"/>
    </row>
    <row r="30" spans="2:31" ht="21.9" customHeight="1" x14ac:dyDescent="0.3">
      <c r="B30" s="5168" t="s">
        <v>826</v>
      </c>
      <c r="C30" s="5169"/>
      <c r="D30" s="5170"/>
      <c r="E30" s="5170"/>
      <c r="F30" s="5170"/>
      <c r="G30" s="5170"/>
      <c r="H30" s="5170"/>
      <c r="I30" s="5171"/>
      <c r="K30" s="5126" t="s">
        <v>847</v>
      </c>
      <c r="L30" s="5127"/>
      <c r="M30" s="5129"/>
      <c r="N30" s="5128"/>
      <c r="O30" s="2787">
        <f>'Plan de financement'!M12</f>
        <v>0</v>
      </c>
      <c r="P30" s="2787">
        <f>'Plan de financement'!P12</f>
        <v>0</v>
      </c>
      <c r="Q30" s="1894">
        <f>'Plan de financement'!Q12</f>
        <v>0</v>
      </c>
    </row>
    <row r="31" spans="2:31" ht="21.9" customHeight="1" x14ac:dyDescent="0.3">
      <c r="B31" s="5141" t="s">
        <v>36</v>
      </c>
      <c r="C31" s="3865"/>
      <c r="D31" s="2800">
        <f>IF(ISBLANK(ca_3)," ",ca_3)</f>
        <v>0</v>
      </c>
      <c r="E31" s="2800">
        <f>IF(ISBLANK(ca_2)," ",ca_2)</f>
        <v>0</v>
      </c>
      <c r="F31" s="1883">
        <f>IF(ISBLANK(ca_1)," ",ca_1)</f>
        <v>0</v>
      </c>
      <c r="G31" s="2796">
        <f>IF(ISBLANK(ca_5)," ",ca_5)</f>
        <v>0</v>
      </c>
      <c r="H31" s="2803">
        <f>IF(ISBLANK(ca_6)," ",ca_6)</f>
        <v>0</v>
      </c>
      <c r="I31" s="1879">
        <f>IF(ISBLANK(ca_7)," ",ca_7)</f>
        <v>0</v>
      </c>
      <c r="K31" s="5126" t="s">
        <v>846</v>
      </c>
      <c r="L31" s="5127"/>
      <c r="M31" s="5127"/>
      <c r="N31" s="5128"/>
      <c r="O31" s="2787">
        <f>'Plan de financement'!M13+'Plan de financement'!M14</f>
        <v>0</v>
      </c>
      <c r="P31" s="2787">
        <f>'Plan de financement'!P14</f>
        <v>0</v>
      </c>
      <c r="Q31" s="1894">
        <f>'Plan de financement'!Q14</f>
        <v>0</v>
      </c>
    </row>
    <row r="32" spans="2:31" ht="21.9" customHeight="1" x14ac:dyDescent="0.3">
      <c r="B32" s="5083" t="s">
        <v>43</v>
      </c>
      <c r="C32" s="4724"/>
      <c r="D32" s="2801">
        <f>IF(ISBLANK(ca_3)," ",ebe_3)</f>
        <v>0</v>
      </c>
      <c r="E32" s="2801">
        <f>IF(ISBLANK(ca_2)," ",ebe_2)</f>
        <v>0</v>
      </c>
      <c r="F32" s="1884">
        <f>IF(ISBLANK(ca_1)," ",ebe_1)</f>
        <v>0</v>
      </c>
      <c r="G32" s="2797">
        <f>IF(ISBLANK(ca_5)," ",ebe_5)</f>
        <v>0</v>
      </c>
      <c r="H32" s="2804">
        <f>IF(ISBLANK(ca_6)," ",ebe_6)</f>
        <v>0</v>
      </c>
      <c r="I32" s="1880">
        <f>IF(ISBLANK(ca_7)," ",ebe_7)</f>
        <v>0</v>
      </c>
      <c r="K32" s="5126" t="s">
        <v>859</v>
      </c>
      <c r="L32" s="5127"/>
      <c r="M32" s="5129"/>
      <c r="N32" s="5128"/>
      <c r="O32" s="2787">
        <f>capitalisation_cc5</f>
        <v>0</v>
      </c>
      <c r="P32" s="2787">
        <f>capitalisation_cc6</f>
        <v>0</v>
      </c>
      <c r="Q32" s="1894">
        <f>capitalisation_cc7</f>
        <v>0</v>
      </c>
    </row>
    <row r="33" spans="2:17" ht="21.9" customHeight="1" x14ac:dyDescent="0.3">
      <c r="B33" s="5083" t="s">
        <v>38</v>
      </c>
      <c r="C33" s="4724"/>
      <c r="D33" s="2801">
        <f>IF(ISBLANK(ca_3)," ",re_3)</f>
        <v>0</v>
      </c>
      <c r="E33" s="2801">
        <f>IF(ISBLANK(ca_2)," ",re_2)</f>
        <v>0</v>
      </c>
      <c r="F33" s="1884">
        <f>IF(ISBLANK(ca_1)," ",re_1)</f>
        <v>0</v>
      </c>
      <c r="G33" s="2797">
        <f>IF(ISBLANK(ca_5)," ",re_5)</f>
        <v>0</v>
      </c>
      <c r="H33" s="2804">
        <f>IF(ISBLANK(ca_6)," ",re_6)</f>
        <v>0</v>
      </c>
      <c r="I33" s="1880">
        <f>IF(ISBLANK(ca_7)," ",re_7)</f>
        <v>0</v>
      </c>
      <c r="K33" s="5126" t="s">
        <v>860</v>
      </c>
      <c r="L33" s="5128"/>
      <c r="M33" s="5128"/>
      <c r="N33" s="5128"/>
      <c r="O33" s="2787">
        <f>Apurement_5</f>
        <v>0</v>
      </c>
      <c r="P33" s="2787">
        <f>Apurement_6</f>
        <v>0</v>
      </c>
      <c r="Q33" s="1894">
        <f>Apurement_7</f>
        <v>0</v>
      </c>
    </row>
    <row r="34" spans="2:17" ht="21.9" customHeight="1" x14ac:dyDescent="0.3">
      <c r="B34" s="5083" t="s">
        <v>42</v>
      </c>
      <c r="C34" s="4724"/>
      <c r="D34" s="2801">
        <f>IF(ISBLANK(ca_3)," ",rc_3)</f>
        <v>0</v>
      </c>
      <c r="E34" s="2801">
        <f>IF(ISBLANK(ca_2)," ",rc_2)</f>
        <v>0</v>
      </c>
      <c r="F34" s="1884">
        <f>IF(ISBLANK(ca_1)," ",rc_1)</f>
        <v>0</v>
      </c>
      <c r="G34" s="2797">
        <f>IF(ISBLANK(ca_5)," ",rc_5)</f>
        <v>0</v>
      </c>
      <c r="H34" s="2804">
        <f>IF(ISBLANK(ca_6)," ",rc_6)</f>
        <v>0</v>
      </c>
      <c r="I34" s="1880">
        <f>IF(ISBLANK(ca_7)," ",rc_7)</f>
        <v>0</v>
      </c>
      <c r="K34" s="5126" t="s">
        <v>848</v>
      </c>
      <c r="L34" s="5127"/>
      <c r="M34" s="5129"/>
      <c r="N34" s="5128"/>
      <c r="O34" s="2787">
        <f>remb_5A+remb_5B</f>
        <v>0</v>
      </c>
      <c r="P34" s="2787">
        <f>remb_6A+remb_6B</f>
        <v>0</v>
      </c>
      <c r="Q34" s="1894">
        <f>remb_7A+remb_7B</f>
        <v>0</v>
      </c>
    </row>
    <row r="35" spans="2:17" ht="21.9" customHeight="1" x14ac:dyDescent="0.3">
      <c r="B35" s="5083" t="s">
        <v>35</v>
      </c>
      <c r="C35" s="4724"/>
      <c r="D35" s="2801">
        <f>IF(ISBLANK(ca_3)," ",r_3)</f>
        <v>0</v>
      </c>
      <c r="E35" s="2801">
        <f>IF(ISBLANK(ca_2)," ",r_2)</f>
        <v>0</v>
      </c>
      <c r="F35" s="1884">
        <f>IF(ISBLANK(ca_1)," ",r_1)</f>
        <v>0</v>
      </c>
      <c r="G35" s="2797">
        <f>IF(ISBLANK(ca_5)," ",r_5)</f>
        <v>0</v>
      </c>
      <c r="H35" s="2804">
        <f>IF(ISBLANK(ca_6)," ",r_6)</f>
        <v>0</v>
      </c>
      <c r="I35" s="1880">
        <f>IF(ISBLANK(ca_7)," ",r_7)</f>
        <v>0</v>
      </c>
      <c r="K35" s="5207" t="s">
        <v>849</v>
      </c>
      <c r="L35" s="5222"/>
      <c r="M35" s="5208"/>
      <c r="N35" s="5223"/>
      <c r="O35" s="2789">
        <f>dividende_5</f>
        <v>0</v>
      </c>
      <c r="P35" s="2789">
        <f>dividende_6</f>
        <v>0</v>
      </c>
      <c r="Q35" s="1895">
        <f>dividende_7</f>
        <v>0</v>
      </c>
    </row>
    <row r="36" spans="2:17" ht="21.9" customHeight="1" x14ac:dyDescent="0.3">
      <c r="B36" s="5142" t="s">
        <v>39</v>
      </c>
      <c r="C36" s="3751"/>
      <c r="D36" s="2802">
        <f>IF(ISBLANK(ca_3)," ",caf_3)</f>
        <v>0</v>
      </c>
      <c r="E36" s="2802">
        <f>IF(ISBLANK(ca_2)," ",caf_2)</f>
        <v>0</v>
      </c>
      <c r="F36" s="1885">
        <f>IF(ISBLANK(ca_1)," ",caf_1)</f>
        <v>0</v>
      </c>
      <c r="G36" s="2798">
        <f>IF(ISBLANK(ca_5)," ",caf_5)</f>
        <v>0</v>
      </c>
      <c r="H36" s="2805">
        <f>IF(ISBLANK(ca_6)," ",caf_6)</f>
        <v>0</v>
      </c>
      <c r="I36" s="1881">
        <f>IF(ISBLANK(ca_7)," ",caf_7)</f>
        <v>0</v>
      </c>
      <c r="K36" s="5210" t="s">
        <v>839</v>
      </c>
      <c r="L36" s="5224"/>
      <c r="M36" s="5224"/>
      <c r="N36" s="5225"/>
      <c r="O36" s="2790">
        <f>SUM(O28:O35)</f>
        <v>0</v>
      </c>
      <c r="P36" s="2790">
        <f t="shared" ref="P36:Q36" si="4">SUM(P28:P35)</f>
        <v>0</v>
      </c>
      <c r="Q36" s="1901">
        <f t="shared" si="4"/>
        <v>0</v>
      </c>
    </row>
    <row r="37" spans="2:17" ht="21.9" customHeight="1" x14ac:dyDescent="0.3">
      <c r="B37" s="5143" t="s">
        <v>827</v>
      </c>
      <c r="C37" s="5144"/>
      <c r="D37" s="5145"/>
      <c r="E37" s="5145"/>
      <c r="F37" s="5145"/>
      <c r="G37" s="5145"/>
      <c r="H37" s="5145"/>
      <c r="I37" s="4474"/>
      <c r="K37" s="4771" t="s">
        <v>840</v>
      </c>
      <c r="L37" s="4772"/>
      <c r="M37" s="4772"/>
      <c r="N37" s="5246"/>
      <c r="O37" s="1334" t="str">
        <f>IF(ISBLANK(An)," ",An)</f>
        <v xml:space="preserve"> </v>
      </c>
      <c r="P37" s="2792" t="str">
        <f>IF(ISBLANK(An)," ",An+1)</f>
        <v xml:space="preserve"> </v>
      </c>
      <c r="Q37" s="1896" t="str">
        <f>IF(ISBLANK(An)," ",An+2)</f>
        <v xml:space="preserve"> </v>
      </c>
    </row>
    <row r="38" spans="2:17" ht="21.9" customHeight="1" x14ac:dyDescent="0.3">
      <c r="B38" s="5141" t="s">
        <v>165</v>
      </c>
      <c r="C38" s="3865"/>
      <c r="D38" s="2800">
        <f>IF(OR(ISBLANK(ca_3),NE="oui")," ",dl_3)</f>
        <v>0</v>
      </c>
      <c r="E38" s="2800">
        <f>IF(OR(ISBLANK(ca_2),NE="oui")," ",dl_2)</f>
        <v>0</v>
      </c>
      <c r="F38" s="1883">
        <f>IF(OR(ISBLANK(ca_1),NE="oui")," ",dl_1)</f>
        <v>0</v>
      </c>
      <c r="G38" s="2796">
        <f ca="1">IF(ISBLANK(ca_5)," ",dl_5)</f>
        <v>0</v>
      </c>
      <c r="H38" s="2803">
        <f ca="1">IF(ISBLANK(ca_5)," ",dl_6)</f>
        <v>0</v>
      </c>
      <c r="I38" s="1879">
        <f ca="1">IF(ISBLANK(ca_5)," ",dl_6)</f>
        <v>0</v>
      </c>
      <c r="K38" s="5278" t="s">
        <v>838</v>
      </c>
      <c r="L38" s="5279"/>
      <c r="M38" s="5279"/>
      <c r="N38" s="5280"/>
      <c r="O38" s="2786">
        <f>'Plan de financement'!M27</f>
        <v>0</v>
      </c>
      <c r="P38" s="2786">
        <f>'Plan de financement'!P27</f>
        <v>0</v>
      </c>
      <c r="Q38" s="1897">
        <f>'Plan de financement'!Q27</f>
        <v>0</v>
      </c>
    </row>
    <row r="39" spans="2:17" ht="21.9" customHeight="1" x14ac:dyDescent="0.3">
      <c r="B39" s="5083" t="s">
        <v>448</v>
      </c>
      <c r="C39" s="4724"/>
      <c r="D39" s="2801">
        <f>IF(OR(ISBLANK(ca_3),NE="oui")," ",emp_3+do_3)</f>
        <v>0</v>
      </c>
      <c r="E39" s="2801">
        <f>IF(OR(ISBLANK(ca_2),NE="oui")," ",emp_2+do_2)</f>
        <v>0</v>
      </c>
      <c r="F39" s="1884">
        <f>IF(OR(ISBLANK(ca_1),NE="oui")," ",emp_1+do_1)</f>
        <v>0</v>
      </c>
      <c r="G39" s="2797">
        <f ca="1">IF(ISBLANK(ca_5)," ",emp_5)</f>
        <v>0</v>
      </c>
      <c r="H39" s="2804">
        <f ca="1">IF(ISBLANK(ca_6)," ",emp_6)</f>
        <v>0</v>
      </c>
      <c r="I39" s="1880">
        <f ca="1">IF(ISBLANK(ca_7)," ",emp_7)</f>
        <v>0</v>
      </c>
      <c r="J39" s="310"/>
      <c r="K39" s="5126" t="s">
        <v>832</v>
      </c>
      <c r="L39" s="5129"/>
      <c r="M39" s="5129"/>
      <c r="N39" s="5078"/>
      <c r="O39" s="2787">
        <f>'Plan de financement'!M28+'Plan de financement'!M29</f>
        <v>0</v>
      </c>
      <c r="P39" s="2787">
        <f>'Plan de financement'!P29</f>
        <v>0</v>
      </c>
      <c r="Q39" s="1894">
        <f>'Plan de financement'!Q29</f>
        <v>0</v>
      </c>
    </row>
    <row r="40" spans="2:17" ht="21.9" customHeight="1" x14ac:dyDescent="0.3">
      <c r="B40" s="5083" t="s">
        <v>5</v>
      </c>
      <c r="C40" s="4724"/>
      <c r="D40" s="2801">
        <f>IF(OR(ISBLANK(ca_3),NE="oui")," ",fr_3)</f>
        <v>0</v>
      </c>
      <c r="E40" s="2801">
        <f>IF(OR(ISBLANK(ca_2),NE="oui")," ",fr_2)</f>
        <v>0</v>
      </c>
      <c r="F40" s="1884">
        <f>IF(OR(ISBLANK(ca_1),NE="oui")," ",fr_1)</f>
        <v>0</v>
      </c>
      <c r="G40" s="2797">
        <f>IF(ISBLANK(ca_5)," ",fr_5)</f>
        <v>0</v>
      </c>
      <c r="H40" s="2804">
        <f>IF(ISBLANK(ca_6)," ",fr_6)</f>
        <v>0</v>
      </c>
      <c r="I40" s="1880">
        <f>IF(ISBLANK(ca_7)," ",fr_7)</f>
        <v>0</v>
      </c>
      <c r="K40" s="5207" t="s">
        <v>833</v>
      </c>
      <c r="L40" s="5208"/>
      <c r="M40" s="5208"/>
      <c r="N40" s="5209"/>
      <c r="O40" s="2789">
        <f>'Plan de financement'!M30</f>
        <v>0</v>
      </c>
      <c r="P40" s="2789">
        <f>'Plan de financement'!P30</f>
        <v>0</v>
      </c>
      <c r="Q40" s="1895">
        <f>'Plan de financement'!Q30</f>
        <v>0</v>
      </c>
    </row>
    <row r="41" spans="2:17" ht="21.9" customHeight="1" x14ac:dyDescent="0.3">
      <c r="B41" s="5083" t="s">
        <v>4</v>
      </c>
      <c r="C41" s="4724"/>
      <c r="D41" s="2801">
        <f>IF(OR(ISBLANK(ca_3),NE="oui")," ",bfr_3)</f>
        <v>0</v>
      </c>
      <c r="E41" s="2801">
        <f>IF(OR(ISBLANK(ca_2),NE="oui")," ",bfr_2)</f>
        <v>0</v>
      </c>
      <c r="F41" s="1884">
        <f>IF(OR(ISBLANK(ca_1),NE="oui")," ",bfr_1)</f>
        <v>0</v>
      </c>
      <c r="G41" s="2797">
        <f>IF(ISBLANK(ca_5)," ",bfr_5)</f>
        <v>0</v>
      </c>
      <c r="H41" s="2804">
        <f>IF(ISBLANK(ca_6)," ",bfr_6)</f>
        <v>0</v>
      </c>
      <c r="I41" s="1880">
        <f>IF(ISBLANK(ca_7)," ",bfr_7)</f>
        <v>0</v>
      </c>
      <c r="K41" s="5226" t="s">
        <v>834</v>
      </c>
      <c r="L41" s="5227"/>
      <c r="M41" s="5227"/>
      <c r="N41" s="5228"/>
      <c r="O41" s="2791">
        <f>apport_K_5</f>
        <v>0</v>
      </c>
      <c r="P41" s="2791">
        <f>apport_K_6</f>
        <v>0</v>
      </c>
      <c r="Q41" s="1903">
        <f>apport_K_7</f>
        <v>0</v>
      </c>
    </row>
    <row r="42" spans="2:17" ht="21.9" customHeight="1" x14ac:dyDescent="0.3">
      <c r="B42" s="5213" t="s">
        <v>6</v>
      </c>
      <c r="C42" s="5214"/>
      <c r="D42" s="2806">
        <f>IF(OR(ISBLANK(ca_3),NE="oui")," ",tr_3)</f>
        <v>0</v>
      </c>
      <c r="E42" s="2806">
        <f>IF(OR(ISBLANK(ca_2),NE="oui")," ",tr_2)</f>
        <v>0</v>
      </c>
      <c r="F42" s="1886">
        <f>IF(OR(ISBLANK(ca_1),NE="oui")," ",tr_1)</f>
        <v>0</v>
      </c>
      <c r="G42" s="2799" t="str">
        <f>IF(ISBLANK(ca_5)," ",tr_5)</f>
        <v xml:space="preserve"> </v>
      </c>
      <c r="H42" s="2807" t="str">
        <f>IF(ISBLANK(ca_6)," ",tr_6)</f>
        <v xml:space="preserve"> </v>
      </c>
      <c r="I42" s="1882" t="str">
        <f>IF(ISBLANK(ca_7)," ",tr_7)</f>
        <v xml:space="preserve"> </v>
      </c>
      <c r="K42" s="5077" t="s">
        <v>835</v>
      </c>
      <c r="L42" s="5078"/>
      <c r="M42" s="5078"/>
      <c r="N42" s="5078"/>
      <c r="O42" s="2787">
        <f ca="1">'Plan de financement'!M105</f>
        <v>0</v>
      </c>
      <c r="P42" s="2787">
        <f ca="1">'Plan de financement'!P105</f>
        <v>0</v>
      </c>
      <c r="Q42" s="1894">
        <f ca="1">'Plan de financement'!Q105</f>
        <v>0</v>
      </c>
    </row>
    <row r="43" spans="2:17" ht="21.9" customHeight="1" x14ac:dyDescent="0.3">
      <c r="D43" s="203"/>
      <c r="E43" s="203"/>
      <c r="F43" s="203"/>
      <c r="G43" s="203"/>
      <c r="H43" s="203"/>
      <c r="I43" s="203"/>
      <c r="K43" s="5077" t="s">
        <v>837</v>
      </c>
      <c r="L43" s="5221"/>
      <c r="M43" s="5221"/>
      <c r="N43" s="5078"/>
      <c r="O43" s="2787">
        <f ca="1">prime1</f>
        <v>0</v>
      </c>
      <c r="P43" s="2787">
        <f ca="1">prime2</f>
        <v>0</v>
      </c>
      <c r="Q43" s="1894">
        <f ca="1">prime3</f>
        <v>0</v>
      </c>
    </row>
    <row r="44" spans="2:17" ht="21.9" customHeight="1" x14ac:dyDescent="0.3">
      <c r="D44" s="203"/>
      <c r="E44" s="203"/>
      <c r="F44" s="203"/>
      <c r="G44" s="203"/>
      <c r="H44" s="203"/>
      <c r="I44" s="203"/>
      <c r="K44" s="5207" t="s">
        <v>836</v>
      </c>
      <c r="L44" s="5208"/>
      <c r="M44" s="5208"/>
      <c r="N44" s="5209"/>
      <c r="O44" s="2789">
        <f ca="1">'Plan de financement'!M106+'Plan de financement'!M107+'Plan de financement'!M108+'Plan de financement'!M109+'Plan de financement'!M110+'Plan de financement'!M111</f>
        <v>0</v>
      </c>
      <c r="P44" s="2789">
        <f ca="1">'Plan de financement'!P106+'Plan de financement'!P107+'Plan de financement'!P108+'Plan de financement'!P109+'Plan de financement'!P110+'Plan de financement'!P111</f>
        <v>0</v>
      </c>
      <c r="Q44" s="1895">
        <f ca="1">'Plan de financement'!Q106+'Plan de financement'!Q107+'Plan de financement'!Q108+'Plan de financement'!Q109+'Plan de financement'!Q110+'Plan de financement'!Q111</f>
        <v>0</v>
      </c>
    </row>
    <row r="45" spans="2:17" ht="21.9" customHeight="1" x14ac:dyDescent="0.3">
      <c r="D45" s="203"/>
      <c r="E45" s="203"/>
      <c r="F45" s="203"/>
      <c r="G45" s="203"/>
      <c r="H45" s="203"/>
      <c r="I45" s="203"/>
      <c r="K45" s="5210" t="s">
        <v>841</v>
      </c>
      <c r="L45" s="5211"/>
      <c r="M45" s="5211"/>
      <c r="N45" s="5212"/>
      <c r="O45" s="2790">
        <f ca="1">SUM(O38:O44)</f>
        <v>0</v>
      </c>
      <c r="P45" s="2790">
        <f ca="1">SUM(P38:P44)</f>
        <v>0</v>
      </c>
      <c r="Q45" s="1901">
        <f ca="1">SUM(Q38:Q44)</f>
        <v>0</v>
      </c>
    </row>
    <row r="46" spans="2:17" ht="21.9" customHeight="1" x14ac:dyDescent="0.3">
      <c r="D46" s="203"/>
      <c r="E46" s="203"/>
      <c r="F46" s="203"/>
      <c r="G46" s="203"/>
      <c r="H46" s="203"/>
      <c r="I46" s="203"/>
      <c r="K46" s="5101" t="s">
        <v>842</v>
      </c>
      <c r="L46" s="5102"/>
      <c r="M46" s="5103"/>
      <c r="N46" s="1898" t="str">
        <f>tr_0</f>
        <v xml:space="preserve"> </v>
      </c>
      <c r="O46" s="1899" t="str">
        <f>tr_5</f>
        <v xml:space="preserve"> </v>
      </c>
      <c r="P46" s="1899" t="str">
        <f>tr_6</f>
        <v xml:space="preserve"> </v>
      </c>
      <c r="Q46" s="1900" t="str">
        <f>tr_7</f>
        <v xml:space="preserve"> </v>
      </c>
    </row>
    <row r="47" spans="2:17" ht="21.9" customHeight="1" x14ac:dyDescent="0.3">
      <c r="B47" s="5134" t="str">
        <f>IF(OR($B$19="compte courant ordinaire",$B$19="compte courant bloqué",$B$19="prêt participatif"),"compte courant"," ")</f>
        <v xml:space="preserve"> </v>
      </c>
      <c r="C47" s="5134"/>
      <c r="D47" s="203"/>
      <c r="E47" s="203"/>
      <c r="F47" s="203"/>
      <c r="G47" s="203"/>
      <c r="H47" s="203"/>
      <c r="I47" s="203"/>
      <c r="K47" s="1"/>
    </row>
    <row r="48" spans="2:17" ht="21.9" customHeight="1" x14ac:dyDescent="0.3">
      <c r="B48" s="5146" t="s">
        <v>828</v>
      </c>
      <c r="C48" s="5147"/>
      <c r="D48" s="1218">
        <v>1</v>
      </c>
      <c r="E48" s="1218">
        <v>2</v>
      </c>
      <c r="F48" s="1218">
        <v>3</v>
      </c>
      <c r="G48" s="1218">
        <v>4</v>
      </c>
      <c r="H48" s="1218">
        <v>5</v>
      </c>
      <c r="I48" s="1218">
        <v>6</v>
      </c>
      <c r="J48" s="1218">
        <v>7</v>
      </c>
      <c r="K48" s="1219" t="s">
        <v>197</v>
      </c>
      <c r="M48" s="5251" t="s">
        <v>588</v>
      </c>
      <c r="N48" s="5252"/>
      <c r="O48" s="5252"/>
      <c r="P48" s="5252"/>
      <c r="Q48" s="5253"/>
    </row>
    <row r="49" spans="1:33" ht="21.9" customHeight="1" x14ac:dyDescent="0.3">
      <c r="B49" s="5148"/>
      <c r="C49" s="5149"/>
      <c r="D49" s="1220" t="s">
        <v>176</v>
      </c>
      <c r="E49" s="1220" t="s">
        <v>176</v>
      </c>
      <c r="F49" s="1220" t="s">
        <v>176</v>
      </c>
      <c r="G49" s="1220" t="s">
        <v>176</v>
      </c>
      <c r="H49" s="1220" t="s">
        <v>176</v>
      </c>
      <c r="I49" s="1220" t="s">
        <v>176</v>
      </c>
      <c r="J49" s="1220" t="s">
        <v>176</v>
      </c>
      <c r="K49" s="1221" t="s">
        <v>176</v>
      </c>
      <c r="M49" s="5254"/>
      <c r="N49" s="5255"/>
      <c r="O49" s="5255"/>
      <c r="P49" s="5255"/>
      <c r="Q49" s="5256"/>
    </row>
    <row r="50" spans="1:33" ht="21.9" customHeight="1" x14ac:dyDescent="0.3">
      <c r="B50" s="5150" t="s">
        <v>1100</v>
      </c>
      <c r="C50" s="5151"/>
      <c r="D50" s="943">
        <f>IF($F$17&lt;=D48,$D$17*$G$17," ")</f>
        <v>0</v>
      </c>
      <c r="E50" s="943">
        <f t="shared" ref="E50:J50" si="5">IF($F$17&lt;=E48,$D$17*$G$17," ")</f>
        <v>0</v>
      </c>
      <c r="F50" s="943">
        <f t="shared" si="5"/>
        <v>0</v>
      </c>
      <c r="G50" s="943">
        <f t="shared" si="5"/>
        <v>0</v>
      </c>
      <c r="H50" s="943">
        <f t="shared" si="5"/>
        <v>0</v>
      </c>
      <c r="I50" s="943">
        <f t="shared" si="5"/>
        <v>0</v>
      </c>
      <c r="J50" s="944">
        <f t="shared" si="5"/>
        <v>0</v>
      </c>
      <c r="K50" s="945">
        <f t="shared" ref="K50:K55" si="6">SUM(D50:J50)</f>
        <v>0</v>
      </c>
      <c r="M50" s="5259" t="s">
        <v>286</v>
      </c>
      <c r="N50" s="5249"/>
      <c r="O50" s="5249" t="s">
        <v>287</v>
      </c>
      <c r="P50" s="5265" t="s">
        <v>829</v>
      </c>
      <c r="Q50" s="5267" t="s">
        <v>603</v>
      </c>
    </row>
    <row r="51" spans="1:33" ht="21.9" customHeight="1" x14ac:dyDescent="0.3">
      <c r="B51" s="5111" t="s">
        <v>1101</v>
      </c>
      <c r="C51" s="5112"/>
      <c r="D51" s="941" t="str">
        <f t="shared" ref="D51:J51" si="7">IF(D48=$F$18,FV($G$18,$F$18,,$D$17*-1)," ")</f>
        <v xml:space="preserve"> </v>
      </c>
      <c r="E51" s="941" t="str">
        <f t="shared" si="7"/>
        <v xml:space="preserve"> </v>
      </c>
      <c r="F51" s="941" t="str">
        <f t="shared" si="7"/>
        <v xml:space="preserve"> </v>
      </c>
      <c r="G51" s="941" t="str">
        <f t="shared" si="7"/>
        <v xml:space="preserve"> </v>
      </c>
      <c r="H51" s="941" t="str">
        <f t="shared" si="7"/>
        <v xml:space="preserve"> </v>
      </c>
      <c r="I51" s="941" t="str">
        <f t="shared" si="7"/>
        <v xml:space="preserve"> </v>
      </c>
      <c r="J51" s="942" t="str">
        <f t="shared" si="7"/>
        <v xml:space="preserve"> </v>
      </c>
      <c r="K51" s="946">
        <f t="shared" si="6"/>
        <v>0</v>
      </c>
      <c r="M51" s="5260"/>
      <c r="N51" s="5250"/>
      <c r="O51" s="5250"/>
      <c r="P51" s="5266"/>
      <c r="Q51" s="5268"/>
    </row>
    <row r="52" spans="1:33" ht="21.9" customHeight="1" x14ac:dyDescent="0.3">
      <c r="B52" s="1222" t="s">
        <v>1102</v>
      </c>
      <c r="C52" s="1148" t="str">
        <f>IF(B19="Prêt participatif","prêt participatif","compte courant")</f>
        <v>compte courant</v>
      </c>
      <c r="D52" s="941" t="str">
        <f t="shared" ref="D52:J52" si="8">IF(OR($B$47&lt;&gt;"compte courant",D48&gt;$F$19)," ",IF(D48&gt;$E$19,-PMT(($G$19),($F$19-$E$19),$D$19),$D$19*$G$19))</f>
        <v xml:space="preserve"> </v>
      </c>
      <c r="E52" s="941" t="str">
        <f t="shared" si="8"/>
        <v xml:space="preserve"> </v>
      </c>
      <c r="F52" s="941" t="str">
        <f t="shared" si="8"/>
        <v xml:space="preserve"> </v>
      </c>
      <c r="G52" s="941" t="str">
        <f t="shared" si="8"/>
        <v xml:space="preserve"> </v>
      </c>
      <c r="H52" s="941" t="str">
        <f t="shared" si="8"/>
        <v xml:space="preserve"> </v>
      </c>
      <c r="I52" s="941" t="str">
        <f t="shared" si="8"/>
        <v xml:space="preserve"> </v>
      </c>
      <c r="J52" s="941" t="str">
        <f t="shared" si="8"/>
        <v xml:space="preserve"> </v>
      </c>
      <c r="K52" s="946">
        <f t="shared" si="6"/>
        <v>0</v>
      </c>
      <c r="M52" s="5263" t="s">
        <v>589</v>
      </c>
      <c r="N52" s="5257" t="s">
        <v>590</v>
      </c>
      <c r="O52" s="5257" t="s">
        <v>591</v>
      </c>
      <c r="P52" s="5257" t="s">
        <v>592</v>
      </c>
      <c r="Q52" s="5261" t="s">
        <v>830</v>
      </c>
    </row>
    <row r="53" spans="1:33" ht="21.9" customHeight="1" x14ac:dyDescent="0.3">
      <c r="B53" s="5111" t="s">
        <v>1103</v>
      </c>
      <c r="C53" s="5112"/>
      <c r="D53" s="941" t="str">
        <f t="shared" ref="D53:J53" si="9">IF($B$19&lt;&gt;"obligations convertibles"," ",SUMIF($U$17:$AE$17,"="&amp;D48,$U$22:$AE$22))</f>
        <v xml:space="preserve"> </v>
      </c>
      <c r="E53" s="941" t="str">
        <f t="shared" si="9"/>
        <v xml:space="preserve"> </v>
      </c>
      <c r="F53" s="941" t="str">
        <f t="shared" si="9"/>
        <v xml:space="preserve"> </v>
      </c>
      <c r="G53" s="941" t="str">
        <f t="shared" si="9"/>
        <v xml:space="preserve"> </v>
      </c>
      <c r="H53" s="941" t="str">
        <f t="shared" si="9"/>
        <v xml:space="preserve"> </v>
      </c>
      <c r="I53" s="941" t="str">
        <f t="shared" si="9"/>
        <v xml:space="preserve"> </v>
      </c>
      <c r="J53" s="941" t="str">
        <f t="shared" si="9"/>
        <v xml:space="preserve"> </v>
      </c>
      <c r="K53" s="946">
        <f t="shared" si="6"/>
        <v>0</v>
      </c>
      <c r="M53" s="5264"/>
      <c r="N53" s="5258"/>
      <c r="O53" s="5258"/>
      <c r="P53" s="5258"/>
      <c r="Q53" s="5262"/>
    </row>
    <row r="54" spans="1:33" ht="21.9" customHeight="1" x14ac:dyDescent="0.3">
      <c r="B54" s="5113" t="s">
        <v>1104</v>
      </c>
      <c r="C54" s="5114"/>
      <c r="D54" s="943" t="str">
        <f t="shared" ref="D54:J54" si="10">IF($B$19&lt;&gt;"titres participatifs"," ",SUMIF($U$17:$AE$17,"="&amp;D48,$U$22:$AE$22))</f>
        <v xml:space="preserve"> </v>
      </c>
      <c r="E54" s="943" t="str">
        <f t="shared" si="10"/>
        <v xml:space="preserve"> </v>
      </c>
      <c r="F54" s="943" t="str">
        <f t="shared" si="10"/>
        <v xml:space="preserve"> </v>
      </c>
      <c r="G54" s="943" t="str">
        <f t="shared" si="10"/>
        <v xml:space="preserve"> </v>
      </c>
      <c r="H54" s="943" t="str">
        <f t="shared" si="10"/>
        <v xml:space="preserve"> </v>
      </c>
      <c r="I54" s="943" t="str">
        <f t="shared" si="10"/>
        <v xml:space="preserve"> </v>
      </c>
      <c r="J54" s="944" t="str">
        <f t="shared" si="10"/>
        <v xml:space="preserve"> </v>
      </c>
      <c r="K54" s="945">
        <f t="shared" si="6"/>
        <v>0</v>
      </c>
      <c r="M54" s="5120"/>
      <c r="N54" s="5130"/>
      <c r="O54" s="5130"/>
      <c r="P54" s="5130"/>
      <c r="Q54" s="5247" t="str">
        <f>IF(J57=" "," ",J57)</f>
        <v xml:space="preserve"> </v>
      </c>
    </row>
    <row r="55" spans="1:33" ht="21.9" customHeight="1" x14ac:dyDescent="0.3">
      <c r="B55" s="5071" t="s">
        <v>197</v>
      </c>
      <c r="C55" s="5072"/>
      <c r="D55" s="2808">
        <f t="shared" ref="D55:J55" si="11">SUM(D50:D54)</f>
        <v>0</v>
      </c>
      <c r="E55" s="2808">
        <f t="shared" si="11"/>
        <v>0</v>
      </c>
      <c r="F55" s="2808">
        <f t="shared" si="11"/>
        <v>0</v>
      </c>
      <c r="G55" s="2808">
        <f t="shared" si="11"/>
        <v>0</v>
      </c>
      <c r="H55" s="2808">
        <f t="shared" si="11"/>
        <v>0</v>
      </c>
      <c r="I55" s="2808">
        <f t="shared" si="11"/>
        <v>0</v>
      </c>
      <c r="J55" s="2809">
        <f t="shared" si="11"/>
        <v>0</v>
      </c>
      <c r="K55" s="2810">
        <f t="shared" si="6"/>
        <v>0</v>
      </c>
      <c r="L55" s="801"/>
      <c r="M55" s="5121"/>
      <c r="N55" s="5131"/>
      <c r="O55" s="5131"/>
      <c r="P55" s="5131"/>
      <c r="Q55" s="5248"/>
    </row>
    <row r="56" spans="1:33" ht="6" customHeight="1" x14ac:dyDescent="0.3">
      <c r="A56" s="803"/>
      <c r="C56" s="855">
        <f>-D22</f>
        <v>0</v>
      </c>
      <c r="D56" s="806">
        <f>D55</f>
        <v>0</v>
      </c>
      <c r="E56" s="806">
        <f t="shared" ref="E56:J56" si="12">E55</f>
        <v>0</v>
      </c>
      <c r="F56" s="806">
        <f t="shared" si="12"/>
        <v>0</v>
      </c>
      <c r="G56" s="806">
        <f t="shared" si="12"/>
        <v>0</v>
      </c>
      <c r="H56" s="806">
        <f t="shared" si="12"/>
        <v>0</v>
      </c>
      <c r="I56" s="806">
        <f t="shared" si="12"/>
        <v>0</v>
      </c>
      <c r="J56" s="806">
        <f t="shared" si="12"/>
        <v>0</v>
      </c>
      <c r="K56" s="801"/>
    </row>
    <row r="57" spans="1:33" ht="30" customHeight="1" x14ac:dyDescent="0.3">
      <c r="B57" s="5132" t="s">
        <v>285</v>
      </c>
      <c r="C57" s="5133"/>
      <c r="D57" s="947" t="str">
        <f>IF(ISERROR(IRR(C56:J56))," ",IRR(C56:J56))</f>
        <v xml:space="preserve"> </v>
      </c>
      <c r="E57" s="5152" t="s">
        <v>288</v>
      </c>
      <c r="F57" s="5153"/>
      <c r="G57" s="802" t="str">
        <f>IF(ISERROR(K51/D17)," ",K51/D17)</f>
        <v xml:space="preserve"> </v>
      </c>
      <c r="H57" s="5154" t="s">
        <v>289</v>
      </c>
      <c r="I57" s="5155"/>
      <c r="J57" s="829" t="str">
        <f>IF(TRI=" "," ",IF(TRI&lt;0,0,IF(TRI&lt;=4%,"*",IF(TRI&lt;=11%,"**",IF(TRI&gt;11%,"***")))))</f>
        <v xml:space="preserve"> </v>
      </c>
      <c r="K57" s="1"/>
      <c r="Z57" s="635"/>
      <c r="AA57" s="635"/>
      <c r="AB57" s="635"/>
      <c r="AC57" s="635"/>
      <c r="AD57" s="635"/>
      <c r="AE57" s="635"/>
      <c r="AF57" s="635"/>
      <c r="AG57" s="635"/>
    </row>
    <row r="58" spans="1:33" x14ac:dyDescent="0.3">
      <c r="K58" s="1"/>
      <c r="L58" s="2"/>
      <c r="R58" s="635"/>
      <c r="S58" s="635"/>
      <c r="T58" s="635"/>
      <c r="U58" s="635"/>
      <c r="V58" s="635"/>
      <c r="W58" s="635"/>
      <c r="X58" s="635"/>
      <c r="Y58" s="635"/>
    </row>
  </sheetData>
  <sheetProtection algorithmName="SHA-512" hashValue="OgkeKtJgc3p3k4yMSJqZ5vbJLA7pVv6yZtnyNMgU70kr+r9Ny134EolB2CHxFARZYcPNfP5Ffdchop/vN7L+Vg==" saltValue="EnG6gfNbTS4orKluIgwcew==" spinCount="100000" sheet="1" objects="1" scenarios="1" formatCells="0" formatColumns="0" formatRows="0" insertColumns="0" insertRows="0" insertHyperlinks="0" deleteColumns="0" deleteRows="0" sort="0" autoFilter="0" pivotTables="0"/>
  <mergeCells count="118">
    <mergeCell ref="P26:P27"/>
    <mergeCell ref="K11:L11"/>
    <mergeCell ref="K37:N37"/>
    <mergeCell ref="O54:O55"/>
    <mergeCell ref="P54:P55"/>
    <mergeCell ref="Q54:Q55"/>
    <mergeCell ref="O50:O51"/>
    <mergeCell ref="M48:Q49"/>
    <mergeCell ref="O52:O53"/>
    <mergeCell ref="N52:N53"/>
    <mergeCell ref="M50:N51"/>
    <mergeCell ref="P52:P53"/>
    <mergeCell ref="Q52:Q53"/>
    <mergeCell ref="M52:M53"/>
    <mergeCell ref="P50:P51"/>
    <mergeCell ref="Q50:Q51"/>
    <mergeCell ref="P17:P18"/>
    <mergeCell ref="O19:O20"/>
    <mergeCell ref="P19:P20"/>
    <mergeCell ref="O17:O18"/>
    <mergeCell ref="M17:M18"/>
    <mergeCell ref="N17:N18"/>
    <mergeCell ref="O26:O27"/>
    <mergeCell ref="K38:N38"/>
    <mergeCell ref="K39:N39"/>
    <mergeCell ref="D17:D18"/>
    <mergeCell ref="D26:F26"/>
    <mergeCell ref="K44:N44"/>
    <mergeCell ref="K45:N45"/>
    <mergeCell ref="B42:C42"/>
    <mergeCell ref="D6:D7"/>
    <mergeCell ref="F6:G6"/>
    <mergeCell ref="N6:N7"/>
    <mergeCell ref="K43:N43"/>
    <mergeCell ref="K35:N35"/>
    <mergeCell ref="K36:N36"/>
    <mergeCell ref="K40:N40"/>
    <mergeCell ref="K41:N41"/>
    <mergeCell ref="K34:N34"/>
    <mergeCell ref="B10:C11"/>
    <mergeCell ref="B15:C16"/>
    <mergeCell ref="B17:C17"/>
    <mergeCell ref="B18:C18"/>
    <mergeCell ref="B19:C19"/>
    <mergeCell ref="B20:C20"/>
    <mergeCell ref="G15:G16"/>
    <mergeCell ref="Q19:R20"/>
    <mergeCell ref="P6:P7"/>
    <mergeCell ref="O6:O7"/>
    <mergeCell ref="M6:M7"/>
    <mergeCell ref="Q17:R18"/>
    <mergeCell ref="H6:H7"/>
    <mergeCell ref="Q16:R16"/>
    <mergeCell ref="B30:I30"/>
    <mergeCell ref="E15:F15"/>
    <mergeCell ref="G26:I26"/>
    <mergeCell ref="I6:L6"/>
    <mergeCell ref="J7:L7"/>
    <mergeCell ref="K8:L8"/>
    <mergeCell ref="K9:L9"/>
    <mergeCell ref="K10:L10"/>
    <mergeCell ref="E19:E20"/>
    <mergeCell ref="G22:H22"/>
    <mergeCell ref="E22:F22"/>
    <mergeCell ref="M19:M20"/>
    <mergeCell ref="F19:F20"/>
    <mergeCell ref="K26:N27"/>
    <mergeCell ref="H19:L20"/>
    <mergeCell ref="N19:N20"/>
    <mergeCell ref="B8:C9"/>
    <mergeCell ref="M54:M55"/>
    <mergeCell ref="K28:N28"/>
    <mergeCell ref="K29:N29"/>
    <mergeCell ref="K30:N30"/>
    <mergeCell ref="K31:N31"/>
    <mergeCell ref="K32:N32"/>
    <mergeCell ref="K33:N33"/>
    <mergeCell ref="N54:N55"/>
    <mergeCell ref="B57:C57"/>
    <mergeCell ref="B47:C47"/>
    <mergeCell ref="B26:C28"/>
    <mergeCell ref="B29:C29"/>
    <mergeCell ref="B31:C31"/>
    <mergeCell ref="B32:C32"/>
    <mergeCell ref="B33:C33"/>
    <mergeCell ref="B34:C34"/>
    <mergeCell ref="B35:C35"/>
    <mergeCell ref="B36:C36"/>
    <mergeCell ref="B38:C38"/>
    <mergeCell ref="B37:I37"/>
    <mergeCell ref="B48:C49"/>
    <mergeCell ref="B50:C50"/>
    <mergeCell ref="E57:F57"/>
    <mergeCell ref="H57:I57"/>
    <mergeCell ref="Q26:Q27"/>
    <mergeCell ref="B55:C55"/>
    <mergeCell ref="J4:N4"/>
    <mergeCell ref="B2:R2"/>
    <mergeCell ref="K42:N42"/>
    <mergeCell ref="B6:C7"/>
    <mergeCell ref="B39:C39"/>
    <mergeCell ref="B40:C40"/>
    <mergeCell ref="B41:C41"/>
    <mergeCell ref="B24:D24"/>
    <mergeCell ref="E24:G24"/>
    <mergeCell ref="I24:M24"/>
    <mergeCell ref="O24:P24"/>
    <mergeCell ref="E6:E7"/>
    <mergeCell ref="I10:J11"/>
    <mergeCell ref="Q6:Q7"/>
    <mergeCell ref="K46:M46"/>
    <mergeCell ref="M15:R15"/>
    <mergeCell ref="H15:L16"/>
    <mergeCell ref="B51:C51"/>
    <mergeCell ref="B53:C53"/>
    <mergeCell ref="B54:C54"/>
    <mergeCell ref="H17:L18"/>
    <mergeCell ref="D19:D20"/>
  </mergeCells>
  <phoneticPr fontId="13" type="noConversion"/>
  <conditionalFormatting sqref="N17:N19">
    <cfRule type="cellIs" dxfId="250" priority="259" stopIfTrue="1" operator="equal">
      <formula>"non"</formula>
    </cfRule>
  </conditionalFormatting>
  <conditionalFormatting sqref="M17:M19">
    <cfRule type="cellIs" dxfId="249" priority="260" stopIfTrue="1" operator="equal">
      <formula>"néant"</formula>
    </cfRule>
  </conditionalFormatting>
  <conditionalFormatting sqref="O8:O9 Q8:Q11 D17:D18">
    <cfRule type="cellIs" dxfId="248" priority="254" stopIfTrue="1" operator="equal">
      <formula>0</formula>
    </cfRule>
  </conditionalFormatting>
  <conditionalFormatting sqref="P8:P9">
    <cfRule type="cellIs" dxfId="247" priority="251" stopIfTrue="1" operator="lessThan">
      <formula>0</formula>
    </cfRule>
  </conditionalFormatting>
  <conditionalFormatting sqref="D32:I36">
    <cfRule type="cellIs" dxfId="246" priority="247" stopIfTrue="1" operator="lessThan">
      <formula>0</formula>
    </cfRule>
  </conditionalFormatting>
  <conditionalFormatting sqref="D38:I38">
    <cfRule type="cellIs" dxfId="245" priority="246" stopIfTrue="1" operator="lessThan">
      <formula>0</formula>
    </cfRule>
  </conditionalFormatting>
  <conditionalFormatting sqref="G20">
    <cfRule type="cellIs" dxfId="244" priority="242" operator="equal">
      <formula>0</formula>
    </cfRule>
  </conditionalFormatting>
  <conditionalFormatting sqref="F18">
    <cfRule type="cellIs" dxfId="243" priority="241" operator="equal">
      <formula>0</formula>
    </cfRule>
  </conditionalFormatting>
  <conditionalFormatting sqref="G18">
    <cfRule type="cellIs" dxfId="242" priority="240" operator="equal">
      <formula>0</formula>
    </cfRule>
  </conditionalFormatting>
  <conditionalFormatting sqref="D19:F20">
    <cfRule type="cellIs" dxfId="241" priority="239" operator="equal">
      <formula>0</formula>
    </cfRule>
  </conditionalFormatting>
  <conditionalFormatting sqref="G17">
    <cfRule type="cellIs" dxfId="240" priority="236" operator="equal">
      <formula>0</formula>
    </cfRule>
  </conditionalFormatting>
  <conditionalFormatting sqref="F17">
    <cfRule type="cellIs" dxfId="239" priority="235" operator="equal">
      <formula>0</formula>
    </cfRule>
  </conditionalFormatting>
  <conditionalFormatting sqref="D50:J50">
    <cfRule type="cellIs" dxfId="238" priority="234" operator="equal">
      <formula>0</formula>
    </cfRule>
  </conditionalFormatting>
  <conditionalFormatting sqref="K10:L11">
    <cfRule type="cellIs" dxfId="237" priority="233" operator="equal">
      <formula>"Non"</formula>
    </cfRule>
  </conditionalFormatting>
  <dataValidations count="9">
    <dataValidation type="list" allowBlank="1" showInputMessage="1" showErrorMessage="1" sqref="J12:L12" xr:uid="{00000000-0002-0000-0F00-000000000000}">
      <formula1>"oui, non"</formula1>
    </dataValidation>
    <dataValidation type="list" allowBlank="1" showInputMessage="1" showErrorMessage="1" sqref="B10" xr:uid="{00000000-0002-0000-0F00-000001000000}">
      <formula1>"Compte courant,Obligations convertibles,Titres participatifs"</formula1>
    </dataValidation>
    <dataValidation type="list" allowBlank="1" showInputMessage="1" showErrorMessage="1" sqref="K10:K11" xr:uid="{00000000-0002-0000-0F00-000002000000}">
      <formula1>"Non,Oui"</formula1>
    </dataValidation>
    <dataValidation allowBlank="1" showInputMessage="1" showErrorMessage="1" prompt="Capital + intérêts" sqref="D52:J54" xr:uid="{00000000-0002-0000-0F00-000003000000}"/>
    <dataValidation type="list" allowBlank="1" showInputMessage="1" showErrorMessage="1" sqref="M17:M20" xr:uid="{00000000-0002-0000-0F00-000004000000}">
      <formula1>"BPI,caution,néant"</formula1>
    </dataValidation>
    <dataValidation type="list" allowBlank="1" showInputMessage="1" showErrorMessage="1" sqref="N17:N20" xr:uid="{00000000-0002-0000-0F00-000005000000}">
      <formula1>"oui, non, en cours"</formula1>
    </dataValidation>
    <dataValidation allowBlank="1" showInputMessage="1" showErrorMessage="1" prompt="1ère année de versement" sqref="F17" xr:uid="{00000000-0002-0000-0F00-000006000000}"/>
    <dataValidation allowBlank="1" showInputMessage="1" showErrorMessage="1" prompt="Année de cession" sqref="F18" xr:uid="{00000000-0002-0000-0F00-000007000000}"/>
    <dataValidation allowBlank="1" showInputMessage="1" showErrorMessage="1" prompt="OC : taux de prime de non conversion_x000a_TP : taux de revalorisation du capital" sqref="G20" xr:uid="{00000000-0002-0000-0F00-000008000000}"/>
  </dataValidations>
  <printOptions horizontalCentered="1" verticalCentered="1"/>
  <pageMargins left="0" right="0" top="0" bottom="0" header="0" footer="0"/>
  <pageSetup paperSize="9" scale="5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 id="{98BC6C5B-C82C-4FA1-87CD-744C10D1C1EC}">
            <xm:f>Accueil!$C$5="transmission d'entreprise"</xm:f>
            <x14:dxf>
              <fill>
                <patternFill>
                  <bgColor theme="0" tint="-4.9989318521683403E-2"/>
                </patternFill>
              </fill>
              <border>
                <left style="thin">
                  <color rgb="FF000080"/>
                </left>
                <right style="thin">
                  <color rgb="FF000080"/>
                </right>
                <top style="thin">
                  <color rgb="FF000080"/>
                </top>
                <bottom style="thin">
                  <color rgb="FF000080"/>
                </bottom>
                <vertical/>
                <horizontal/>
              </border>
            </x14:dxf>
          </x14:cfRule>
          <xm:sqref>N24</xm:sqref>
        </x14:conditionalFormatting>
        <x14:conditionalFormatting xmlns:xm="http://schemas.microsoft.com/office/excel/2006/main">
          <x14:cfRule type="expression" priority="2" id="{590C748C-C147-4ECD-AD52-2DE684845467}">
            <xm:f>Accueil!$C$5="transmission d'entreprise"</xm:f>
            <x14:dxf>
              <fill>
                <patternFill>
                  <bgColor theme="0" tint="-4.9989318521683403E-2"/>
                </patternFill>
              </fill>
              <border>
                <left style="thin">
                  <color rgb="FF000080"/>
                </left>
                <right style="thin">
                  <color rgb="FF000080"/>
                </right>
                <top style="thin">
                  <color rgb="FF000080"/>
                </top>
                <bottom style="thin">
                  <color rgb="FF000080"/>
                </bottom>
                <vertical/>
                <horizontal/>
              </border>
            </x14:dxf>
          </x14:cfRule>
          <xm:sqref>Q24</xm:sqref>
        </x14:conditionalFormatting>
        <x14:conditionalFormatting xmlns:xm="http://schemas.microsoft.com/office/excel/2006/main">
          <x14:cfRule type="expression" priority="1" id="{7E7987DA-D34A-4A52-9538-5AF6EE306BC4}">
            <xm:f>'Rachat ou reprise'!$F$114="oui"</xm:f>
            <x14:dxf>
              <fill>
                <patternFill>
                  <bgColor theme="0" tint="-4.9989318521683403E-2"/>
                </patternFill>
              </fill>
            </x14:dxf>
          </x14:cfRule>
          <xm:sqref>D38:F42</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499984740745262"/>
    <pageSetUpPr fitToPage="1"/>
  </sheetPr>
  <dimension ref="A1:AE51"/>
  <sheetViews>
    <sheetView showGridLines="0" showRowColHeaders="0" workbookViewId="0">
      <pane ySplit="3" topLeftCell="A37" activePane="bottomLeft" state="frozenSplit"/>
      <selection pane="bottomLeft" activeCell="B2" sqref="B2:H2"/>
    </sheetView>
  </sheetViews>
  <sheetFormatPr baseColWidth="10" defaultColWidth="12" defaultRowHeight="13.2" x14ac:dyDescent="0.25"/>
  <cols>
    <col min="1" max="1" width="1.77734375" style="1305" customWidth="1"/>
    <col min="2" max="2" width="46.6640625" style="1226" customWidth="1"/>
    <col min="3" max="9" width="13.77734375" style="1226" customWidth="1"/>
    <col min="10" max="10" width="3.77734375" style="1226" customWidth="1"/>
    <col min="11" max="11" width="10.77734375" style="1226" customWidth="1"/>
    <col min="12" max="12" width="13.77734375" style="1226" customWidth="1"/>
    <col min="13" max="16384" width="12" style="1226"/>
  </cols>
  <sheetData>
    <row r="1" spans="1:18" ht="6" customHeight="1" x14ac:dyDescent="0.25"/>
    <row r="2" spans="1:18" s="1152" customFormat="1" ht="21.9" customHeight="1" x14ac:dyDescent="0.25">
      <c r="A2" s="1288"/>
      <c r="B2" s="4439" t="s">
        <v>1063</v>
      </c>
      <c r="C2" s="4440"/>
      <c r="D2" s="4440"/>
      <c r="E2" s="4440"/>
      <c r="F2" s="4440"/>
      <c r="G2" s="4440"/>
      <c r="H2" s="4440"/>
      <c r="I2" s="5287" t="s">
        <v>1064</v>
      </c>
      <c r="J2" s="5288"/>
      <c r="K2" s="5289"/>
      <c r="L2" s="2409"/>
      <c r="M2" s="5290" t="str">
        <f>IF(ISERROR(IF(AND(ISBLANK(participants),J9&gt;0),"Renseigner le nombre de participants"," "))," ",IF(AND(ISBLANK(participants),J9&gt;0)," Renseigner le nombre de participants"," "))</f>
        <v xml:space="preserve"> </v>
      </c>
      <c r="N2" s="5290"/>
      <c r="O2" s="5290"/>
      <c r="P2" s="5290"/>
    </row>
    <row r="3" spans="1:18" s="1152" customFormat="1" ht="15" customHeight="1" x14ac:dyDescent="0.25">
      <c r="A3" s="1288"/>
      <c r="I3" s="1153"/>
    </row>
    <row r="4" spans="1:18" s="1160" customFormat="1" ht="30" customHeight="1" x14ac:dyDescent="0.25">
      <c r="A4" s="1289"/>
      <c r="B4" s="5291" t="s">
        <v>1065</v>
      </c>
      <c r="C4" s="5292"/>
      <c r="D4" s="5293"/>
      <c r="E4" s="1154" t="s">
        <v>1066</v>
      </c>
      <c r="F4" s="1155" t="s">
        <v>1067</v>
      </c>
      <c r="G4" s="1156" t="s">
        <v>1068</v>
      </c>
      <c r="H4" s="1157" t="s">
        <v>1069</v>
      </c>
      <c r="I4" s="1158" t="s">
        <v>1070</v>
      </c>
      <c r="J4" s="5294" t="s">
        <v>1071</v>
      </c>
      <c r="K4" s="5295"/>
      <c r="L4" s="1290" t="s">
        <v>1072</v>
      </c>
      <c r="M4" s="1159"/>
    </row>
    <row r="5" spans="1:18" s="1160" customFormat="1" ht="24.9" customHeight="1" x14ac:dyDescent="0.25">
      <c r="A5" s="1291"/>
      <c r="B5" s="5281" t="s">
        <v>1073</v>
      </c>
      <c r="C5" s="5282"/>
      <c r="D5" s="5283"/>
      <c r="E5" s="1161"/>
      <c r="F5" s="1162"/>
      <c r="G5" s="1163"/>
      <c r="H5" s="1163"/>
      <c r="I5" s="1164"/>
      <c r="J5" s="5284">
        <f>IF(ISERROR((((1*F5)+(2*G5)+(3*H5))/(F5+G5+H5))*I5),0,(((1*F5)+(2*G5)+(3*H5))/(F5+G5+H5))*I5)</f>
        <v>0</v>
      </c>
      <c r="K5" s="5285"/>
      <c r="L5" s="1292" t="str">
        <f>IF(J5&lt;1," ",IF(J5&lt;(1.5*I5),"Faible",IF(J5&lt;(2.5*I5),"Moyen","Fort")))</f>
        <v xml:space="preserve"> </v>
      </c>
      <c r="M5" s="5286" t="str">
        <f>IF(E5="N/A","critère non retenu ",IF(AND(SUM(F5:H5)&gt;0,I5=0),"Coefficient non renseigné",IF(SUM(F5:H5)&lt;participants,"votants &lt; participants",IF(SUM(F5:H5)&gt;participants,"Erreur : votants &gt; participants"," "))))</f>
        <v xml:space="preserve"> </v>
      </c>
      <c r="N5" s="3363"/>
      <c r="O5" s="3363"/>
      <c r="P5" s="252"/>
      <c r="Q5" s="252"/>
      <c r="R5" s="252"/>
    </row>
    <row r="6" spans="1:18" s="1160" customFormat="1" ht="24.9" customHeight="1" x14ac:dyDescent="0.25">
      <c r="A6" s="1291"/>
      <c r="B6" s="5296" t="s">
        <v>1074</v>
      </c>
      <c r="C6" s="5297"/>
      <c r="D6" s="5298"/>
      <c r="E6" s="1166"/>
      <c r="F6" s="1167"/>
      <c r="G6" s="1168"/>
      <c r="H6" s="1168"/>
      <c r="I6" s="1169"/>
      <c r="J6" s="5299">
        <f>IF(ISERROR((((1*F6)+(2*G6)+(3*H6))/(F6+G6+H6))*I6),0,(((1*F6)+(2*G6)+(3*H6))/(F6+G6+H6))*I6)</f>
        <v>0</v>
      </c>
      <c r="K6" s="5300"/>
      <c r="L6" s="1293" t="str">
        <f>IF(J6&lt;1," ",IF(J6&lt;(1.5*I6),"Faible",IF(J6&lt;(2.5*I6),"Moyen","Fort")))</f>
        <v xml:space="preserve"> </v>
      </c>
      <c r="M6" s="5286" t="str">
        <f>IF(AND(SUM(F6:H6)&gt;0,I6=0),"Coefficient non renseigné",IF(SUM(F6:H6)&lt;participants,"votants &lt; participants",IF(SUM(F6:H6)&gt;participants,"Erreur : votants &gt; participants"," ")))</f>
        <v xml:space="preserve"> </v>
      </c>
      <c r="N6" s="3363"/>
      <c r="O6" s="3363"/>
      <c r="P6" s="252"/>
      <c r="Q6" s="252"/>
      <c r="R6" s="252"/>
    </row>
    <row r="7" spans="1:18" s="1160" customFormat="1" ht="30" customHeight="1" x14ac:dyDescent="0.25">
      <c r="A7" s="1291"/>
      <c r="B7" s="5301" t="s">
        <v>1075</v>
      </c>
      <c r="C7" s="5302"/>
      <c r="D7" s="5303"/>
      <c r="E7" s="1171"/>
      <c r="F7" s="1172"/>
      <c r="G7" s="1173"/>
      <c r="H7" s="1173"/>
      <c r="I7" s="1174"/>
      <c r="J7" s="5304">
        <f>IF(ISERROR((((1*F7)+(2*G7)+(3*H7))/(F7+G7+H7))*I7),0,(((1*F7)+(2*G7)+(3*H7))/(F7+G7+H7))*I7)</f>
        <v>0</v>
      </c>
      <c r="K7" s="5305"/>
      <c r="L7" s="1294" t="str">
        <f>IF(J7&lt;1," ",IF(J7&lt;(1.5*I7),"Faible",IF(J7&lt;(2.5*I7),"Moyen","Fort")))</f>
        <v xml:space="preserve"> </v>
      </c>
      <c r="M7" s="5286" t="str">
        <f>IF(AND(SUM(F7:H7)&gt;0,I7=0),"Coefficient non renseigné",IF(SUM(F7:H7)&lt;participants,"votants &lt; participants",IF(SUM(F7:H7)&gt;participants,"Erreur : votants &gt; participants"," ")))</f>
        <v xml:space="preserve"> </v>
      </c>
      <c r="N7" s="3363"/>
      <c r="O7" s="3363"/>
      <c r="P7" s="252"/>
    </row>
    <row r="8" spans="1:18" s="1152" customFormat="1" ht="3" customHeight="1" x14ac:dyDescent="0.25">
      <c r="A8" s="1288"/>
      <c r="F8" s="1175"/>
      <c r="I8" s="1153"/>
      <c r="J8" s="1176"/>
      <c r="K8" s="1153"/>
      <c r="L8" s="1177"/>
      <c r="M8" s="1178"/>
    </row>
    <row r="9" spans="1:18" s="1152" customFormat="1" ht="24.9" customHeight="1" x14ac:dyDescent="0.25">
      <c r="A9" s="1291"/>
      <c r="F9" s="5306" t="s">
        <v>1076</v>
      </c>
      <c r="G9" s="5306"/>
      <c r="H9" s="5306"/>
      <c r="I9" s="5307"/>
      <c r="J9" s="5308" t="e">
        <f>ROUND(SUM(J5:J7)/SUM(I5:I7),1)</f>
        <v>#DIV/0!</v>
      </c>
      <c r="K9" s="5309"/>
      <c r="L9" s="1295" t="e">
        <f>IF(J9=0," ",IF(J9&lt;1.5,"Faible",IF(J9&lt;2.5,"Moyen",IF(J9&gt;=2.5,"Fort"))))</f>
        <v>#DIV/0!</v>
      </c>
      <c r="M9" s="1179"/>
    </row>
    <row r="10" spans="1:18" s="1152" customFormat="1" ht="15" customHeight="1" x14ac:dyDescent="0.25">
      <c r="A10" s="1288"/>
      <c r="G10" s="1175"/>
      <c r="H10" s="1180"/>
      <c r="J10" s="1181"/>
      <c r="K10" s="1181"/>
      <c r="L10" s="1181"/>
      <c r="M10" s="1180"/>
      <c r="N10" s="1182"/>
    </row>
    <row r="11" spans="1:18" s="1183" customFormat="1" ht="30" customHeight="1" x14ac:dyDescent="0.25">
      <c r="A11" s="1296"/>
      <c r="B11" s="5291" t="s">
        <v>1077</v>
      </c>
      <c r="C11" s="5292"/>
      <c r="D11" s="5293"/>
      <c r="E11" s="1154" t="s">
        <v>1066</v>
      </c>
      <c r="F11" s="1155" t="s">
        <v>1067</v>
      </c>
      <c r="G11" s="1156" t="s">
        <v>1068</v>
      </c>
      <c r="H11" s="1157" t="s">
        <v>1069</v>
      </c>
      <c r="I11" s="1158" t="s">
        <v>1070</v>
      </c>
      <c r="J11" s="5294" t="s">
        <v>1071</v>
      </c>
      <c r="K11" s="5295"/>
      <c r="L11" s="1290" t="s">
        <v>1072</v>
      </c>
    </row>
    <row r="12" spans="1:18" s="1183" customFormat="1" ht="24.9" customHeight="1" x14ac:dyDescent="0.25">
      <c r="A12" s="1291"/>
      <c r="B12" s="5310" t="s">
        <v>1078</v>
      </c>
      <c r="C12" s="5311"/>
      <c r="D12" s="5312"/>
      <c r="E12" s="1161"/>
      <c r="F12" s="1162"/>
      <c r="G12" s="1163"/>
      <c r="H12" s="1163"/>
      <c r="I12" s="1164"/>
      <c r="J12" s="5284">
        <f>IF(ISERROR((((1*F12)+(2*G12)+(3*H12))/(F12+G12+H12))*I12),0,(((1*F12)+(2*G12)+(3*H12))/(F12+G12+H12))*I12)</f>
        <v>0</v>
      </c>
      <c r="K12" s="5285"/>
      <c r="L12" s="1292" t="str">
        <f>IF(J12&lt;1," ",IF(J12&lt;(1.5*I12),"Faible",IF(J12&lt;(2.5*I12),"Moyen","Fort")))</f>
        <v xml:space="preserve"> </v>
      </c>
      <c r="M12" s="5286" t="str">
        <f>IF(E12="N/A","critère non retenu ",IF(AND(SUM(F12:H12)&gt;0,I12=0),"Coefficient non renseigné",IF(SUM(F12:H12)&lt;participants,"votants &lt; participants",IF(SUM(F12:H12)&gt;participants,"Erreur : votants &gt; participants"," "))))</f>
        <v xml:space="preserve"> </v>
      </c>
      <c r="N12" s="3363"/>
      <c r="O12" s="3363"/>
    </row>
    <row r="13" spans="1:18" s="1183" customFormat="1" ht="24.9" customHeight="1" x14ac:dyDescent="0.25">
      <c r="A13" s="1291"/>
      <c r="B13" s="5296" t="s">
        <v>1079</v>
      </c>
      <c r="C13" s="5297"/>
      <c r="D13" s="5112"/>
      <c r="E13" s="1166"/>
      <c r="F13" s="1167"/>
      <c r="G13" s="1168"/>
      <c r="H13" s="1168"/>
      <c r="I13" s="1169"/>
      <c r="J13" s="5299">
        <f>IF(ISERROR((((1*F13)+(2*G13)+(3*H13))/(F13+G13+H13))*I13),0,(((1*F13)+(2*G13)+(3*H13))/(F13+G13+H13))*I13)</f>
        <v>0</v>
      </c>
      <c r="K13" s="5300"/>
      <c r="L13" s="1293" t="str">
        <f>IF(J13&lt;1," ",IF(J13&lt;(1.5*I13),"Faible",IF(J13&lt;(2.5*I13),"Moyen","Fort")))</f>
        <v xml:space="preserve"> </v>
      </c>
      <c r="M13" s="5286" t="str">
        <f>IF(AND(SUM(F13:H13)&gt;0,I13=0),"Coefficient non renseigné",IF(SUM(F13:H13)&lt;participants,"votants &lt; participants",IF(SUM(F13:H13)&gt;participants,"Erreur : votants &gt; participants"," ")))</f>
        <v xml:space="preserve"> </v>
      </c>
      <c r="N13" s="3363"/>
      <c r="O13" s="3363"/>
    </row>
    <row r="14" spans="1:18" s="1183" customFormat="1" ht="30" customHeight="1" x14ac:dyDescent="0.25">
      <c r="A14" s="1291"/>
      <c r="B14" s="5313" t="s">
        <v>1080</v>
      </c>
      <c r="C14" s="5314"/>
      <c r="D14" s="5315"/>
      <c r="E14" s="1171"/>
      <c r="F14" s="1172"/>
      <c r="G14" s="1173"/>
      <c r="H14" s="1173"/>
      <c r="I14" s="1174"/>
      <c r="J14" s="5304">
        <f>IF(ISERROR((((1*F14)+(2*G14)+(3*H14))/(F14+G14+H14))*I14),0,(((1*F14)+(2*G14)+(3*H14))/(F14+G14+H14))*I14)</f>
        <v>0</v>
      </c>
      <c r="K14" s="5305"/>
      <c r="L14" s="1294" t="str">
        <f>IF(J14&lt;1," ",IF(J14&lt;(1.5*I14),"Faible",IF(J14&lt;(2.5*I14),"Moyen","Fort")))</f>
        <v xml:space="preserve"> </v>
      </c>
      <c r="M14" s="5286" t="str">
        <f>IF(AND(SUM(F14:H14)&gt;0,I14=0),"Coefficient non renseigné",IF(SUM(F14:H14)&lt;participants,"votants &lt; participants",IF(SUM(F14:H14)&gt;participants,"Erreur : votants &gt; participants"," ")))</f>
        <v xml:space="preserve"> </v>
      </c>
      <c r="N14" s="3363"/>
      <c r="O14" s="3363"/>
    </row>
    <row r="15" spans="1:18" s="1152" customFormat="1" ht="3" customHeight="1" x14ac:dyDescent="0.25">
      <c r="A15" s="1288"/>
      <c r="F15" s="1175"/>
      <c r="I15" s="1153"/>
      <c r="J15" s="1176"/>
      <c r="K15" s="1153"/>
      <c r="L15" s="1180"/>
    </row>
    <row r="16" spans="1:18" s="1152" customFormat="1" ht="24.9" customHeight="1" x14ac:dyDescent="0.25">
      <c r="A16" s="1291"/>
      <c r="F16" s="5306" t="s">
        <v>1081</v>
      </c>
      <c r="G16" s="5306"/>
      <c r="H16" s="5306"/>
      <c r="I16" s="5307"/>
      <c r="J16" s="5308" t="e">
        <f>ROUND(SUM(J12:J14)/SUM(I12:I14),1)</f>
        <v>#DIV/0!</v>
      </c>
      <c r="K16" s="5309"/>
      <c r="L16" s="1295" t="e">
        <f>IF(J16=0," ",IF(J16&lt;1.5,"Faible",IF(J16&lt;2.5,"Moyen",IF(J16&gt;=2.5,"Fort"))))</f>
        <v>#DIV/0!</v>
      </c>
    </row>
    <row r="17" spans="1:15" s="1152" customFormat="1" ht="15" customHeight="1" x14ac:dyDescent="0.25">
      <c r="A17" s="1288"/>
      <c r="F17" s="1175"/>
      <c r="G17" s="1180"/>
      <c r="H17" s="1180"/>
      <c r="I17" s="1181"/>
      <c r="J17" s="1181"/>
      <c r="K17" s="1181"/>
      <c r="L17" s="1180"/>
    </row>
    <row r="18" spans="1:15" s="1183" customFormat="1" ht="30" customHeight="1" x14ac:dyDescent="0.25">
      <c r="A18" s="1296"/>
      <c r="B18" s="5291" t="s">
        <v>1082</v>
      </c>
      <c r="C18" s="5292"/>
      <c r="D18" s="5293"/>
      <c r="E18" s="1154" t="s">
        <v>1066</v>
      </c>
      <c r="F18" s="1155" t="s">
        <v>1067</v>
      </c>
      <c r="G18" s="1156" t="s">
        <v>1068</v>
      </c>
      <c r="H18" s="1157" t="s">
        <v>1069</v>
      </c>
      <c r="I18" s="1158" t="s">
        <v>1070</v>
      </c>
      <c r="J18" s="5294" t="s">
        <v>1071</v>
      </c>
      <c r="K18" s="5295"/>
      <c r="L18" s="1290" t="s">
        <v>1072</v>
      </c>
    </row>
    <row r="19" spans="1:15" s="1183" customFormat="1" ht="24.9" customHeight="1" x14ac:dyDescent="0.25">
      <c r="A19" s="1291"/>
      <c r="B19" s="5316" t="s">
        <v>1083</v>
      </c>
      <c r="C19" s="5317"/>
      <c r="D19" s="5318"/>
      <c r="E19" s="1161"/>
      <c r="F19" s="1162"/>
      <c r="G19" s="1163"/>
      <c r="H19" s="1163"/>
      <c r="I19" s="1164"/>
      <c r="J19" s="5284">
        <f>IF(ISERROR((((1*F19)+(2*G19)+(3*H19))/(F19+G19+H19))*I19),0,(((1*F19)+(2*G19)+(3*H19))/(F19+G19+H19))*I19)</f>
        <v>0</v>
      </c>
      <c r="K19" s="5285"/>
      <c r="L19" s="1292" t="str">
        <f>IF(J19&lt;1," ",IF(J19&lt;(1.5*I19),"Faible",IF(J19&lt;(2.5*I19),"Moyen","Fort")))</f>
        <v xml:space="preserve"> </v>
      </c>
      <c r="M19" s="5286" t="str">
        <f>IF(AND(SUM(F19:H19)&gt;0,I19=0),"Coefficient non renseigné",IF(SUM(F19:H19)&lt;participants,"votants &lt; participants",IF(SUM(F19:H19)&gt;participants,"Erreur : votants &gt; participants"," ")))</f>
        <v xml:space="preserve"> </v>
      </c>
      <c r="N19" s="3363"/>
      <c r="O19" s="3363"/>
    </row>
    <row r="20" spans="1:15" s="1183" customFormat="1" ht="24.9" customHeight="1" x14ac:dyDescent="0.25">
      <c r="A20" s="1291"/>
      <c r="B20" s="5319" t="s">
        <v>1084</v>
      </c>
      <c r="C20" s="5320"/>
      <c r="D20" s="5321"/>
      <c r="E20" s="1166"/>
      <c r="F20" s="1167"/>
      <c r="G20" s="1168"/>
      <c r="H20" s="1168"/>
      <c r="I20" s="1169"/>
      <c r="J20" s="5299">
        <f>IF(ISERROR((((1*F20)+(2*G20)+(3*H20))/(F20+G20+H20))*I20),0,(((1*F20)+(2*G20)+(3*H20))/(F20+G20+H20))*I20)</f>
        <v>0</v>
      </c>
      <c r="K20" s="5300"/>
      <c r="L20" s="1293" t="str">
        <f>IF(J20&lt;1," ",IF(J20&lt;(1.5*I20),"Faible",IF(J20&lt;(2.5*I20),"Moyen","Fort")))</f>
        <v xml:space="preserve"> </v>
      </c>
      <c r="M20" s="5286" t="str">
        <f>IF(AND(SUM(F20:H20)&gt;0,I20=0),"Coefficient non renseigné",IF(SUM(F20:H20)&lt;participants,"votants &lt; participants",IF(SUM(F20:H20)&gt;participants,"Erreur : votants &gt; participants"," ")))</f>
        <v xml:space="preserve"> </v>
      </c>
      <c r="N20" s="3363"/>
      <c r="O20" s="3363"/>
    </row>
    <row r="21" spans="1:15" s="1183" customFormat="1" ht="24.9" customHeight="1" x14ac:dyDescent="0.25">
      <c r="A21" s="1291"/>
      <c r="B21" s="5322" t="s">
        <v>1085</v>
      </c>
      <c r="C21" s="5323"/>
      <c r="D21" s="5324"/>
      <c r="E21" s="1171"/>
      <c r="F21" s="1172"/>
      <c r="G21" s="1173"/>
      <c r="H21" s="1173"/>
      <c r="I21" s="1174"/>
      <c r="J21" s="5304">
        <f>IF(ISERROR((((1*F21)+(2*G21)+(3*H21))/(F21+G21+H21))*I21),0,(((1*F21)+(2*G21)+(3*H21))/(F21+G21+H21))*I21)</f>
        <v>0</v>
      </c>
      <c r="K21" s="5305"/>
      <c r="L21" s="1294" t="str">
        <f>IF(J21&lt;1," ",IF(J21&lt;(1.5*I21),"Faible",IF(J21&lt;(2.5*I21),"Moyen","Fort")))</f>
        <v xml:space="preserve"> </v>
      </c>
      <c r="M21" s="5286" t="str">
        <f>IF(AND(SUM(F21:H21)&gt;0,I21=0),"Coefficient non renseigné",IF(SUM(F21:H21)&lt;participants,"votants &lt; participants",IF(SUM(F21:H21)&gt;participants,"Erreur : votants &gt; participants"," ")))</f>
        <v xml:space="preserve"> </v>
      </c>
      <c r="N21" s="3363"/>
      <c r="O21" s="3363"/>
    </row>
    <row r="22" spans="1:15" s="1180" customFormat="1" ht="3" customHeight="1" x14ac:dyDescent="0.25">
      <c r="A22" s="1288"/>
      <c r="B22" s="1184"/>
      <c r="C22" s="1184"/>
      <c r="D22" s="1184"/>
      <c r="E22" s="1184"/>
      <c r="F22" s="1184"/>
      <c r="G22" s="1184"/>
      <c r="H22" s="1184"/>
      <c r="I22" s="1185"/>
      <c r="J22" s="1186"/>
      <c r="K22" s="1186"/>
    </row>
    <row r="23" spans="1:15" s="1152" customFormat="1" ht="24.9" customHeight="1" x14ac:dyDescent="0.25">
      <c r="A23" s="1291"/>
      <c r="F23" s="5306" t="s">
        <v>1086</v>
      </c>
      <c r="G23" s="5306"/>
      <c r="H23" s="5306"/>
      <c r="I23" s="5307"/>
      <c r="J23" s="5308" t="e">
        <f>ROUND(SUM(J19:J21)/SUM(I19:I21),1)</f>
        <v>#DIV/0!</v>
      </c>
      <c r="K23" s="5309"/>
      <c r="L23" s="1295" t="e">
        <f>IF(J23=0," ",IF(J23&lt;1.5,"Faible",IF(J23&lt;2.5,"Moyen",IF(J23&gt;=2.5,"Fort"))))</f>
        <v>#DIV/0!</v>
      </c>
    </row>
    <row r="24" spans="1:15" s="1152" customFormat="1" ht="15" customHeight="1" x14ac:dyDescent="0.25">
      <c r="A24" s="1288"/>
      <c r="B24" s="1181"/>
      <c r="C24" s="1181"/>
      <c r="D24" s="1181"/>
      <c r="E24" s="1181"/>
      <c r="F24" s="1181"/>
      <c r="G24" s="1175"/>
      <c r="H24" s="1181"/>
      <c r="I24" s="1181"/>
      <c r="J24" s="1181"/>
      <c r="K24" s="1181"/>
      <c r="L24" s="1180"/>
    </row>
    <row r="25" spans="1:15" s="1183" customFormat="1" ht="30" customHeight="1" x14ac:dyDescent="0.25">
      <c r="A25" s="1296"/>
      <c r="B25" s="5291" t="s">
        <v>1087</v>
      </c>
      <c r="C25" s="5292"/>
      <c r="D25" s="5293"/>
      <c r="E25" s="1154" t="s">
        <v>1066</v>
      </c>
      <c r="F25" s="1155" t="s">
        <v>1067</v>
      </c>
      <c r="G25" s="1156" t="s">
        <v>1068</v>
      </c>
      <c r="H25" s="1187" t="s">
        <v>1069</v>
      </c>
      <c r="I25" s="1158" t="s">
        <v>1070</v>
      </c>
      <c r="J25" s="5325" t="s">
        <v>1071</v>
      </c>
      <c r="K25" s="5326"/>
      <c r="L25" s="1290" t="s">
        <v>1072</v>
      </c>
    </row>
    <row r="26" spans="1:15" s="1183" customFormat="1" ht="24.9" customHeight="1" x14ac:dyDescent="0.25">
      <c r="A26" s="1291"/>
      <c r="B26" s="5316" t="s">
        <v>1169</v>
      </c>
      <c r="C26" s="5317"/>
      <c r="D26" s="5327"/>
      <c r="E26" s="1161"/>
      <c r="F26" s="1162"/>
      <c r="G26" s="1163"/>
      <c r="H26" s="1163"/>
      <c r="I26" s="1164"/>
      <c r="J26" s="5328">
        <f>IF(ISERROR((((1*F26)+(2*G26)+(3*H26))/(F26+G26+H26))*I26),0,(((1*F26)+(2*G26)+(3*H26))/(F26+G26+H26))*I26)</f>
        <v>0</v>
      </c>
      <c r="K26" s="5329"/>
      <c r="L26" s="1292" t="str">
        <f>IF(J26&lt;1," ",IF(J26&lt;(1.5*I26),"Faible",IF(J26&lt;(2.5*I26),"Moyen","Fort")))</f>
        <v xml:space="preserve"> </v>
      </c>
      <c r="M26" s="5286" t="str">
        <f>IF(E26="N/A","critère non retenu ",IF(AND(SUM(F26:H26)&gt;0,I26=0),"Coefficient non renseigné",IF(SUM(F26:H26)&lt;participants,"votants &lt; participants",IF(SUM(F26:H26)&gt;participants,"Erreur : votants &gt; participants"," "))))</f>
        <v xml:space="preserve"> </v>
      </c>
      <c r="N26" s="3363"/>
      <c r="O26" s="3363"/>
    </row>
    <row r="27" spans="1:15" s="1183" customFormat="1" ht="30" customHeight="1" x14ac:dyDescent="0.25">
      <c r="A27" s="1291"/>
      <c r="B27" s="5319" t="s">
        <v>1171</v>
      </c>
      <c r="C27" s="5320"/>
      <c r="D27" s="5333"/>
      <c r="E27" s="1166"/>
      <c r="F27" s="1167"/>
      <c r="G27" s="1168"/>
      <c r="H27" s="1168"/>
      <c r="I27" s="1169"/>
      <c r="J27" s="5299">
        <f>IF(ISERROR((((1*F27)+(2*G27)+(3*H27))/(F27+G27+H27))*I27),0,(((1*F27)+(2*G27)+(3*H27))/(F27+G27+H27))*I27)</f>
        <v>0</v>
      </c>
      <c r="K27" s="5300"/>
      <c r="L27" s="1293" t="str">
        <f>IF(J27&lt;1," ",IF(J27&lt;(1.5*I27),"Faible",IF(J27&lt;(2.5*I27),"Moyen","Fort")))</f>
        <v xml:space="preserve"> </v>
      </c>
      <c r="M27" s="5286" t="str">
        <f>IF(AND(SUM(F27:H27)&gt;0,I27=0),"Coefficient non renseigné",IF(SUM(F27:H27)&lt;participants,"votants &lt; participants",IF(SUM(F27:H27)&gt;participants,"Erreur : votants &gt; participants"," ")))</f>
        <v xml:space="preserve"> </v>
      </c>
      <c r="N27" s="3363"/>
      <c r="O27" s="3363"/>
    </row>
    <row r="28" spans="1:15" s="1183" customFormat="1" ht="24.9" customHeight="1" x14ac:dyDescent="0.25">
      <c r="A28" s="1291"/>
      <c r="B28" s="5322" t="s">
        <v>1088</v>
      </c>
      <c r="C28" s="5323"/>
      <c r="D28" s="5334"/>
      <c r="E28" s="1188"/>
      <c r="F28" s="1189"/>
      <c r="G28" s="1190"/>
      <c r="H28" s="1190"/>
      <c r="I28" s="1191"/>
      <c r="J28" s="5335">
        <f>IF(ISERROR((((1*F28)+(2*G28)+(3*H28))/(F28+G28+H28))*I28),0,(((1*F28)+(2*G28)+(3*H28))/(F28+G28+H28))*I28)</f>
        <v>0</v>
      </c>
      <c r="K28" s="5336"/>
      <c r="L28" s="1294" t="str">
        <f>IF(J28&lt;1," ",IF(J28&lt;(1.5*I28),"Faible",IF(J28&lt;(2.5*I28),"Moyen","Fort")))</f>
        <v xml:space="preserve"> </v>
      </c>
      <c r="M28" s="5286" t="str">
        <f>IF(AND(SUM(F28:H28)&gt;0,I28=0),"Coefficient non renseigné",IF(SUM(F28:H28)&lt;participants,"votants &lt; participants",IF(SUM(F28:H28)&gt;participants,"Erreur : votants &gt; participants"," ")))</f>
        <v xml:space="preserve"> </v>
      </c>
      <c r="N28" s="3363"/>
      <c r="O28" s="3363"/>
    </row>
    <row r="29" spans="1:15" s="1152" customFormat="1" ht="3" customHeight="1" x14ac:dyDescent="0.25">
      <c r="A29" s="1288"/>
      <c r="B29" s="1180"/>
      <c r="C29" s="1180"/>
      <c r="D29" s="1180"/>
      <c r="E29" s="1180"/>
      <c r="F29" s="1175"/>
      <c r="G29" s="1180"/>
      <c r="H29" s="1181"/>
      <c r="I29" s="1153"/>
      <c r="J29" s="1176"/>
      <c r="K29" s="1153"/>
      <c r="L29" s="1180"/>
      <c r="M29" s="1193"/>
    </row>
    <row r="30" spans="1:15" s="1152" customFormat="1" ht="24.9" customHeight="1" x14ac:dyDescent="0.25">
      <c r="A30" s="1291"/>
      <c r="F30" s="5306" t="s">
        <v>1089</v>
      </c>
      <c r="G30" s="5306"/>
      <c r="H30" s="5306"/>
      <c r="I30" s="5307"/>
      <c r="J30" s="5308" t="e">
        <f>ROUND(SUM(J25:J28)/SUM(I25:I28),1)</f>
        <v>#DIV/0!</v>
      </c>
      <c r="K30" s="5309"/>
      <c r="L30" s="1295" t="e">
        <f>IF(J30=0," ",IF(J30&lt;1.5,"Faible",IF(J30&lt;2.5,"Moyen",IF(J30&gt;=2.5,"Fort"))))</f>
        <v>#DIV/0!</v>
      </c>
      <c r="M30" s="1194">
        <f>IF(ISERROR(SUM(J26:J28)/SUM(I26:I28)),0,SUM(J26:J28)/SUM(I26:I28))</f>
        <v>0</v>
      </c>
    </row>
    <row r="31" spans="1:15" s="1152" customFormat="1" ht="13.8" x14ac:dyDescent="0.25">
      <c r="A31" s="1288"/>
      <c r="F31" s="1180"/>
      <c r="G31" s="1180"/>
      <c r="H31" s="1180"/>
      <c r="I31" s="1195"/>
      <c r="J31" s="1153"/>
    </row>
    <row r="32" spans="1:15" s="1183" customFormat="1" ht="30" customHeight="1" x14ac:dyDescent="0.25">
      <c r="A32" s="1296"/>
      <c r="B32" s="1284" t="s">
        <v>1001</v>
      </c>
      <c r="C32" s="1196" t="s">
        <v>1090</v>
      </c>
      <c r="D32" s="1197" t="s">
        <v>1070</v>
      </c>
      <c r="E32" s="1283" t="s">
        <v>1071</v>
      </c>
      <c r="F32" s="1290" t="s">
        <v>1072</v>
      </c>
      <c r="H32" s="5337" t="s">
        <v>1091</v>
      </c>
      <c r="I32" s="5338"/>
      <c r="J32" s="5339"/>
      <c r="K32" s="5340" t="str">
        <f>IF(ISBLANK(participants)," ",IF(SUM(K33:K35)&lt;participants," ",IF(L33&gt;=50%,"Dossier recevable","Dossier non recevable")))</f>
        <v xml:space="preserve"> </v>
      </c>
      <c r="L32" s="5341"/>
    </row>
    <row r="33" spans="1:31" s="1152" customFormat="1" ht="24.9" customHeight="1" x14ac:dyDescent="0.25">
      <c r="A33" s="1288"/>
      <c r="B33" s="1285" t="s">
        <v>1092</v>
      </c>
      <c r="C33" s="1198" t="str">
        <f>IF(ISERROR(J9)," ",J9)</f>
        <v xml:space="preserve"> </v>
      </c>
      <c r="D33" s="1199"/>
      <c r="E33" s="1200">
        <f>IF(ISERROR(C33*D33),0,C33*D33)</f>
        <v>0</v>
      </c>
      <c r="F33" s="1165" t="str">
        <f>IF(E33&lt;1," ",IF(E33&lt;(1.5*D33),"Faible",IF(E33&lt;(2.5*D33),"Moyen","Fort")))</f>
        <v xml:space="preserve"> </v>
      </c>
      <c r="G33" s="1201"/>
      <c r="H33" s="5342" t="s">
        <v>1093</v>
      </c>
      <c r="I33" s="5343"/>
      <c r="J33" s="5344"/>
      <c r="K33" s="1297"/>
      <c r="L33" s="1298">
        <f>IF(OR(ISBLANK(K33),ISBLANK(participants)),0,K33/participants)</f>
        <v>0</v>
      </c>
    </row>
    <row r="34" spans="1:31" s="1152" customFormat="1" ht="24.9" customHeight="1" x14ac:dyDescent="0.25">
      <c r="A34" s="1288"/>
      <c r="B34" s="1286" t="s">
        <v>1094</v>
      </c>
      <c r="C34" s="1202" t="str">
        <f>IF(ISERROR(J16)," ",J16)</f>
        <v xml:space="preserve"> </v>
      </c>
      <c r="D34" s="1203"/>
      <c r="E34" s="1204">
        <f>IF(ISERROR(C34*D34),0,C34*D34)</f>
        <v>0</v>
      </c>
      <c r="F34" s="1170" t="str">
        <f>IF(E34&lt;1," ",IF(E34&lt;(1.5*D34),"Faible",IF(E34&lt;(2.5*D34),"Moyen","Fort")))</f>
        <v xml:space="preserve"> </v>
      </c>
      <c r="G34" s="1201"/>
      <c r="H34" s="5330" t="s">
        <v>1095</v>
      </c>
      <c r="I34" s="5331"/>
      <c r="J34" s="5332"/>
      <c r="K34" s="1299"/>
      <c r="L34" s="1300">
        <f>IF(OR(ISBLANK(K34),ISBLANK(participants)),0,K34/participants)</f>
        <v>0</v>
      </c>
    </row>
    <row r="35" spans="1:31" s="1152" customFormat="1" ht="24.9" customHeight="1" x14ac:dyDescent="0.25">
      <c r="A35" s="1288"/>
      <c r="B35" s="1286" t="s">
        <v>1096</v>
      </c>
      <c r="C35" s="1202" t="str">
        <f>IF(ISERROR(J23)," ",J23)</f>
        <v xml:space="preserve"> </v>
      </c>
      <c r="D35" s="1203"/>
      <c r="E35" s="1204">
        <f>IF(ISERROR(C35*D35),0,C35*D35)</f>
        <v>0</v>
      </c>
      <c r="F35" s="1170" t="str">
        <f>IF(E35&lt;1," ",IF(E35&lt;(1.5*D35),"Faible",IF(E35&lt;(2.5*D35),"Moyen","Fort")))</f>
        <v xml:space="preserve"> </v>
      </c>
      <c r="G35" s="1201"/>
      <c r="H35" s="5345" t="s">
        <v>1097</v>
      </c>
      <c r="I35" s="5346"/>
      <c r="J35" s="5347"/>
      <c r="K35" s="1301"/>
      <c r="L35" s="1302">
        <f>IF(OR(ISBLANK(K35),ISBLANK(participants)),0,K35/participants)</f>
        <v>0</v>
      </c>
    </row>
    <row r="36" spans="1:31" s="1152" customFormat="1" ht="24.9" customHeight="1" x14ac:dyDescent="0.25">
      <c r="A36" s="1288"/>
      <c r="B36" s="1287" t="s">
        <v>1098</v>
      </c>
      <c r="C36" s="1205" t="str">
        <f>IF(ISERROR(J30)," ",J30)</f>
        <v xml:space="preserve"> </v>
      </c>
      <c r="D36" s="1206"/>
      <c r="E36" s="1207">
        <f>IF(ISERROR(C36*D36),0,C36*D36)</f>
        <v>0</v>
      </c>
      <c r="F36" s="1192" t="str">
        <f>IF(E36&lt;1," ",IF(E36&lt;(1.5*D36),"Faible",IF(E36&lt;(2.5*D36),"Moyen","Fort")))</f>
        <v xml:space="preserve"> </v>
      </c>
      <c r="G36" s="1201"/>
      <c r="H36" s="1208"/>
      <c r="I36" s="5348" t="str">
        <f>IF(K36&lt;0,"Manque"," ")</f>
        <v xml:space="preserve"> </v>
      </c>
      <c r="J36" s="5348"/>
      <c r="K36" s="1303">
        <f>IF(AND(ISBLANK(participants),SUM(K33:K35)=0),0,SUM(K33:K35)-participants)</f>
        <v>0</v>
      </c>
      <c r="L36" s="1304" t="str">
        <f>IF(K36&gt;0,"en trop"," ")</f>
        <v xml:space="preserve"> </v>
      </c>
    </row>
    <row r="37" spans="1:31" s="1152" customFormat="1" ht="3" customHeight="1" x14ac:dyDescent="0.25">
      <c r="A37" s="1288"/>
      <c r="C37" s="1180"/>
      <c r="D37" s="1176"/>
      <c r="E37" s="1180"/>
      <c r="F37" s="1209"/>
      <c r="G37" s="1210"/>
      <c r="H37" s="1151"/>
      <c r="I37" s="1151"/>
      <c r="J37" s="1151"/>
      <c r="K37" s="1211"/>
      <c r="L37" s="1211"/>
    </row>
    <row r="38" spans="1:31" s="1152" customFormat="1" ht="24.9" customHeight="1" x14ac:dyDescent="0.25">
      <c r="A38" s="1288"/>
      <c r="C38" s="1212"/>
      <c r="D38" s="1213" t="s">
        <v>1099</v>
      </c>
      <c r="E38" s="1214" t="e">
        <f>ROUND(SUM(E33:E36)/SUM(D33:D36),1)</f>
        <v>#DIV/0!</v>
      </c>
      <c r="F38" s="1215" t="e">
        <f>IF(E38=0," ",IF(E38&lt;1.5,"Faible",IF(E38&lt;2.5,"Moyen",IF(E38&gt;=2.5,"Fort"))))</f>
        <v>#DIV/0!</v>
      </c>
      <c r="H38" s="995"/>
      <c r="I38" s="995"/>
      <c r="J38" s="995"/>
      <c r="K38" s="995"/>
    </row>
    <row r="39" spans="1:31" s="1152" customFormat="1" ht="20.100000000000001" customHeight="1" x14ac:dyDescent="0.25">
      <c r="A39" s="1288"/>
      <c r="C39" s="1180"/>
      <c r="F39" s="1216"/>
      <c r="G39" s="1210"/>
      <c r="H39" s="1210"/>
      <c r="I39" s="1210"/>
    </row>
    <row r="40" spans="1:31" s="1" customFormat="1" ht="35.1" customHeight="1" x14ac:dyDescent="0.3">
      <c r="B40" s="2408" t="s">
        <v>598</v>
      </c>
      <c r="C40" s="5349" t="s">
        <v>599</v>
      </c>
      <c r="D40" s="5350"/>
      <c r="E40" s="5350"/>
      <c r="F40" s="5351"/>
      <c r="G40" s="5352" t="s">
        <v>586</v>
      </c>
      <c r="H40" s="5352"/>
      <c r="I40" s="5352"/>
      <c r="J40" s="5352"/>
      <c r="K40" s="5352"/>
      <c r="L40" s="5353"/>
      <c r="P40" s="635"/>
      <c r="Q40" s="635"/>
      <c r="R40" s="635"/>
      <c r="S40" s="635"/>
      <c r="T40" s="635"/>
      <c r="U40" s="635"/>
      <c r="V40" s="635"/>
      <c r="W40" s="635"/>
      <c r="X40" s="635"/>
      <c r="Y40" s="635"/>
      <c r="Z40" s="635"/>
      <c r="AA40" s="635"/>
      <c r="AB40" s="635"/>
      <c r="AC40" s="635"/>
      <c r="AD40" s="635"/>
      <c r="AE40" s="635"/>
    </row>
    <row r="41" spans="1:31" s="58" customFormat="1" ht="24.9" customHeight="1" x14ac:dyDescent="0.25">
      <c r="B41" s="2407"/>
      <c r="C41" s="5354"/>
      <c r="D41" s="5355"/>
      <c r="E41" s="5355"/>
      <c r="F41" s="5356"/>
      <c r="G41" s="5357"/>
      <c r="H41" s="3711"/>
      <c r="I41" s="3711"/>
      <c r="J41" s="3711"/>
      <c r="K41" s="3711"/>
      <c r="L41" s="5358"/>
      <c r="P41" s="1217"/>
      <c r="Q41" s="1217"/>
      <c r="R41" s="1217"/>
      <c r="S41" s="1217"/>
      <c r="T41" s="1217"/>
      <c r="U41" s="1217"/>
      <c r="V41" s="1217"/>
      <c r="W41" s="1217"/>
      <c r="X41" s="1217"/>
      <c r="Y41" s="1217"/>
      <c r="Z41" s="1217"/>
      <c r="AA41" s="1217"/>
      <c r="AB41" s="1217"/>
      <c r="AC41" s="1217"/>
      <c r="AD41" s="1217"/>
      <c r="AE41" s="1217"/>
    </row>
    <row r="42" spans="1:31" s="1" customFormat="1" ht="24.9" customHeight="1" x14ac:dyDescent="0.3">
      <c r="B42" s="2405"/>
      <c r="C42" s="5359"/>
      <c r="D42" s="5360"/>
      <c r="E42" s="5360"/>
      <c r="F42" s="5361"/>
      <c r="G42" s="5362"/>
      <c r="H42" s="3681"/>
      <c r="I42" s="3681"/>
      <c r="J42" s="3681"/>
      <c r="K42" s="3681"/>
      <c r="L42" s="5363"/>
      <c r="P42" s="635"/>
      <c r="Q42" s="635"/>
      <c r="R42" s="635"/>
      <c r="S42" s="635"/>
      <c r="T42" s="635"/>
      <c r="U42" s="635"/>
      <c r="V42" s="635"/>
      <c r="W42" s="635"/>
      <c r="X42" s="635"/>
      <c r="Y42" s="635"/>
      <c r="Z42" s="635"/>
      <c r="AA42" s="635"/>
      <c r="AB42" s="635"/>
      <c r="AC42" s="635"/>
      <c r="AD42" s="635"/>
      <c r="AE42" s="635"/>
    </row>
    <row r="43" spans="1:31" s="58" customFormat="1" ht="24.9" customHeight="1" x14ac:dyDescent="0.25">
      <c r="B43" s="2405"/>
      <c r="C43" s="5359"/>
      <c r="D43" s="5360"/>
      <c r="E43" s="5360"/>
      <c r="F43" s="5361"/>
      <c r="G43" s="5362"/>
      <c r="H43" s="3681"/>
      <c r="I43" s="3681"/>
      <c r="J43" s="3681"/>
      <c r="K43" s="3681"/>
      <c r="L43" s="5363"/>
      <c r="P43" s="1217"/>
      <c r="Q43" s="1217"/>
      <c r="R43" s="1217"/>
      <c r="S43" s="1217"/>
      <c r="T43" s="1217"/>
      <c r="U43" s="1217"/>
      <c r="V43" s="1217"/>
      <c r="W43" s="1217"/>
      <c r="X43" s="1217"/>
      <c r="Y43" s="1217"/>
      <c r="Z43" s="1217"/>
      <c r="AA43" s="1217"/>
      <c r="AB43" s="1217"/>
      <c r="AC43" s="1217"/>
      <c r="AD43" s="1217"/>
      <c r="AE43" s="1217"/>
    </row>
    <row r="44" spans="1:31" s="1" customFormat="1" ht="24.9" customHeight="1" x14ac:dyDescent="0.3">
      <c r="B44" s="2405"/>
      <c r="C44" s="5359"/>
      <c r="D44" s="5360"/>
      <c r="E44" s="5360"/>
      <c r="F44" s="5361"/>
      <c r="G44" s="5362"/>
      <c r="H44" s="3681"/>
      <c r="I44" s="3681"/>
      <c r="J44" s="3681"/>
      <c r="K44" s="3681"/>
      <c r="L44" s="5363"/>
      <c r="P44" s="635"/>
      <c r="Q44" s="635"/>
      <c r="R44" s="635"/>
      <c r="S44" s="635"/>
      <c r="T44" s="635"/>
      <c r="U44" s="635"/>
      <c r="V44" s="635"/>
      <c r="W44" s="635"/>
      <c r="X44" s="635"/>
      <c r="Y44" s="635"/>
      <c r="Z44" s="635"/>
      <c r="AA44" s="635"/>
      <c r="AB44" s="635"/>
      <c r="AC44" s="635"/>
      <c r="AD44" s="635"/>
      <c r="AE44" s="635"/>
    </row>
    <row r="45" spans="1:31" s="58" customFormat="1" ht="24.9" customHeight="1" x14ac:dyDescent="0.25">
      <c r="B45" s="2405"/>
      <c r="C45" s="5359"/>
      <c r="D45" s="5360"/>
      <c r="E45" s="5360"/>
      <c r="F45" s="5361"/>
      <c r="G45" s="5362"/>
      <c r="H45" s="3681"/>
      <c r="I45" s="3681"/>
      <c r="J45" s="3681"/>
      <c r="K45" s="3681"/>
      <c r="L45" s="5363"/>
      <c r="P45" s="1217"/>
      <c r="Q45" s="1217"/>
      <c r="R45" s="1217"/>
      <c r="S45" s="1217"/>
      <c r="T45" s="1217"/>
      <c r="U45" s="1217"/>
      <c r="V45" s="1217"/>
      <c r="W45" s="1217"/>
      <c r="X45" s="1217"/>
      <c r="Y45" s="1217"/>
      <c r="Z45" s="1217"/>
      <c r="AA45" s="1217"/>
      <c r="AB45" s="1217"/>
      <c r="AC45" s="1217"/>
      <c r="AD45" s="1217"/>
      <c r="AE45" s="1217"/>
    </row>
    <row r="46" spans="1:31" s="1" customFormat="1" ht="24.9" customHeight="1" x14ac:dyDescent="0.3">
      <c r="B46" s="2405"/>
      <c r="C46" s="5359"/>
      <c r="D46" s="5360"/>
      <c r="E46" s="5360"/>
      <c r="F46" s="5361"/>
      <c r="G46" s="5362"/>
      <c r="H46" s="3681"/>
      <c r="I46" s="3681"/>
      <c r="J46" s="3681"/>
      <c r="K46" s="3681"/>
      <c r="L46" s="5363"/>
      <c r="P46" s="635"/>
      <c r="Q46" s="635"/>
      <c r="R46" s="635"/>
      <c r="S46" s="635"/>
      <c r="T46" s="635"/>
      <c r="U46" s="635"/>
      <c r="V46" s="635"/>
      <c r="W46" s="635"/>
      <c r="X46" s="635"/>
      <c r="Y46" s="635"/>
      <c r="Z46" s="635"/>
      <c r="AA46" s="635"/>
      <c r="AB46" s="635"/>
      <c r="AC46" s="635"/>
      <c r="AD46" s="635"/>
      <c r="AE46" s="635"/>
    </row>
    <row r="47" spans="1:31" s="58" customFormat="1" ht="24.9" customHeight="1" x14ac:dyDescent="0.25">
      <c r="B47" s="2405"/>
      <c r="C47" s="5359"/>
      <c r="D47" s="5360"/>
      <c r="E47" s="5360"/>
      <c r="F47" s="5361"/>
      <c r="G47" s="5362"/>
      <c r="H47" s="3681"/>
      <c r="I47" s="3681"/>
      <c r="J47" s="3681"/>
      <c r="K47" s="3681"/>
      <c r="L47" s="5363"/>
      <c r="P47" s="1217"/>
      <c r="Q47" s="1217"/>
      <c r="R47" s="1217"/>
      <c r="S47" s="1217"/>
      <c r="T47" s="1217"/>
      <c r="U47" s="1217"/>
      <c r="V47" s="1217"/>
      <c r="W47" s="1217"/>
      <c r="X47" s="1217"/>
      <c r="Y47" s="1217"/>
      <c r="Z47" s="1217"/>
      <c r="AA47" s="1217"/>
      <c r="AB47" s="1217"/>
      <c r="AC47" s="1217"/>
      <c r="AD47" s="1217"/>
      <c r="AE47" s="1217"/>
    </row>
    <row r="48" spans="1:31" s="1" customFormat="1" ht="24.9" customHeight="1" x14ac:dyDescent="0.3">
      <c r="B48" s="2405"/>
      <c r="C48" s="5359"/>
      <c r="D48" s="5360"/>
      <c r="E48" s="5360"/>
      <c r="F48" s="5361"/>
      <c r="G48" s="5362"/>
      <c r="H48" s="3681"/>
      <c r="I48" s="3681"/>
      <c r="J48" s="3681"/>
      <c r="K48" s="3681"/>
      <c r="L48" s="5363"/>
      <c r="P48" s="635"/>
      <c r="Q48" s="635"/>
      <c r="R48" s="635"/>
      <c r="S48" s="635"/>
      <c r="T48" s="635"/>
      <c r="U48" s="635"/>
      <c r="V48" s="635"/>
      <c r="W48" s="635"/>
      <c r="X48" s="635"/>
      <c r="Y48" s="635"/>
      <c r="Z48" s="635"/>
      <c r="AA48" s="635"/>
      <c r="AB48" s="635"/>
      <c r="AC48" s="635"/>
      <c r="AD48" s="635"/>
      <c r="AE48" s="635"/>
    </row>
    <row r="49" spans="2:31" s="58" customFormat="1" ht="24.9" customHeight="1" x14ac:dyDescent="0.25">
      <c r="B49" s="2405"/>
      <c r="C49" s="5359"/>
      <c r="D49" s="5360"/>
      <c r="E49" s="5360"/>
      <c r="F49" s="5361"/>
      <c r="G49" s="5362"/>
      <c r="H49" s="3681"/>
      <c r="I49" s="3681"/>
      <c r="J49" s="3681"/>
      <c r="K49" s="3681"/>
      <c r="L49" s="5363"/>
      <c r="P49" s="1217"/>
      <c r="Q49" s="1217"/>
      <c r="R49" s="1217"/>
      <c r="S49" s="1217"/>
      <c r="T49" s="1217"/>
      <c r="U49" s="1217"/>
      <c r="V49" s="1217"/>
      <c r="W49" s="1217"/>
      <c r="X49" s="1217"/>
      <c r="Y49" s="1217"/>
      <c r="Z49" s="1217"/>
      <c r="AA49" s="1217"/>
      <c r="AB49" s="1217"/>
      <c r="AC49" s="1217"/>
      <c r="AD49" s="1217"/>
      <c r="AE49" s="1217"/>
    </row>
    <row r="50" spans="2:31" s="1" customFormat="1" ht="24.9" customHeight="1" x14ac:dyDescent="0.3">
      <c r="B50" s="2406"/>
      <c r="C50" s="5364"/>
      <c r="D50" s="5365"/>
      <c r="E50" s="5365"/>
      <c r="F50" s="5366"/>
      <c r="G50" s="5367"/>
      <c r="H50" s="3683"/>
      <c r="I50" s="3683"/>
      <c r="J50" s="3683"/>
      <c r="K50" s="3683"/>
      <c r="L50" s="5368"/>
      <c r="P50" s="635"/>
      <c r="Q50" s="635"/>
      <c r="R50" s="635"/>
      <c r="S50" s="635"/>
      <c r="T50" s="635"/>
      <c r="U50" s="635"/>
      <c r="V50" s="635"/>
      <c r="W50" s="635"/>
      <c r="X50" s="635"/>
      <c r="Y50" s="635"/>
      <c r="Z50" s="635"/>
      <c r="AA50" s="635"/>
      <c r="AB50" s="635"/>
      <c r="AC50" s="635"/>
      <c r="AD50" s="635"/>
      <c r="AE50" s="635"/>
    </row>
    <row r="51" spans="2:31" s="1" customFormat="1" ht="13.8" x14ac:dyDescent="0.3">
      <c r="J51" s="2"/>
      <c r="P51" s="635"/>
      <c r="Q51" s="635"/>
      <c r="R51" s="635"/>
      <c r="S51" s="635"/>
      <c r="T51" s="635"/>
      <c r="U51" s="635"/>
      <c r="V51" s="635"/>
      <c r="W51" s="635"/>
      <c r="X51" s="635"/>
      <c r="Y51" s="635"/>
      <c r="Z51" s="635"/>
      <c r="AA51" s="635"/>
      <c r="AB51" s="635"/>
      <c r="AC51" s="635"/>
      <c r="AD51" s="635"/>
      <c r="AE51" s="635"/>
    </row>
  </sheetData>
  <sheetProtection algorithmName="SHA-512" hashValue="rWGWiGIg7Z9XGjpUUeh1LRsKjFNa4J6ADAFlqxO9S1oifTqXI9Z86mBkZmgn/9jQCPkTmIiR3HxvWucXuj7qIw==" saltValue="mvAmYnzGt6VHCT0piVFK4g==" spinCount="100000" sheet="1" objects="1" scenarios="1" formatCells="0" formatColumns="0" formatRows="0" insertColumns="0" insertRows="0" insertHyperlinks="0" deleteColumns="0" deleteRows="0" sort="0" autoFilter="0" pivotTables="0"/>
  <mergeCells count="83">
    <mergeCell ref="C48:F48"/>
    <mergeCell ref="G48:L48"/>
    <mergeCell ref="C49:F49"/>
    <mergeCell ref="G49:L49"/>
    <mergeCell ref="C50:F50"/>
    <mergeCell ref="G50:L50"/>
    <mergeCell ref="C45:F45"/>
    <mergeCell ref="G45:L45"/>
    <mergeCell ref="C46:F46"/>
    <mergeCell ref="G46:L46"/>
    <mergeCell ref="C47:F47"/>
    <mergeCell ref="G47:L47"/>
    <mergeCell ref="C42:F42"/>
    <mergeCell ref="G42:L42"/>
    <mergeCell ref="C43:F43"/>
    <mergeCell ref="G43:L43"/>
    <mergeCell ref="C44:F44"/>
    <mergeCell ref="G44:L44"/>
    <mergeCell ref="H35:J35"/>
    <mergeCell ref="I36:J36"/>
    <mergeCell ref="C40:F40"/>
    <mergeCell ref="G40:L40"/>
    <mergeCell ref="C41:F41"/>
    <mergeCell ref="G41:L41"/>
    <mergeCell ref="H34:J34"/>
    <mergeCell ref="M26:O26"/>
    <mergeCell ref="B27:D27"/>
    <mergeCell ref="J27:K27"/>
    <mergeCell ref="M27:O27"/>
    <mergeCell ref="B28:D28"/>
    <mergeCell ref="J28:K28"/>
    <mergeCell ref="M28:O28"/>
    <mergeCell ref="F30:I30"/>
    <mergeCell ref="J30:K30"/>
    <mergeCell ref="H32:J32"/>
    <mergeCell ref="K32:L32"/>
    <mergeCell ref="H33:J33"/>
    <mergeCell ref="F23:I23"/>
    <mergeCell ref="J23:K23"/>
    <mergeCell ref="B25:D25"/>
    <mergeCell ref="J25:K25"/>
    <mergeCell ref="B26:D26"/>
    <mergeCell ref="J26:K26"/>
    <mergeCell ref="M19:O19"/>
    <mergeCell ref="B20:D20"/>
    <mergeCell ref="J20:K20"/>
    <mergeCell ref="M20:O20"/>
    <mergeCell ref="B21:D21"/>
    <mergeCell ref="J21:K21"/>
    <mergeCell ref="M21:O21"/>
    <mergeCell ref="F16:I16"/>
    <mergeCell ref="J16:K16"/>
    <mergeCell ref="B18:D18"/>
    <mergeCell ref="J18:K18"/>
    <mergeCell ref="B19:D19"/>
    <mergeCell ref="J19:K19"/>
    <mergeCell ref="M12:O12"/>
    <mergeCell ref="B13:D13"/>
    <mergeCell ref="J13:K13"/>
    <mergeCell ref="M13:O13"/>
    <mergeCell ref="B14:D14"/>
    <mergeCell ref="J14:K14"/>
    <mergeCell ref="M14:O14"/>
    <mergeCell ref="F9:I9"/>
    <mergeCell ref="J9:K9"/>
    <mergeCell ref="B11:D11"/>
    <mergeCell ref="J11:K11"/>
    <mergeCell ref="B12:D12"/>
    <mergeCell ref="J12:K12"/>
    <mergeCell ref="B6:D6"/>
    <mergeCell ref="J6:K6"/>
    <mergeCell ref="M6:O6"/>
    <mergeCell ref="B7:D7"/>
    <mergeCell ref="J7:K7"/>
    <mergeCell ref="M7:O7"/>
    <mergeCell ref="B5:D5"/>
    <mergeCell ref="J5:K5"/>
    <mergeCell ref="M5:O5"/>
    <mergeCell ref="B2:H2"/>
    <mergeCell ref="I2:K2"/>
    <mergeCell ref="M2:P2"/>
    <mergeCell ref="B4:D4"/>
    <mergeCell ref="J4:K4"/>
  </mergeCells>
  <conditionalFormatting sqref="K32">
    <cfRule type="expression" dxfId="233" priority="227">
      <formula>$L$33&lt;50%</formula>
    </cfRule>
    <cfRule type="expression" dxfId="232" priority="228">
      <formula>$L$33&gt;=50%</formula>
    </cfRule>
  </conditionalFormatting>
  <conditionalFormatting sqref="H15">
    <cfRule type="expression" dxfId="231" priority="224" stopIfTrue="1">
      <formula>#REF!&gt;=7</formula>
    </cfRule>
  </conditionalFormatting>
  <conditionalFormatting sqref="H29">
    <cfRule type="expression" dxfId="230" priority="223" stopIfTrue="1">
      <formula>#REF!&gt;=7</formula>
    </cfRule>
  </conditionalFormatting>
  <conditionalFormatting sqref="F15 F29:F30">
    <cfRule type="expression" dxfId="229" priority="222" stopIfTrue="1">
      <formula>#REF!&lt;=3</formula>
    </cfRule>
  </conditionalFormatting>
  <conditionalFormatting sqref="F25 F18">
    <cfRule type="expression" dxfId="228" priority="221" stopIfTrue="1">
      <formula>#REF!&lt;=3</formula>
    </cfRule>
  </conditionalFormatting>
  <conditionalFormatting sqref="H25 H18">
    <cfRule type="expression" dxfId="227" priority="220" stopIfTrue="1">
      <formula>#REF!&gt;=7</formula>
    </cfRule>
  </conditionalFormatting>
  <conditionalFormatting sqref="H15">
    <cfRule type="expression" dxfId="226" priority="225" stopIfTrue="1">
      <formula>#REF!&gt;=7</formula>
    </cfRule>
  </conditionalFormatting>
  <conditionalFormatting sqref="F30">
    <cfRule type="expression" dxfId="225" priority="226" stopIfTrue="1">
      <formula>#REF!&lt;=3</formula>
    </cfRule>
  </conditionalFormatting>
  <conditionalFormatting sqref="E33:E36 C33:C36 J15:K15">
    <cfRule type="cellIs" dxfId="224" priority="219" stopIfTrue="1" operator="equal">
      <formula>0</formula>
    </cfRule>
  </conditionalFormatting>
  <conditionalFormatting sqref="M5:M7 M21 M26:M28">
    <cfRule type="cellIs" dxfId="223" priority="216" operator="equal">
      <formula>"Coefficient non renseigné"</formula>
    </cfRule>
    <cfRule type="cellIs" dxfId="222" priority="217" operator="equal">
      <formula>"votants &lt; participants"</formula>
    </cfRule>
    <cfRule type="cellIs" dxfId="221" priority="218" stopIfTrue="1" operator="equal">
      <formula>"Erreur : votants &gt; participants"</formula>
    </cfRule>
  </conditionalFormatting>
  <conditionalFormatting sqref="J9 J16 J30 J23">
    <cfRule type="expression" dxfId="220" priority="212" stopIfTrue="1">
      <formula>L9="Fort"</formula>
    </cfRule>
    <cfRule type="expression" dxfId="219" priority="213" stopIfTrue="1">
      <formula>L9="Moyen"</formula>
    </cfRule>
    <cfRule type="expression" dxfId="218" priority="214" stopIfTrue="1">
      <formula>L9="Faible"</formula>
    </cfRule>
    <cfRule type="cellIs" dxfId="217" priority="215" stopIfTrue="1" operator="equal">
      <formula>0</formula>
    </cfRule>
  </conditionalFormatting>
  <conditionalFormatting sqref="L9">
    <cfRule type="cellIs" dxfId="216" priority="208" stopIfTrue="1" operator="equal">
      <formula>"fort"</formula>
    </cfRule>
    <cfRule type="cellIs" dxfId="215" priority="209" stopIfTrue="1" operator="equal">
      <formula>"moyen"</formula>
    </cfRule>
    <cfRule type="cellIs" dxfId="214" priority="210" stopIfTrue="1" operator="equal">
      <formula>"faible"</formula>
    </cfRule>
    <cfRule type="cellIs" dxfId="213" priority="211" stopIfTrue="1" operator="equal">
      <formula>" "</formula>
    </cfRule>
  </conditionalFormatting>
  <conditionalFormatting sqref="D34">
    <cfRule type="cellIs" dxfId="212" priority="204" operator="greaterThan">
      <formula>0</formula>
    </cfRule>
    <cfRule type="expression" dxfId="211" priority="207">
      <formula>B34="N/A"</formula>
    </cfRule>
  </conditionalFormatting>
  <conditionalFormatting sqref="D33">
    <cfRule type="cellIs" dxfId="210" priority="205" operator="greaterThan">
      <formula>0</formula>
    </cfRule>
    <cfRule type="expression" dxfId="209" priority="206">
      <formula>B33="N/A"</formula>
    </cfRule>
  </conditionalFormatting>
  <conditionalFormatting sqref="D35">
    <cfRule type="expression" dxfId="208" priority="203">
      <formula>B35="N/A"</formula>
    </cfRule>
  </conditionalFormatting>
  <conditionalFormatting sqref="D35">
    <cfRule type="cellIs" dxfId="207" priority="202" operator="greaterThan">
      <formula>0</formula>
    </cfRule>
  </conditionalFormatting>
  <conditionalFormatting sqref="D36">
    <cfRule type="expression" dxfId="206" priority="201">
      <formula>B36="N/A"</formula>
    </cfRule>
  </conditionalFormatting>
  <conditionalFormatting sqref="D36">
    <cfRule type="cellIs" dxfId="205" priority="200" operator="greaterThan">
      <formula>0</formula>
    </cfRule>
  </conditionalFormatting>
  <conditionalFormatting sqref="G33">
    <cfRule type="cellIs" dxfId="204" priority="197" operator="equal">
      <formula>"Coefficient non renseigné"</formula>
    </cfRule>
    <cfRule type="cellIs" dxfId="203" priority="198" operator="equal">
      <formula>"votants &lt; participants"</formula>
    </cfRule>
    <cfRule type="cellIs" dxfId="202" priority="199" stopIfTrue="1" operator="equal">
      <formula>"Erreur : votants &gt; participants"</formula>
    </cfRule>
  </conditionalFormatting>
  <conditionalFormatting sqref="G34:G36">
    <cfRule type="cellIs" dxfId="201" priority="194" operator="equal">
      <formula>"Coefficient non renseigné"</formula>
    </cfRule>
    <cfRule type="cellIs" dxfId="200" priority="195" operator="equal">
      <formula>"votants &lt; participants"</formula>
    </cfRule>
    <cfRule type="cellIs" dxfId="199" priority="196" stopIfTrue="1" operator="equal">
      <formula>"Erreur : votants &gt; participants"</formula>
    </cfRule>
  </conditionalFormatting>
  <conditionalFormatting sqref="F33">
    <cfRule type="expression" dxfId="198" priority="189">
      <formula>B33="N/A"</formula>
    </cfRule>
    <cfRule type="cellIs" dxfId="197" priority="190" stopIfTrue="1" operator="equal">
      <formula>"fort"</formula>
    </cfRule>
    <cfRule type="cellIs" dxfId="196" priority="191" stopIfTrue="1" operator="equal">
      <formula>"moyen"</formula>
    </cfRule>
    <cfRule type="cellIs" dxfId="195" priority="192" stopIfTrue="1" operator="equal">
      <formula>"faible"</formula>
    </cfRule>
    <cfRule type="cellIs" dxfId="194" priority="193" stopIfTrue="1" operator="equal">
      <formula>" "</formula>
    </cfRule>
  </conditionalFormatting>
  <conditionalFormatting sqref="F34">
    <cfRule type="expression" dxfId="193" priority="184">
      <formula>B34="N/A"</formula>
    </cfRule>
    <cfRule type="cellIs" dxfId="192" priority="185" stopIfTrue="1" operator="equal">
      <formula>"fort"</formula>
    </cfRule>
    <cfRule type="cellIs" dxfId="191" priority="186" stopIfTrue="1" operator="equal">
      <formula>"moyen"</formula>
    </cfRule>
    <cfRule type="cellIs" dxfId="190" priority="187" stopIfTrue="1" operator="equal">
      <formula>"faible"</formula>
    </cfRule>
    <cfRule type="cellIs" dxfId="189" priority="188" stopIfTrue="1" operator="equal">
      <formula>" "</formula>
    </cfRule>
  </conditionalFormatting>
  <conditionalFormatting sqref="F36">
    <cfRule type="expression" dxfId="188" priority="174">
      <formula>B36="N/A"</formula>
    </cfRule>
    <cfRule type="cellIs" dxfId="187" priority="175" stopIfTrue="1" operator="equal">
      <formula>"fort"</formula>
    </cfRule>
    <cfRule type="cellIs" dxfId="186" priority="176" stopIfTrue="1" operator="equal">
      <formula>"moyen"</formula>
    </cfRule>
    <cfRule type="cellIs" dxfId="185" priority="177" stopIfTrue="1" operator="equal">
      <formula>"faible"</formula>
    </cfRule>
    <cfRule type="cellIs" dxfId="184" priority="178" stopIfTrue="1" operator="equal">
      <formula>" "</formula>
    </cfRule>
  </conditionalFormatting>
  <conditionalFormatting sqref="F35">
    <cfRule type="expression" dxfId="183" priority="179">
      <formula>B35="N/A"</formula>
    </cfRule>
    <cfRule type="cellIs" dxfId="182" priority="180" stopIfTrue="1" operator="equal">
      <formula>"fort"</formula>
    </cfRule>
    <cfRule type="cellIs" dxfId="181" priority="181" stopIfTrue="1" operator="equal">
      <formula>"moyen"</formula>
    </cfRule>
    <cfRule type="cellIs" dxfId="180" priority="182" stopIfTrue="1" operator="equal">
      <formula>"faible"</formula>
    </cfRule>
    <cfRule type="cellIs" dxfId="179" priority="183" stopIfTrue="1" operator="equal">
      <formula>" "</formula>
    </cfRule>
  </conditionalFormatting>
  <conditionalFormatting sqref="F38">
    <cfRule type="cellIs" dxfId="178" priority="170" stopIfTrue="1" operator="equal">
      <formula>"fort"</formula>
    </cfRule>
    <cfRule type="cellIs" dxfId="177" priority="171" stopIfTrue="1" operator="equal">
      <formula>"moyen"</formula>
    </cfRule>
    <cfRule type="cellIs" dxfId="176" priority="172" stopIfTrue="1" operator="equal">
      <formula>"faible"</formula>
    </cfRule>
    <cfRule type="cellIs" dxfId="175" priority="173" stopIfTrue="1" operator="equal">
      <formula>" "</formula>
    </cfRule>
  </conditionalFormatting>
  <conditionalFormatting sqref="E38">
    <cfRule type="expression" dxfId="174" priority="166" stopIfTrue="1">
      <formula>F38="Fort"</formula>
    </cfRule>
    <cfRule type="expression" dxfId="173" priority="167" stopIfTrue="1">
      <formula>F38="Moyen"</formula>
    </cfRule>
    <cfRule type="expression" dxfId="172" priority="168" stopIfTrue="1">
      <formula>F38="Faible"</formula>
    </cfRule>
    <cfRule type="cellIs" dxfId="171" priority="169" stopIfTrue="1" operator="equal">
      <formula>0</formula>
    </cfRule>
  </conditionalFormatting>
  <conditionalFormatting sqref="F4">
    <cfRule type="expression" dxfId="170" priority="165" stopIfTrue="1">
      <formula>#REF!&lt;=3</formula>
    </cfRule>
  </conditionalFormatting>
  <conditionalFormatting sqref="H4">
    <cfRule type="expression" dxfId="169" priority="164" stopIfTrue="1">
      <formula>#REF!&gt;=7</formula>
    </cfRule>
  </conditionalFormatting>
  <conditionalFormatting sqref="L5">
    <cfRule type="expression" dxfId="168" priority="159">
      <formula>E5="N/A"</formula>
    </cfRule>
    <cfRule type="cellIs" dxfId="167" priority="160" stopIfTrue="1" operator="equal">
      <formula>"fort"</formula>
    </cfRule>
    <cfRule type="cellIs" dxfId="166" priority="161" stopIfTrue="1" operator="equal">
      <formula>"moyen"</formula>
    </cfRule>
    <cfRule type="cellIs" dxfId="165" priority="162" stopIfTrue="1" operator="equal">
      <formula>"faible"</formula>
    </cfRule>
    <cfRule type="cellIs" dxfId="164" priority="163" stopIfTrue="1" operator="equal">
      <formula>" "</formula>
    </cfRule>
  </conditionalFormatting>
  <conditionalFormatting sqref="F7 F26">
    <cfRule type="expression" dxfId="163" priority="158">
      <formula>E7="N/A"</formula>
    </cfRule>
  </conditionalFormatting>
  <conditionalFormatting sqref="G7 G26">
    <cfRule type="expression" dxfId="162" priority="157">
      <formula>E7="N/A"</formula>
    </cfRule>
  </conditionalFormatting>
  <conditionalFormatting sqref="H7 H26">
    <cfRule type="expression" dxfId="161" priority="156">
      <formula>E7="N/A"</formula>
    </cfRule>
  </conditionalFormatting>
  <conditionalFormatting sqref="I7 I26">
    <cfRule type="cellIs" dxfId="160" priority="146" operator="greaterThan">
      <formula>0</formula>
    </cfRule>
    <cfRule type="expression" dxfId="159" priority="155">
      <formula>E7="N/A"</formula>
    </cfRule>
  </conditionalFormatting>
  <conditionalFormatting sqref="E7">
    <cfRule type="cellIs" dxfId="158" priority="154" operator="equal">
      <formula>"N/A"</formula>
    </cfRule>
  </conditionalFormatting>
  <conditionalFormatting sqref="E5:E6">
    <cfRule type="cellIs" dxfId="157" priority="153" operator="equal">
      <formula>"N/A"</formula>
    </cfRule>
  </conditionalFormatting>
  <conditionalFormatting sqref="F5:F6">
    <cfRule type="expression" dxfId="156" priority="152">
      <formula>E5="N/A"</formula>
    </cfRule>
  </conditionalFormatting>
  <conditionalFormatting sqref="J5">
    <cfRule type="cellIs" dxfId="155" priority="121" operator="equal">
      <formula>0</formula>
    </cfRule>
    <cfRule type="expression" dxfId="154" priority="151">
      <formula>E5="N/A"</formula>
    </cfRule>
  </conditionalFormatting>
  <conditionalFormatting sqref="G5:G6">
    <cfRule type="expression" dxfId="153" priority="150">
      <formula>E5="N/A"</formula>
    </cfRule>
  </conditionalFormatting>
  <conditionalFormatting sqref="H5:H6">
    <cfRule type="expression" dxfId="152" priority="149">
      <formula>E5="N/A"</formula>
    </cfRule>
  </conditionalFormatting>
  <conditionalFormatting sqref="I5:I6">
    <cfRule type="cellIs" dxfId="151" priority="147" operator="greaterThan">
      <formula>0</formula>
    </cfRule>
    <cfRule type="expression" dxfId="150" priority="148">
      <formula>E5="N/A"</formula>
    </cfRule>
  </conditionalFormatting>
  <conditionalFormatting sqref="L30 L23 L16">
    <cfRule type="cellIs" dxfId="149" priority="142" stopIfTrue="1" operator="equal">
      <formula>"fort"</formula>
    </cfRule>
    <cfRule type="cellIs" dxfId="148" priority="143" stopIfTrue="1" operator="equal">
      <formula>"moyen"</formula>
    </cfRule>
    <cfRule type="cellIs" dxfId="147" priority="144" stopIfTrue="1" operator="equal">
      <formula>"faible"</formula>
    </cfRule>
    <cfRule type="cellIs" dxfId="146" priority="145" stopIfTrue="1" operator="equal">
      <formula>" "</formula>
    </cfRule>
  </conditionalFormatting>
  <conditionalFormatting sqref="F23">
    <cfRule type="expression" dxfId="145" priority="140" stopIfTrue="1">
      <formula>#REF!&lt;=3</formula>
    </cfRule>
  </conditionalFormatting>
  <conditionalFormatting sqref="F23">
    <cfRule type="expression" dxfId="144" priority="141" stopIfTrue="1">
      <formula>#REF!&lt;=3</formula>
    </cfRule>
  </conditionalFormatting>
  <conditionalFormatting sqref="F16">
    <cfRule type="expression" dxfId="143" priority="138" stopIfTrue="1">
      <formula>#REF!&lt;=3</formula>
    </cfRule>
  </conditionalFormatting>
  <conditionalFormatting sqref="F16">
    <cfRule type="expression" dxfId="142" priority="139" stopIfTrue="1">
      <formula>#REF!&lt;=3</formula>
    </cfRule>
  </conditionalFormatting>
  <conditionalFormatting sqref="F9">
    <cfRule type="expression" dxfId="141" priority="136" stopIfTrue="1">
      <formula>#REF!&lt;=3</formula>
    </cfRule>
  </conditionalFormatting>
  <conditionalFormatting sqref="F9">
    <cfRule type="expression" dxfId="140" priority="137" stopIfTrue="1">
      <formula>#REF!&lt;=3</formula>
    </cfRule>
  </conditionalFormatting>
  <conditionalFormatting sqref="F11">
    <cfRule type="expression" dxfId="139" priority="135" stopIfTrue="1">
      <formula>#REF!&lt;=3</formula>
    </cfRule>
  </conditionalFormatting>
  <conditionalFormatting sqref="H11">
    <cfRule type="expression" dxfId="138" priority="134" stopIfTrue="1">
      <formula>#REF!&gt;=7</formula>
    </cfRule>
  </conditionalFormatting>
  <conditionalFormatting sqref="F14">
    <cfRule type="expression" dxfId="137" priority="133">
      <formula>E14="N/A"</formula>
    </cfRule>
  </conditionalFormatting>
  <conditionalFormatting sqref="G14">
    <cfRule type="expression" dxfId="136" priority="132">
      <formula>E14="N/A"</formula>
    </cfRule>
  </conditionalFormatting>
  <conditionalFormatting sqref="H14">
    <cfRule type="expression" dxfId="135" priority="131">
      <formula>E14="N/A"</formula>
    </cfRule>
  </conditionalFormatting>
  <conditionalFormatting sqref="I14">
    <cfRule type="cellIs" dxfId="134" priority="122" operator="greaterThan">
      <formula>0</formula>
    </cfRule>
    <cfRule type="expression" dxfId="133" priority="130">
      <formula>E14="N/A"</formula>
    </cfRule>
  </conditionalFormatting>
  <conditionalFormatting sqref="E14">
    <cfRule type="cellIs" dxfId="132" priority="129" operator="equal">
      <formula>"N/A"</formula>
    </cfRule>
  </conditionalFormatting>
  <conditionalFormatting sqref="E12:E13">
    <cfRule type="cellIs" dxfId="131" priority="128" operator="equal">
      <formula>"N/A"</formula>
    </cfRule>
  </conditionalFormatting>
  <conditionalFormatting sqref="F12:F13">
    <cfRule type="expression" dxfId="130" priority="127">
      <formula>E12="N/A"</formula>
    </cfRule>
  </conditionalFormatting>
  <conditionalFormatting sqref="G12:G13">
    <cfRule type="expression" dxfId="129" priority="126">
      <formula>E12="N/A"</formula>
    </cfRule>
  </conditionalFormatting>
  <conditionalFormatting sqref="H12:H13">
    <cfRule type="expression" dxfId="128" priority="125">
      <formula>E12="N/A"</formula>
    </cfRule>
  </conditionalFormatting>
  <conditionalFormatting sqref="I12:I13">
    <cfRule type="cellIs" dxfId="127" priority="123" operator="greaterThan">
      <formula>0</formula>
    </cfRule>
    <cfRule type="expression" dxfId="126" priority="124">
      <formula>E12="N/A"</formula>
    </cfRule>
  </conditionalFormatting>
  <conditionalFormatting sqref="J6">
    <cfRule type="cellIs" dxfId="125" priority="119" operator="equal">
      <formula>0</formula>
    </cfRule>
    <cfRule type="expression" dxfId="124" priority="120">
      <formula>E6="N/A"</formula>
    </cfRule>
  </conditionalFormatting>
  <conditionalFormatting sqref="J7">
    <cfRule type="cellIs" dxfId="123" priority="117" operator="equal">
      <formula>0</formula>
    </cfRule>
    <cfRule type="expression" dxfId="122" priority="118">
      <formula>E7="N/A"</formula>
    </cfRule>
  </conditionalFormatting>
  <conditionalFormatting sqref="J12">
    <cfRule type="cellIs" dxfId="121" priority="115" operator="equal">
      <formula>0</formula>
    </cfRule>
    <cfRule type="expression" dxfId="120" priority="116">
      <formula>E12="N/A"</formula>
    </cfRule>
  </conditionalFormatting>
  <conditionalFormatting sqref="J13">
    <cfRule type="cellIs" dxfId="119" priority="113" operator="equal">
      <formula>0</formula>
    </cfRule>
    <cfRule type="expression" dxfId="118" priority="114">
      <formula>E13="N/A"</formula>
    </cfRule>
  </conditionalFormatting>
  <conditionalFormatting sqref="J14">
    <cfRule type="cellIs" dxfId="117" priority="111" operator="equal">
      <formula>0</formula>
    </cfRule>
    <cfRule type="expression" dxfId="116" priority="112">
      <formula>E14="N/A"</formula>
    </cfRule>
  </conditionalFormatting>
  <conditionalFormatting sqref="M12:M14">
    <cfRule type="cellIs" dxfId="115" priority="108" operator="equal">
      <formula>"Coefficient non renseigné"</formula>
    </cfRule>
    <cfRule type="cellIs" dxfId="114" priority="109" operator="equal">
      <formula>"votants &lt; participants"</formula>
    </cfRule>
    <cfRule type="cellIs" dxfId="113" priority="110" stopIfTrue="1" operator="equal">
      <formula>"Erreur : votants &gt; participants"</formula>
    </cfRule>
  </conditionalFormatting>
  <conditionalFormatting sqref="M29">
    <cfRule type="cellIs" dxfId="112" priority="105" operator="equal">
      <formula>"Coefficient non renseigné"</formula>
    </cfRule>
    <cfRule type="cellIs" dxfId="111" priority="106" operator="equal">
      <formula>"votants &lt; participants"</formula>
    </cfRule>
    <cfRule type="cellIs" dxfId="110" priority="107" stopIfTrue="1" operator="equal">
      <formula>"Erreur : votants &gt; participants"</formula>
    </cfRule>
  </conditionalFormatting>
  <conditionalFormatting sqref="E19:E20">
    <cfRule type="cellIs" dxfId="109" priority="104" operator="equal">
      <formula>"N/A"</formula>
    </cfRule>
  </conditionalFormatting>
  <conditionalFormatting sqref="F19:F20">
    <cfRule type="expression" dxfId="108" priority="103">
      <formula>E19="N/A"</formula>
    </cfRule>
  </conditionalFormatting>
  <conditionalFormatting sqref="G19:G20">
    <cfRule type="expression" dxfId="107" priority="102">
      <formula>E19="N/A"</formula>
    </cfRule>
  </conditionalFormatting>
  <conditionalFormatting sqref="H19:H20">
    <cfRule type="expression" dxfId="106" priority="101">
      <formula>E19="N/A"</formula>
    </cfRule>
  </conditionalFormatting>
  <conditionalFormatting sqref="I19:I20">
    <cfRule type="cellIs" dxfId="105" priority="99" operator="greaterThan">
      <formula>0</formula>
    </cfRule>
    <cfRule type="expression" dxfId="104" priority="100">
      <formula>E19="N/A"</formula>
    </cfRule>
  </conditionalFormatting>
  <conditionalFormatting sqref="F21">
    <cfRule type="expression" dxfId="103" priority="98">
      <formula>E21="N/A"</formula>
    </cfRule>
  </conditionalFormatting>
  <conditionalFormatting sqref="G21">
    <cfRule type="expression" dxfId="102" priority="97">
      <formula>E21="N/A"</formula>
    </cfRule>
  </conditionalFormatting>
  <conditionalFormatting sqref="H21">
    <cfRule type="expression" dxfId="101" priority="96">
      <formula>E21="N/A"</formula>
    </cfRule>
  </conditionalFormatting>
  <conditionalFormatting sqref="I21">
    <cfRule type="cellIs" dxfId="100" priority="93" operator="greaterThan">
      <formula>0</formula>
    </cfRule>
    <cfRule type="expression" dxfId="99" priority="95">
      <formula>E21="N/A"</formula>
    </cfRule>
  </conditionalFormatting>
  <conditionalFormatting sqref="E21">
    <cfRule type="cellIs" dxfId="98" priority="94" operator="equal">
      <formula>"N/A"</formula>
    </cfRule>
  </conditionalFormatting>
  <conditionalFormatting sqref="J19">
    <cfRule type="cellIs" dxfId="97" priority="89" operator="equal">
      <formula>0</formula>
    </cfRule>
    <cfRule type="expression" dxfId="96" priority="92">
      <formula>E19="N/A"</formula>
    </cfRule>
  </conditionalFormatting>
  <conditionalFormatting sqref="J21">
    <cfRule type="expression" dxfId="95" priority="91">
      <formula>E21="N/A"</formula>
    </cfRule>
  </conditionalFormatting>
  <conditionalFormatting sqref="J21">
    <cfRule type="cellIs" dxfId="94" priority="90" operator="equal">
      <formula>0</formula>
    </cfRule>
  </conditionalFormatting>
  <conditionalFormatting sqref="J20">
    <cfRule type="cellIs" dxfId="93" priority="87" operator="equal">
      <formula>0</formula>
    </cfRule>
    <cfRule type="expression" dxfId="92" priority="88">
      <formula>E20="N/A"</formula>
    </cfRule>
  </conditionalFormatting>
  <conditionalFormatting sqref="J27">
    <cfRule type="cellIs" dxfId="91" priority="68" operator="equal">
      <formula>0</formula>
    </cfRule>
    <cfRule type="expression" dxfId="90" priority="69">
      <formula>E27="N/A"</formula>
    </cfRule>
  </conditionalFormatting>
  <conditionalFormatting sqref="F27">
    <cfRule type="expression" dxfId="89" priority="86">
      <formula>E27="N/A"</formula>
    </cfRule>
  </conditionalFormatting>
  <conditionalFormatting sqref="G27">
    <cfRule type="expression" dxfId="88" priority="85">
      <formula>E27="N/A"</formula>
    </cfRule>
  </conditionalFormatting>
  <conditionalFormatting sqref="H27">
    <cfRule type="expression" dxfId="87" priority="84">
      <formula>E27="N/A"</formula>
    </cfRule>
  </conditionalFormatting>
  <conditionalFormatting sqref="I27">
    <cfRule type="cellIs" dxfId="86" priority="80" operator="greaterThan">
      <formula>0</formula>
    </cfRule>
    <cfRule type="expression" dxfId="85" priority="83">
      <formula>E27="N/A"</formula>
    </cfRule>
  </conditionalFormatting>
  <conditionalFormatting sqref="E27">
    <cfRule type="cellIs" dxfId="84" priority="82" operator="equal">
      <formula>"N/A"</formula>
    </cfRule>
  </conditionalFormatting>
  <conditionalFormatting sqref="E26">
    <cfRule type="cellIs" dxfId="83" priority="81" operator="equal">
      <formula>"N/A"</formula>
    </cfRule>
  </conditionalFormatting>
  <conditionalFormatting sqref="F28">
    <cfRule type="expression" dxfId="82" priority="79">
      <formula>E28="N/A"</formula>
    </cfRule>
  </conditionalFormatting>
  <conditionalFormatting sqref="G28">
    <cfRule type="expression" dxfId="81" priority="78">
      <formula>E28="N/A"</formula>
    </cfRule>
  </conditionalFormatting>
  <conditionalFormatting sqref="H28">
    <cfRule type="expression" dxfId="80" priority="77">
      <formula>E28="N/A"</formula>
    </cfRule>
  </conditionalFormatting>
  <conditionalFormatting sqref="I28">
    <cfRule type="cellIs" dxfId="79" priority="74" operator="greaterThan">
      <formula>0</formula>
    </cfRule>
    <cfRule type="expression" dxfId="78" priority="76">
      <formula>E28="N/A"</formula>
    </cfRule>
  </conditionalFormatting>
  <conditionalFormatting sqref="E28">
    <cfRule type="cellIs" dxfId="77" priority="75" operator="equal">
      <formula>"N/A"</formula>
    </cfRule>
  </conditionalFormatting>
  <conditionalFormatting sqref="J26">
    <cfRule type="cellIs" dxfId="76" priority="70" operator="equal">
      <formula>0</formula>
    </cfRule>
    <cfRule type="expression" dxfId="75" priority="73">
      <formula>E26="N/A"</formula>
    </cfRule>
  </conditionalFormatting>
  <conditionalFormatting sqref="J28">
    <cfRule type="expression" dxfId="74" priority="72">
      <formula>E28="N/A"</formula>
    </cfRule>
  </conditionalFormatting>
  <conditionalFormatting sqref="J28">
    <cfRule type="cellIs" dxfId="73" priority="71" operator="equal">
      <formula>0</formula>
    </cfRule>
  </conditionalFormatting>
  <conditionalFormatting sqref="L34">
    <cfRule type="expression" dxfId="72" priority="67">
      <formula>K34=0</formula>
    </cfRule>
  </conditionalFormatting>
  <conditionalFormatting sqref="L35">
    <cfRule type="expression" dxfId="71" priority="66">
      <formula>K35=0</formula>
    </cfRule>
  </conditionalFormatting>
  <conditionalFormatting sqref="K36">
    <cfRule type="cellIs" dxfId="70" priority="64" operator="equal">
      <formula>0</formula>
    </cfRule>
    <cfRule type="cellIs" dxfId="69" priority="65" operator="lessThan">
      <formula>0</formula>
    </cfRule>
  </conditionalFormatting>
  <conditionalFormatting sqref="I36:J36">
    <cfRule type="cellIs" dxfId="68" priority="63" operator="equal">
      <formula>"Manque"</formula>
    </cfRule>
  </conditionalFormatting>
  <conditionalFormatting sqref="M19">
    <cfRule type="cellIs" dxfId="67" priority="60" operator="equal">
      <formula>"Coefficient non renseigné"</formula>
    </cfRule>
    <cfRule type="cellIs" dxfId="66" priority="61" operator="equal">
      <formula>"votants &lt; participants"</formula>
    </cfRule>
    <cfRule type="cellIs" dxfId="65" priority="62" stopIfTrue="1" operator="equal">
      <formula>"Erreur : votants &gt; participants"</formula>
    </cfRule>
  </conditionalFormatting>
  <conditionalFormatting sqref="M20">
    <cfRule type="cellIs" dxfId="64" priority="57" operator="equal">
      <formula>"Coefficient non renseigné"</formula>
    </cfRule>
    <cfRule type="cellIs" dxfId="63" priority="58" operator="equal">
      <formula>"votants &lt; participants"</formula>
    </cfRule>
    <cfRule type="cellIs" dxfId="62" priority="59" stopIfTrue="1" operator="equal">
      <formula>"Erreur : votants &gt; participants"</formula>
    </cfRule>
  </conditionalFormatting>
  <conditionalFormatting sqref="L6">
    <cfRule type="expression" dxfId="61" priority="52">
      <formula>E6="N/A"</formula>
    </cfRule>
    <cfRule type="cellIs" dxfId="60" priority="53" stopIfTrue="1" operator="equal">
      <formula>"fort"</formula>
    </cfRule>
    <cfRule type="cellIs" dxfId="59" priority="54" stopIfTrue="1" operator="equal">
      <formula>"moyen"</formula>
    </cfRule>
    <cfRule type="cellIs" dxfId="58" priority="55" stopIfTrue="1" operator="equal">
      <formula>"faible"</formula>
    </cfRule>
    <cfRule type="cellIs" dxfId="57" priority="56" stopIfTrue="1" operator="equal">
      <formula>" "</formula>
    </cfRule>
  </conditionalFormatting>
  <conditionalFormatting sqref="L28">
    <cfRule type="expression" dxfId="56" priority="2">
      <formula>E28="N/A"</formula>
    </cfRule>
    <cfRule type="cellIs" dxfId="55" priority="3" stopIfTrue="1" operator="equal">
      <formula>"fort"</formula>
    </cfRule>
    <cfRule type="cellIs" dxfId="54" priority="4" stopIfTrue="1" operator="equal">
      <formula>"moyen"</formula>
    </cfRule>
    <cfRule type="cellIs" dxfId="53" priority="5" stopIfTrue="1" operator="equal">
      <formula>"faible"</formula>
    </cfRule>
    <cfRule type="cellIs" dxfId="52" priority="6" stopIfTrue="1" operator="equal">
      <formula>" "</formula>
    </cfRule>
  </conditionalFormatting>
  <conditionalFormatting sqref="L7">
    <cfRule type="expression" dxfId="51" priority="47">
      <formula>E7="N/A"</formula>
    </cfRule>
    <cfRule type="cellIs" dxfId="50" priority="48" stopIfTrue="1" operator="equal">
      <formula>"fort"</formula>
    </cfRule>
    <cfRule type="cellIs" dxfId="49" priority="49" stopIfTrue="1" operator="equal">
      <formula>"moyen"</formula>
    </cfRule>
    <cfRule type="cellIs" dxfId="48" priority="50" stopIfTrue="1" operator="equal">
      <formula>"faible"</formula>
    </cfRule>
    <cfRule type="cellIs" dxfId="47" priority="51" stopIfTrue="1" operator="equal">
      <formula>" "</formula>
    </cfRule>
  </conditionalFormatting>
  <conditionalFormatting sqref="L12">
    <cfRule type="expression" dxfId="46" priority="42">
      <formula>E12="N/A"</formula>
    </cfRule>
    <cfRule type="cellIs" dxfId="45" priority="43" stopIfTrue="1" operator="equal">
      <formula>"fort"</formula>
    </cfRule>
    <cfRule type="cellIs" dxfId="44" priority="44" stopIfTrue="1" operator="equal">
      <formula>"moyen"</formula>
    </cfRule>
    <cfRule type="cellIs" dxfId="43" priority="45" stopIfTrue="1" operator="equal">
      <formula>"faible"</formula>
    </cfRule>
    <cfRule type="cellIs" dxfId="42" priority="46" stopIfTrue="1" operator="equal">
      <formula>" "</formula>
    </cfRule>
  </conditionalFormatting>
  <conditionalFormatting sqref="L13">
    <cfRule type="expression" dxfId="41" priority="37">
      <formula>E13="N/A"</formula>
    </cfRule>
    <cfRule type="cellIs" dxfId="40" priority="38" stopIfTrue="1" operator="equal">
      <formula>"fort"</formula>
    </cfRule>
    <cfRule type="cellIs" dxfId="39" priority="39" stopIfTrue="1" operator="equal">
      <formula>"moyen"</formula>
    </cfRule>
    <cfRule type="cellIs" dxfId="38" priority="40" stopIfTrue="1" operator="equal">
      <formula>"faible"</formula>
    </cfRule>
    <cfRule type="cellIs" dxfId="37" priority="41" stopIfTrue="1" operator="equal">
      <formula>" "</formula>
    </cfRule>
  </conditionalFormatting>
  <conditionalFormatting sqref="L14">
    <cfRule type="expression" dxfId="36" priority="32">
      <formula>E14="N/A"</formula>
    </cfRule>
    <cfRule type="cellIs" dxfId="35" priority="33" stopIfTrue="1" operator="equal">
      <formula>"fort"</formula>
    </cfRule>
    <cfRule type="cellIs" dxfId="34" priority="34" stopIfTrue="1" operator="equal">
      <formula>"moyen"</formula>
    </cfRule>
    <cfRule type="cellIs" dxfId="33" priority="35" stopIfTrue="1" operator="equal">
      <formula>"faible"</formula>
    </cfRule>
    <cfRule type="cellIs" dxfId="32" priority="36" stopIfTrue="1" operator="equal">
      <formula>" "</formula>
    </cfRule>
  </conditionalFormatting>
  <conditionalFormatting sqref="L19">
    <cfRule type="expression" dxfId="31" priority="27">
      <formula>E19="N/A"</formula>
    </cfRule>
    <cfRule type="cellIs" dxfId="30" priority="28" stopIfTrue="1" operator="equal">
      <formula>"fort"</formula>
    </cfRule>
    <cfRule type="cellIs" dxfId="29" priority="29" stopIfTrue="1" operator="equal">
      <formula>"moyen"</formula>
    </cfRule>
    <cfRule type="cellIs" dxfId="28" priority="30" stopIfTrue="1" operator="equal">
      <formula>"faible"</formula>
    </cfRule>
    <cfRule type="cellIs" dxfId="27" priority="31" stopIfTrue="1" operator="equal">
      <formula>" "</formula>
    </cfRule>
  </conditionalFormatting>
  <conditionalFormatting sqref="L20">
    <cfRule type="expression" dxfId="26" priority="22">
      <formula>E20="N/A"</formula>
    </cfRule>
    <cfRule type="cellIs" dxfId="25" priority="23" stopIfTrue="1" operator="equal">
      <formula>"fort"</formula>
    </cfRule>
    <cfRule type="cellIs" dxfId="24" priority="24" stopIfTrue="1" operator="equal">
      <formula>"moyen"</formula>
    </cfRule>
    <cfRule type="cellIs" dxfId="23" priority="25" stopIfTrue="1" operator="equal">
      <formula>"faible"</formula>
    </cfRule>
    <cfRule type="cellIs" dxfId="22" priority="26" stopIfTrue="1" operator="equal">
      <formula>" "</formula>
    </cfRule>
  </conditionalFormatting>
  <conditionalFormatting sqref="L21">
    <cfRule type="expression" dxfId="21" priority="17">
      <formula>E21="N/A"</formula>
    </cfRule>
    <cfRule type="cellIs" dxfId="20" priority="18" stopIfTrue="1" operator="equal">
      <formula>"fort"</formula>
    </cfRule>
    <cfRule type="cellIs" dxfId="19" priority="19" stopIfTrue="1" operator="equal">
      <formula>"moyen"</formula>
    </cfRule>
    <cfRule type="cellIs" dxfId="18" priority="20" stopIfTrue="1" operator="equal">
      <formula>"faible"</formula>
    </cfRule>
    <cfRule type="cellIs" dxfId="17" priority="21" stopIfTrue="1" operator="equal">
      <formula>" "</formula>
    </cfRule>
  </conditionalFormatting>
  <conditionalFormatting sqref="L26">
    <cfRule type="expression" dxfId="16" priority="12">
      <formula>E26="N/A"</formula>
    </cfRule>
    <cfRule type="cellIs" dxfId="15" priority="13" stopIfTrue="1" operator="equal">
      <formula>"fort"</formula>
    </cfRule>
    <cfRule type="cellIs" dxfId="14" priority="14" stopIfTrue="1" operator="equal">
      <formula>"moyen"</formula>
    </cfRule>
    <cfRule type="cellIs" dxfId="13" priority="15" stopIfTrue="1" operator="equal">
      <formula>"faible"</formula>
    </cfRule>
    <cfRule type="cellIs" dxfId="12" priority="16" stopIfTrue="1" operator="equal">
      <formula>" "</formula>
    </cfRule>
  </conditionalFormatting>
  <conditionalFormatting sqref="L27">
    <cfRule type="expression" dxfId="11" priority="7">
      <formula>E27="N/A"</formula>
    </cfRule>
    <cfRule type="cellIs" dxfId="10" priority="8" stopIfTrue="1" operator="equal">
      <formula>"fort"</formula>
    </cfRule>
    <cfRule type="cellIs" dxfId="9" priority="9" stopIfTrue="1" operator="equal">
      <formula>"moyen"</formula>
    </cfRule>
    <cfRule type="cellIs" dxfId="8" priority="10" stopIfTrue="1" operator="equal">
      <formula>"faible"</formula>
    </cfRule>
    <cfRule type="cellIs" dxfId="7" priority="11" stopIfTrue="1" operator="equal">
      <formula>" "</formula>
    </cfRule>
  </conditionalFormatting>
  <conditionalFormatting sqref="L33">
    <cfRule type="expression" dxfId="6" priority="1">
      <formula>K33=0</formula>
    </cfRule>
  </conditionalFormatting>
  <dataValidations count="3">
    <dataValidation allowBlank="1" showInputMessage="1" showErrorMessage="1" prompt="besoin clairement déterminé" sqref="H5:H6 H12:H13 H19:H20 H26" xr:uid="{00000000-0002-0000-1000-000000000000}"/>
    <dataValidation allowBlank="1" showInputMessage="1" showErrorMessage="1" prompt="Pondération (0-5)" sqref="I4 I11 I18 I25" xr:uid="{00000000-0002-0000-1000-000001000000}"/>
    <dataValidation type="list" allowBlank="1" showInputMessage="1" showErrorMessage="1" sqref="E5:E7 E12:E14 E19:E21 E26:E28" xr:uid="{00000000-0002-0000-1000-000002000000}">
      <formula1>"N/A"</formula1>
    </dataValidation>
  </dataValidations>
  <pageMargins left="0" right="0" top="0" bottom="0" header="0" footer="0"/>
  <pageSetup paperSize="9" scale="65"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IK468"/>
  <sheetViews>
    <sheetView showGridLines="0" showRowColHeaders="0" workbookViewId="0"/>
  </sheetViews>
  <sheetFormatPr baseColWidth="10" defaultColWidth="12" defaultRowHeight="13.8" x14ac:dyDescent="0.3"/>
  <cols>
    <col min="1" max="1" width="2" style="358" customWidth="1"/>
    <col min="2" max="2" width="11.33203125" style="974" customWidth="1"/>
    <col min="3" max="6" width="12.44140625" style="974" customWidth="1"/>
    <col min="7" max="7" width="13.6640625" style="974" customWidth="1"/>
    <col min="8" max="8" width="1" style="358" customWidth="1"/>
    <col min="9" max="9" width="11.33203125" style="974" customWidth="1"/>
    <col min="10" max="12" width="12.44140625" style="974" customWidth="1"/>
    <col min="13" max="13" width="13.6640625" style="974" customWidth="1"/>
    <col min="14" max="14" width="1" style="358" customWidth="1"/>
    <col min="15" max="18" width="12.44140625" style="974" customWidth="1"/>
    <col min="19" max="19" width="13.6640625" style="974" customWidth="1"/>
    <col min="20" max="20" width="1" style="358" customWidth="1"/>
    <col min="21" max="21" width="11.33203125" style="974" customWidth="1"/>
    <col min="22" max="25" width="12.44140625" style="974" customWidth="1"/>
    <col min="26" max="26" width="1" style="358" customWidth="1"/>
    <col min="27" max="27" width="11.33203125" style="974" customWidth="1"/>
    <col min="28" max="31" width="12.44140625" style="974" customWidth="1"/>
    <col min="32" max="32" width="1" style="358" customWidth="1"/>
    <col min="33" max="33" width="11.33203125" style="974" customWidth="1"/>
    <col min="34" max="37" width="12.44140625" style="974" customWidth="1"/>
    <col min="38" max="245" width="12" style="358"/>
    <col min="246" max="16384" width="12" style="974"/>
  </cols>
  <sheetData>
    <row r="1" spans="1:245" ht="20.100000000000001" customHeight="1" x14ac:dyDescent="0.3">
      <c r="B1" s="5373" t="s">
        <v>509</v>
      </c>
      <c r="C1" s="5373"/>
      <c r="D1" s="5373"/>
      <c r="E1" s="2553"/>
      <c r="F1" s="2553"/>
      <c r="G1" s="2553"/>
      <c r="I1" s="5374" t="s">
        <v>942</v>
      </c>
      <c r="J1" s="5374"/>
      <c r="K1" s="5374"/>
      <c r="L1" s="2554">
        <f>IF(L6="mensuel",12,IF(L6="trimestriel",4,IF(L6="semestriel",2,IF(L6="annuel",1,0))))</f>
        <v>0</v>
      </c>
      <c r="M1" s="2555">
        <f>ROUND(IF(ISBLANK(M5),0,IF(L6="mensuel",M5,IF(L6="trimestriel",M5/3,IF(L6="semestriel",M5/6,IF(L6="annuel",M5/12))))),0)</f>
        <v>0</v>
      </c>
      <c r="O1" s="5374" t="s">
        <v>942</v>
      </c>
      <c r="P1" s="5374"/>
      <c r="Q1" s="5374"/>
      <c r="R1" s="2556">
        <f>IF(R6="mensuel",12,IF(R6="trimestriel",4,IF(R6="semestriel",2,IF(R6="annuel",1,0))))</f>
        <v>0</v>
      </c>
      <c r="S1" s="2555">
        <f>ROUND(IF(ISBLANK(S5),0,IF(R6="mensuel",S5,IF(R6="trimestriel",S5/3,IF(R6="semestriel",S5/6,IF(R6="annuel",S5/12))))),0)</f>
        <v>0</v>
      </c>
      <c r="U1" s="5374" t="s">
        <v>942</v>
      </c>
      <c r="V1" s="5374"/>
      <c r="W1" s="5374"/>
      <c r="X1" s="2556">
        <f>IF(X6="mensuel",12,IF(X6="trimestriel",4,IF(X6="semestriel",2,IF(X6="annuel",1,0))))</f>
        <v>0</v>
      </c>
      <c r="Y1" s="2555">
        <f>ROUND(IF(ISBLANK(Y5),0,IF(X6="mensuel",Y5,IF(X6="trimestriel",Y5/3,IF(X6="semestriel",Y5/6,IF(X6="annuel",Y5/12))))),0)</f>
        <v>0</v>
      </c>
      <c r="AA1" s="5374" t="s">
        <v>942</v>
      </c>
      <c r="AB1" s="5374"/>
      <c r="AC1" s="5374"/>
      <c r="AD1" s="2556">
        <f>IF(AD6="mensuel",12,IF(AD6="trimestriel",4,IF(AD6="semestriel",2,IF(AD6="annuel",1,0))))</f>
        <v>1</v>
      </c>
      <c r="AE1" s="2555">
        <f>ROUND(IF(ISBLANK(AE5),0,IF(AD6="mensuel",AE5,IF(AD6="trimestriel",AE5/3,IF(AD6="semestriel",AE5/6,IF(AD6="annuel",AE5/12))))),0)</f>
        <v>0</v>
      </c>
      <c r="AG1" s="5374" t="s">
        <v>942</v>
      </c>
      <c r="AH1" s="5374"/>
      <c r="AI1" s="5374"/>
      <c r="AJ1" s="2556">
        <f>IF(AJ6="mensuel",12,IF(AJ6="trimestriel",4,IF(AJ6="semestriel",2,IF(AJ6="annuel",1,0))))</f>
        <v>4</v>
      </c>
      <c r="AK1" s="2555">
        <f>ROUND(IF(ISBLANK(AK5),0,IF(AJ6="mensuel",AK5,IF(AJ6="trimestriel",AK5/3,IF(AJ6="semestriel",AK5/6,IF(AJ6="annuel",AK5/12))))),0)</f>
        <v>0</v>
      </c>
    </row>
    <row r="2" spans="1:245" ht="24.9" customHeight="1" x14ac:dyDescent="0.3">
      <c r="B2" s="5375" t="s">
        <v>943</v>
      </c>
      <c r="C2" s="5376"/>
      <c r="D2" s="5376"/>
      <c r="E2" s="5376"/>
      <c r="F2" s="5376"/>
      <c r="G2" s="5377"/>
      <c r="I2" s="5370" t="s">
        <v>944</v>
      </c>
      <c r="J2" s="5371"/>
      <c r="K2" s="5371"/>
      <c r="L2" s="5371"/>
      <c r="M2" s="5372"/>
      <c r="N2" s="975"/>
      <c r="O2" s="5370" t="s">
        <v>945</v>
      </c>
      <c r="P2" s="5371"/>
      <c r="Q2" s="5371"/>
      <c r="R2" s="5371"/>
      <c r="S2" s="5372"/>
      <c r="T2" s="975"/>
      <c r="U2" s="5370" t="s">
        <v>946</v>
      </c>
      <c r="V2" s="5371"/>
      <c r="W2" s="5371"/>
      <c r="X2" s="5371"/>
      <c r="Y2" s="5372"/>
      <c r="Z2" s="975"/>
      <c r="AA2" s="5370" t="s">
        <v>947</v>
      </c>
      <c r="AB2" s="5371"/>
      <c r="AC2" s="5371"/>
      <c r="AD2" s="5371"/>
      <c r="AE2" s="5372"/>
      <c r="AF2" s="975"/>
      <c r="AG2" s="5370" t="s">
        <v>948</v>
      </c>
      <c r="AH2" s="5371"/>
      <c r="AI2" s="5371"/>
      <c r="AJ2" s="5371"/>
      <c r="AK2" s="5372"/>
    </row>
    <row r="3" spans="1:245" s="976" customFormat="1" ht="20.100000000000001" customHeight="1" x14ac:dyDescent="0.25">
      <c r="A3" s="525"/>
      <c r="B3" s="2557" t="s">
        <v>949</v>
      </c>
      <c r="C3" s="1237" t="s">
        <v>950</v>
      </c>
      <c r="D3" s="1237" t="s">
        <v>951</v>
      </c>
      <c r="E3" s="1237" t="s">
        <v>952</v>
      </c>
      <c r="F3" s="1238" t="s">
        <v>953</v>
      </c>
      <c r="G3" s="2558" t="s">
        <v>197</v>
      </c>
      <c r="H3" s="975"/>
      <c r="I3" s="5380" t="s">
        <v>954</v>
      </c>
      <c r="J3" s="5381"/>
      <c r="K3" s="5381"/>
      <c r="L3" s="5381"/>
      <c r="M3" s="5382"/>
      <c r="N3" s="525"/>
      <c r="O3" s="5380" t="s">
        <v>954</v>
      </c>
      <c r="P3" s="5381"/>
      <c r="Q3" s="5381"/>
      <c r="R3" s="5381"/>
      <c r="S3" s="5382"/>
      <c r="T3" s="525"/>
      <c r="U3" s="5380" t="s">
        <v>954</v>
      </c>
      <c r="V3" s="5381"/>
      <c r="W3" s="5381"/>
      <c r="X3" s="5381"/>
      <c r="Y3" s="5382"/>
      <c r="Z3" s="525"/>
      <c r="AA3" s="5380" t="s">
        <v>954</v>
      </c>
      <c r="AB3" s="5381"/>
      <c r="AC3" s="5381"/>
      <c r="AD3" s="5381"/>
      <c r="AE3" s="5382"/>
      <c r="AF3" s="525"/>
      <c r="AG3" s="5380" t="s">
        <v>954</v>
      </c>
      <c r="AH3" s="5381"/>
      <c r="AI3" s="5381"/>
      <c r="AJ3" s="5381"/>
      <c r="AK3" s="5382"/>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25"/>
      <c r="CC3" s="525"/>
      <c r="CD3" s="525"/>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5"/>
      <c r="EA3" s="525"/>
      <c r="EB3" s="525"/>
      <c r="EC3" s="525"/>
      <c r="ED3" s="525"/>
      <c r="EE3" s="525"/>
      <c r="EF3" s="525"/>
      <c r="EG3" s="525"/>
      <c r="EH3" s="525"/>
      <c r="EI3" s="525"/>
      <c r="EJ3" s="525"/>
      <c r="EK3" s="525"/>
      <c r="EL3" s="525"/>
      <c r="EM3" s="525"/>
      <c r="EN3" s="525"/>
      <c r="EO3" s="525"/>
      <c r="EP3" s="525"/>
      <c r="EQ3" s="525"/>
      <c r="ER3" s="525"/>
      <c r="ES3" s="525"/>
      <c r="ET3" s="525"/>
      <c r="EU3" s="525"/>
      <c r="EV3" s="525"/>
      <c r="EW3" s="525"/>
      <c r="EX3" s="525"/>
      <c r="EY3" s="525"/>
      <c r="EZ3" s="525"/>
      <c r="FA3" s="525"/>
      <c r="FB3" s="525"/>
      <c r="FC3" s="525"/>
      <c r="FD3" s="525"/>
      <c r="FE3" s="525"/>
      <c r="FF3" s="525"/>
      <c r="FG3" s="525"/>
      <c r="FH3" s="525"/>
      <c r="FI3" s="525"/>
      <c r="FJ3" s="525"/>
      <c r="FK3" s="525"/>
      <c r="FL3" s="525"/>
      <c r="FM3" s="525"/>
      <c r="FN3" s="525"/>
      <c r="FO3" s="525"/>
      <c r="FP3" s="525"/>
      <c r="FQ3" s="525"/>
      <c r="FR3" s="525"/>
      <c r="FS3" s="525"/>
      <c r="FT3" s="525"/>
      <c r="FU3" s="525"/>
      <c r="FV3" s="525"/>
      <c r="FW3" s="525"/>
      <c r="FX3" s="525"/>
      <c r="FY3" s="525"/>
      <c r="FZ3" s="525"/>
      <c r="GA3" s="525"/>
      <c r="GB3" s="525"/>
      <c r="GC3" s="525"/>
      <c r="GD3" s="525"/>
      <c r="GE3" s="525"/>
      <c r="GF3" s="525"/>
      <c r="GG3" s="525"/>
      <c r="GH3" s="525"/>
      <c r="GI3" s="525"/>
      <c r="GJ3" s="525"/>
      <c r="GK3" s="525"/>
      <c r="GL3" s="525"/>
      <c r="GM3" s="525"/>
      <c r="GN3" s="525"/>
      <c r="GO3" s="525"/>
      <c r="GP3" s="525"/>
      <c r="GQ3" s="525"/>
      <c r="GR3" s="525"/>
      <c r="GS3" s="525"/>
      <c r="GT3" s="525"/>
      <c r="GU3" s="525"/>
      <c r="GV3" s="525"/>
      <c r="GW3" s="525"/>
      <c r="GX3" s="525"/>
      <c r="GY3" s="525"/>
      <c r="GZ3" s="525"/>
      <c r="HA3" s="525"/>
      <c r="HB3" s="525"/>
      <c r="HC3" s="525"/>
      <c r="HD3" s="525"/>
      <c r="HE3" s="525"/>
      <c r="HF3" s="525"/>
      <c r="HG3" s="525"/>
      <c r="HH3" s="525"/>
      <c r="HI3" s="525"/>
      <c r="HJ3" s="525"/>
      <c r="HK3" s="525"/>
      <c r="HL3" s="525"/>
      <c r="HM3" s="525"/>
      <c r="HN3" s="525"/>
      <c r="HO3" s="525"/>
      <c r="HP3" s="525"/>
      <c r="HQ3" s="525"/>
      <c r="HR3" s="525"/>
      <c r="HS3" s="525"/>
      <c r="HT3" s="525"/>
      <c r="HU3" s="525"/>
      <c r="HV3" s="525"/>
      <c r="HW3" s="525"/>
      <c r="HX3" s="525"/>
      <c r="HY3" s="525"/>
      <c r="HZ3" s="525"/>
      <c r="IA3" s="525"/>
      <c r="IB3" s="525"/>
      <c r="IC3" s="525"/>
      <c r="ID3" s="525"/>
      <c r="IE3" s="525"/>
      <c r="IF3" s="525"/>
      <c r="IG3" s="525"/>
      <c r="IH3" s="525"/>
      <c r="II3" s="525"/>
      <c r="IJ3" s="525"/>
      <c r="IK3" s="525"/>
    </row>
    <row r="4" spans="1:245" s="976" customFormat="1" ht="20.100000000000001" customHeight="1" x14ac:dyDescent="0.25">
      <c r="A4" s="525"/>
      <c r="B4" s="2559">
        <f>emprunt1</f>
        <v>0</v>
      </c>
      <c r="C4" s="1239">
        <f>emprunt2</f>
        <v>0</v>
      </c>
      <c r="D4" s="1240">
        <f>V4</f>
        <v>0</v>
      </c>
      <c r="E4" s="1241">
        <f>AB4</f>
        <v>0</v>
      </c>
      <c r="F4" s="1242">
        <f>AH4</f>
        <v>0</v>
      </c>
      <c r="G4" s="2560">
        <f>SUM(B4:F4)</f>
        <v>0</v>
      </c>
      <c r="H4" s="977"/>
      <c r="I4" s="2567" t="s">
        <v>49</v>
      </c>
      <c r="J4" s="1234"/>
      <c r="K4" s="5383" t="s">
        <v>955</v>
      </c>
      <c r="L4" s="5384"/>
      <c r="M4" s="2568"/>
      <c r="N4" s="977"/>
      <c r="O4" s="2567" t="s">
        <v>49</v>
      </c>
      <c r="P4" s="1234"/>
      <c r="Q4" s="5383" t="s">
        <v>955</v>
      </c>
      <c r="R4" s="5384"/>
      <c r="S4" s="2568"/>
      <c r="T4" s="978"/>
      <c r="U4" s="2567" t="s">
        <v>49</v>
      </c>
      <c r="V4" s="1234"/>
      <c r="W4" s="5383" t="s">
        <v>955</v>
      </c>
      <c r="X4" s="5384"/>
      <c r="Y4" s="2568"/>
      <c r="Z4" s="978"/>
      <c r="AA4" s="2567" t="s">
        <v>49</v>
      </c>
      <c r="AB4" s="1234"/>
      <c r="AC4" s="5383" t="s">
        <v>955</v>
      </c>
      <c r="AD4" s="5384"/>
      <c r="AE4" s="2568"/>
      <c r="AF4" s="978"/>
      <c r="AG4" s="2567" t="s">
        <v>49</v>
      </c>
      <c r="AH4" s="1234"/>
      <c r="AI4" s="5383" t="s">
        <v>955</v>
      </c>
      <c r="AJ4" s="5384"/>
      <c r="AK4" s="2568"/>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5"/>
      <c r="CA4" s="525"/>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5"/>
      <c r="EZ4" s="525"/>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5"/>
      <c r="GR4" s="525"/>
      <c r="GS4" s="525"/>
      <c r="GT4" s="525"/>
      <c r="GU4" s="525"/>
      <c r="GV4" s="525"/>
      <c r="GW4" s="525"/>
      <c r="GX4" s="525"/>
      <c r="GY4" s="525"/>
      <c r="GZ4" s="525"/>
      <c r="HA4" s="525"/>
      <c r="HB4" s="525"/>
      <c r="HC4" s="525"/>
      <c r="HD4" s="525"/>
      <c r="HE4" s="525"/>
      <c r="HF4" s="525"/>
      <c r="HG4" s="525"/>
      <c r="HH4" s="525"/>
      <c r="HI4" s="525"/>
      <c r="HJ4" s="525"/>
      <c r="HK4" s="525"/>
      <c r="HL4" s="525"/>
      <c r="HM4" s="525"/>
      <c r="HN4" s="525"/>
      <c r="HO4" s="525"/>
      <c r="HP4" s="525"/>
      <c r="HQ4" s="525"/>
      <c r="HR4" s="525"/>
      <c r="HS4" s="525"/>
      <c r="HT4" s="525"/>
      <c r="HU4" s="525"/>
      <c r="HV4" s="525"/>
      <c r="HW4" s="525"/>
      <c r="HX4" s="525"/>
      <c r="HY4" s="525"/>
      <c r="HZ4" s="525"/>
      <c r="IA4" s="525"/>
      <c r="IB4" s="525"/>
      <c r="IC4" s="525"/>
      <c r="ID4" s="525"/>
      <c r="IE4" s="525"/>
      <c r="IF4" s="525"/>
      <c r="IG4" s="525"/>
      <c r="IH4" s="525"/>
      <c r="II4" s="525"/>
      <c r="IJ4" s="525"/>
      <c r="IK4" s="525"/>
    </row>
    <row r="5" spans="1:245" s="976" customFormat="1" ht="20.100000000000001" customHeight="1" x14ac:dyDescent="0.25">
      <c r="A5" s="525"/>
      <c r="B5" s="2561">
        <f>J5</f>
        <v>0</v>
      </c>
      <c r="C5" s="1243">
        <f>P5</f>
        <v>0</v>
      </c>
      <c r="D5" s="1243">
        <f>V5</f>
        <v>0</v>
      </c>
      <c r="E5" s="1243">
        <f>AB5</f>
        <v>0</v>
      </c>
      <c r="F5" s="1244">
        <f>AH5</f>
        <v>0</v>
      </c>
      <c r="G5" s="2562" t="s">
        <v>956</v>
      </c>
      <c r="H5" s="525"/>
      <c r="I5" s="2569" t="s">
        <v>77</v>
      </c>
      <c r="J5" s="1235"/>
      <c r="K5" s="5385" t="s">
        <v>957</v>
      </c>
      <c r="L5" s="5386"/>
      <c r="M5" s="2570"/>
      <c r="N5" s="525"/>
      <c r="O5" s="2569" t="s">
        <v>77</v>
      </c>
      <c r="P5" s="1235"/>
      <c r="Q5" s="5385" t="s">
        <v>957</v>
      </c>
      <c r="R5" s="5386"/>
      <c r="S5" s="2570"/>
      <c r="T5" s="525"/>
      <c r="U5" s="2569" t="s">
        <v>77</v>
      </c>
      <c r="V5" s="1235"/>
      <c r="W5" s="5385" t="s">
        <v>957</v>
      </c>
      <c r="X5" s="5386"/>
      <c r="Y5" s="2570"/>
      <c r="Z5" s="525"/>
      <c r="AA5" s="2569" t="s">
        <v>77</v>
      </c>
      <c r="AB5" s="1235"/>
      <c r="AC5" s="5385" t="s">
        <v>957</v>
      </c>
      <c r="AD5" s="5386"/>
      <c r="AE5" s="2570"/>
      <c r="AF5" s="525"/>
      <c r="AG5" s="2569" t="s">
        <v>77</v>
      </c>
      <c r="AH5" s="1235"/>
      <c r="AI5" s="5385" t="s">
        <v>957</v>
      </c>
      <c r="AJ5" s="5386"/>
      <c r="AK5" s="2570"/>
      <c r="AL5" s="525"/>
      <c r="AM5" s="525"/>
      <c r="AN5" s="525"/>
      <c r="AO5" s="525"/>
      <c r="AP5" s="525"/>
      <c r="AQ5" s="525"/>
      <c r="AR5" s="525"/>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5"/>
      <c r="DW5" s="525"/>
      <c r="DX5" s="525"/>
      <c r="DY5" s="525"/>
      <c r="DZ5" s="525"/>
      <c r="EA5" s="525"/>
      <c r="EB5" s="525"/>
      <c r="EC5" s="525"/>
      <c r="ED5" s="525"/>
      <c r="EE5" s="525"/>
      <c r="EF5" s="525"/>
      <c r="EG5" s="525"/>
      <c r="EH5" s="525"/>
      <c r="EI5" s="525"/>
      <c r="EJ5" s="525"/>
      <c r="EK5" s="525"/>
      <c r="EL5" s="525"/>
      <c r="EM5" s="525"/>
      <c r="EN5" s="525"/>
      <c r="EO5" s="525"/>
      <c r="EP5" s="525"/>
      <c r="EQ5" s="525"/>
      <c r="ER5" s="525"/>
      <c r="ES5" s="525"/>
      <c r="ET5" s="525"/>
      <c r="EU5" s="525"/>
      <c r="EV5" s="525"/>
      <c r="EW5" s="525"/>
      <c r="EX5" s="525"/>
      <c r="EY5" s="525"/>
      <c r="EZ5" s="525"/>
      <c r="FA5" s="525"/>
      <c r="FB5" s="525"/>
      <c r="FC5" s="525"/>
      <c r="FD5" s="525"/>
      <c r="FE5" s="525"/>
      <c r="FF5" s="525"/>
      <c r="FG5" s="525"/>
      <c r="FH5" s="525"/>
      <c r="FI5" s="525"/>
      <c r="FJ5" s="525"/>
      <c r="FK5" s="525"/>
      <c r="FL5" s="525"/>
      <c r="FM5" s="525"/>
      <c r="FN5" s="525"/>
      <c r="FO5" s="525"/>
      <c r="FP5" s="525"/>
      <c r="FQ5" s="525"/>
      <c r="FR5" s="525"/>
      <c r="FS5" s="525"/>
      <c r="FT5" s="525"/>
      <c r="FU5" s="525"/>
      <c r="FV5" s="525"/>
      <c r="FW5" s="525"/>
      <c r="FX5" s="525"/>
      <c r="FY5" s="525"/>
      <c r="FZ5" s="525"/>
      <c r="GA5" s="525"/>
      <c r="GB5" s="525"/>
      <c r="GC5" s="525"/>
      <c r="GD5" s="525"/>
      <c r="GE5" s="525"/>
      <c r="GF5" s="525"/>
      <c r="GG5" s="525"/>
      <c r="GH5" s="525"/>
      <c r="GI5" s="525"/>
      <c r="GJ5" s="525"/>
      <c r="GK5" s="525"/>
      <c r="GL5" s="525"/>
      <c r="GM5" s="525"/>
      <c r="GN5" s="525"/>
      <c r="GO5" s="525"/>
      <c r="GP5" s="525"/>
      <c r="GQ5" s="525"/>
      <c r="GR5" s="525"/>
      <c r="GS5" s="525"/>
      <c r="GT5" s="525"/>
      <c r="GU5" s="525"/>
      <c r="GV5" s="525"/>
      <c r="GW5" s="525"/>
      <c r="GX5" s="525"/>
      <c r="GY5" s="525"/>
      <c r="GZ5" s="525"/>
      <c r="HA5" s="525"/>
      <c r="HB5" s="525"/>
      <c r="HC5" s="525"/>
      <c r="HD5" s="525"/>
      <c r="HE5" s="525"/>
      <c r="HF5" s="525"/>
      <c r="HG5" s="525"/>
      <c r="HH5" s="525"/>
      <c r="HI5" s="525"/>
      <c r="HJ5" s="525"/>
      <c r="HK5" s="525"/>
      <c r="HL5" s="525"/>
      <c r="HM5" s="525"/>
      <c r="HN5" s="525"/>
      <c r="HO5" s="525"/>
      <c r="HP5" s="525"/>
      <c r="HQ5" s="525"/>
      <c r="HR5" s="525"/>
      <c r="HS5" s="525"/>
      <c r="HT5" s="525"/>
      <c r="HU5" s="525"/>
      <c r="HV5" s="525"/>
      <c r="HW5" s="525"/>
      <c r="HX5" s="525"/>
      <c r="HY5" s="525"/>
      <c r="HZ5" s="525"/>
      <c r="IA5" s="525"/>
      <c r="IB5" s="525"/>
      <c r="IC5" s="525"/>
      <c r="ID5" s="525"/>
      <c r="IE5" s="525"/>
      <c r="IF5" s="525"/>
      <c r="IG5" s="525"/>
      <c r="IH5" s="525"/>
      <c r="II5" s="525"/>
      <c r="IJ5" s="525"/>
      <c r="IK5" s="525"/>
    </row>
    <row r="6" spans="1:245" s="976" customFormat="1" ht="20.100000000000001" customHeight="1" x14ac:dyDescent="0.25">
      <c r="A6" s="525"/>
      <c r="B6" s="2563">
        <f>taux_emprunt1</f>
        <v>0</v>
      </c>
      <c r="C6" s="1245">
        <f>taux_emprunt2</f>
        <v>0</v>
      </c>
      <c r="D6" s="1245">
        <f>Y4</f>
        <v>0</v>
      </c>
      <c r="E6" s="1245">
        <f>AE4</f>
        <v>0</v>
      </c>
      <c r="F6" s="1246">
        <f>AK4</f>
        <v>0</v>
      </c>
      <c r="G6" s="2564">
        <f>SUM(D8:D22)</f>
        <v>0</v>
      </c>
      <c r="H6" s="525"/>
      <c r="I6" s="5378" t="s">
        <v>958</v>
      </c>
      <c r="J6" s="5379"/>
      <c r="K6" s="5379"/>
      <c r="L6" s="1236"/>
      <c r="M6" s="2571">
        <f>IF(ISERROR(IF(L6="mensuel",J5*12,IF(L6="trimestriel",J5*4,IF(L6="semestriel",J5*2,IF(L6="annuel",J5)))))," ",IF(L6="mensuel",J5*12,IF(L6="trimestriel",J5*4,IF(L6="semestriel",J5*2,IF(L6="annuel",J5,0)))))</f>
        <v>0</v>
      </c>
      <c r="N6" s="525"/>
      <c r="O6" s="5378" t="s">
        <v>958</v>
      </c>
      <c r="P6" s="5379"/>
      <c r="Q6" s="5379"/>
      <c r="R6" s="1236"/>
      <c r="S6" s="2571">
        <f>IF(ISERROR(IF(R6="mensuel",P5*12,IF(R6="trimestriel",P5*4,IF(R6="semestriel",P5*2,IF(R6="annuel",P5)))))," ",IF(R6="mensuel",P5*12,IF(R6="trimestriel",P5*4,IF(R6="semestriel",P5*2,IF(R6="annuel",P5,0)))))</f>
        <v>0</v>
      </c>
      <c r="T6" s="525"/>
      <c r="U6" s="5378" t="s">
        <v>958</v>
      </c>
      <c r="V6" s="5379"/>
      <c r="W6" s="5379"/>
      <c r="X6" s="1236"/>
      <c r="Y6" s="2571">
        <f>IF(ISERROR(IF(X6="mensuel",V5*12,IF(X6="trimestriel",V5*4,IF(X6="semestriel",V5*2,IF(X6="annuel",V5)))))," ",IF(X6="mensuel",V5*12,IF(X6="trimestriel",V5*4,IF(X6="semestriel",V5*2,IF(X6="annuel",V5,0)))))</f>
        <v>0</v>
      </c>
      <c r="Z6" s="525"/>
      <c r="AA6" s="5378" t="s">
        <v>958</v>
      </c>
      <c r="AB6" s="5379"/>
      <c r="AC6" s="5379"/>
      <c r="AD6" s="1236" t="s">
        <v>1272</v>
      </c>
      <c r="AE6" s="2571">
        <f>IF(ISERROR(IF(AD6="mensuel",AB5*12,IF(AD6="trimestriel",AB5*4,IF(AD6="semestriel",AB5*2,IF(AD6="annuel",AB5)))))," ",IF(AD6="mensuel",AB5*12,IF(AD6="trimestriel",AB5*4,IF(AD6="semestriel",AB5*2,IF(AD6="annuel",AB5,0)))))</f>
        <v>0</v>
      </c>
      <c r="AF6" s="525"/>
      <c r="AG6" s="5378" t="s">
        <v>958</v>
      </c>
      <c r="AH6" s="5379"/>
      <c r="AI6" s="5379"/>
      <c r="AJ6" s="1236" t="s">
        <v>959</v>
      </c>
      <c r="AK6" s="2571">
        <f>IF(ISERROR(IF(AJ6="mensuel",AH5*12,IF(AJ6="trimestriel",AH5*4,IF(AJ6="semestriel",AH5*2,IF(AJ6="annuel",AH5)))))," ",IF(AJ6="mensuel",AH5*12,IF(AJ6="trimestriel",AH5*4,IF(AJ6="semestriel",AH5*2,IF(AJ6="annuel",AH5,0)))))</f>
        <v>0</v>
      </c>
      <c r="AL6" s="525"/>
      <c r="AM6" s="525"/>
      <c r="AN6" s="525"/>
      <c r="AO6" s="525"/>
      <c r="AP6" s="525"/>
      <c r="AQ6" s="525"/>
      <c r="AR6" s="525"/>
      <c r="AS6" s="525"/>
      <c r="AT6" s="525"/>
      <c r="AU6" s="525"/>
      <c r="AV6" s="525"/>
      <c r="AW6" s="525"/>
      <c r="AX6" s="525"/>
      <c r="AY6" s="525"/>
      <c r="AZ6" s="525"/>
      <c r="BA6" s="525"/>
      <c r="BB6" s="525"/>
      <c r="BC6" s="525"/>
      <c r="BD6" s="525"/>
      <c r="BE6" s="525"/>
      <c r="BF6" s="525"/>
      <c r="BG6" s="525"/>
      <c r="BH6" s="525"/>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c r="CL6" s="525"/>
      <c r="CM6" s="525"/>
      <c r="CN6" s="525"/>
      <c r="CO6" s="525"/>
      <c r="CP6" s="525"/>
      <c r="CQ6" s="525"/>
      <c r="CR6" s="525"/>
      <c r="CS6" s="525"/>
      <c r="CT6" s="525"/>
      <c r="CU6" s="525"/>
      <c r="CV6" s="525"/>
      <c r="CW6" s="525"/>
      <c r="CX6" s="525"/>
      <c r="CY6" s="525"/>
      <c r="CZ6" s="525"/>
      <c r="DA6" s="525"/>
      <c r="DB6" s="525"/>
      <c r="DC6" s="525"/>
      <c r="DD6" s="525"/>
      <c r="DE6" s="525"/>
      <c r="DF6" s="525"/>
      <c r="DG6" s="525"/>
      <c r="DH6" s="525"/>
      <c r="DI6" s="525"/>
      <c r="DJ6" s="525"/>
      <c r="DK6" s="525"/>
      <c r="DL6" s="525"/>
      <c r="DM6" s="525"/>
      <c r="DN6" s="525"/>
      <c r="DO6" s="525"/>
      <c r="DP6" s="525"/>
      <c r="DQ6" s="525"/>
      <c r="DR6" s="525"/>
      <c r="DS6" s="525"/>
      <c r="DT6" s="525"/>
      <c r="DU6" s="525"/>
      <c r="DV6" s="525"/>
      <c r="DW6" s="525"/>
      <c r="DX6" s="525"/>
      <c r="DY6" s="525"/>
      <c r="DZ6" s="525"/>
      <c r="EA6" s="525"/>
      <c r="EB6" s="525"/>
      <c r="EC6" s="525"/>
      <c r="ED6" s="525"/>
      <c r="EE6" s="525"/>
      <c r="EF6" s="525"/>
      <c r="EG6" s="525"/>
      <c r="EH6" s="525"/>
      <c r="EI6" s="525"/>
      <c r="EJ6" s="525"/>
      <c r="EK6" s="525"/>
      <c r="EL6" s="525"/>
      <c r="EM6" s="525"/>
      <c r="EN6" s="525"/>
      <c r="EO6" s="525"/>
      <c r="EP6" s="525"/>
      <c r="EQ6" s="525"/>
      <c r="ER6" s="525"/>
      <c r="ES6" s="525"/>
      <c r="ET6" s="525"/>
      <c r="EU6" s="525"/>
      <c r="EV6" s="525"/>
      <c r="EW6" s="525"/>
      <c r="EX6" s="525"/>
      <c r="EY6" s="525"/>
      <c r="EZ6" s="525"/>
      <c r="FA6" s="525"/>
      <c r="FB6" s="525"/>
      <c r="FC6" s="525"/>
      <c r="FD6" s="525"/>
      <c r="FE6" s="525"/>
      <c r="FF6" s="525"/>
      <c r="FG6" s="525"/>
      <c r="FH6" s="525"/>
      <c r="FI6" s="525"/>
      <c r="FJ6" s="525"/>
      <c r="FK6" s="525"/>
      <c r="FL6" s="525"/>
      <c r="FM6" s="525"/>
      <c r="FN6" s="525"/>
      <c r="FO6" s="525"/>
      <c r="FP6" s="525"/>
      <c r="FQ6" s="525"/>
      <c r="FR6" s="525"/>
      <c r="FS6" s="525"/>
      <c r="FT6" s="525"/>
      <c r="FU6" s="525"/>
      <c r="FV6" s="525"/>
      <c r="FW6" s="525"/>
      <c r="FX6" s="525"/>
      <c r="FY6" s="525"/>
      <c r="FZ6" s="525"/>
      <c r="GA6" s="525"/>
      <c r="GB6" s="525"/>
      <c r="GC6" s="525"/>
      <c r="GD6" s="525"/>
      <c r="GE6" s="525"/>
      <c r="GF6" s="525"/>
      <c r="GG6" s="525"/>
      <c r="GH6" s="525"/>
      <c r="GI6" s="525"/>
      <c r="GJ6" s="525"/>
      <c r="GK6" s="525"/>
      <c r="GL6" s="525"/>
      <c r="GM6" s="525"/>
      <c r="GN6" s="525"/>
      <c r="GO6" s="525"/>
      <c r="GP6" s="525"/>
      <c r="GQ6" s="525"/>
      <c r="GR6" s="525"/>
      <c r="GS6" s="525"/>
      <c r="GT6" s="525"/>
      <c r="GU6" s="525"/>
      <c r="GV6" s="525"/>
      <c r="GW6" s="525"/>
      <c r="GX6" s="525"/>
      <c r="GY6" s="525"/>
      <c r="GZ6" s="525"/>
      <c r="HA6" s="525"/>
      <c r="HB6" s="525"/>
      <c r="HC6" s="525"/>
      <c r="HD6" s="525"/>
      <c r="HE6" s="525"/>
      <c r="HF6" s="525"/>
      <c r="HG6" s="525"/>
      <c r="HH6" s="525"/>
      <c r="HI6" s="525"/>
      <c r="HJ6" s="525"/>
      <c r="HK6" s="525"/>
      <c r="HL6" s="525"/>
      <c r="HM6" s="525"/>
      <c r="HN6" s="525"/>
      <c r="HO6" s="525"/>
      <c r="HP6" s="525"/>
      <c r="HQ6" s="525"/>
      <c r="HR6" s="525"/>
      <c r="HS6" s="525"/>
      <c r="HT6" s="525"/>
      <c r="HU6" s="525"/>
      <c r="HV6" s="525"/>
      <c r="HW6" s="525"/>
      <c r="HX6" s="525"/>
      <c r="HY6" s="525"/>
      <c r="HZ6" s="525"/>
      <c r="IA6" s="525"/>
      <c r="IB6" s="525"/>
      <c r="IC6" s="525"/>
      <c r="ID6" s="525"/>
      <c r="IE6" s="525"/>
      <c r="IF6" s="525"/>
      <c r="IG6" s="525"/>
      <c r="IH6" s="525"/>
      <c r="II6" s="525"/>
      <c r="IJ6" s="525"/>
      <c r="IK6" s="525"/>
    </row>
    <row r="7" spans="1:245" s="976" customFormat="1" ht="20.100000000000001" customHeight="1" x14ac:dyDescent="0.25">
      <c r="A7" s="525"/>
      <c r="B7" s="2594" t="s">
        <v>960</v>
      </c>
      <c r="C7" s="2595" t="s">
        <v>961</v>
      </c>
      <c r="D7" s="2596" t="s">
        <v>962</v>
      </c>
      <c r="E7" s="2597" t="s">
        <v>963</v>
      </c>
      <c r="F7" s="2596" t="s">
        <v>964</v>
      </c>
      <c r="G7" s="2598"/>
      <c r="H7" s="359"/>
      <c r="I7" s="2577" t="s">
        <v>960</v>
      </c>
      <c r="J7" s="2578" t="s">
        <v>961</v>
      </c>
      <c r="K7" s="2579" t="s">
        <v>962</v>
      </c>
      <c r="L7" s="2580" t="s">
        <v>963</v>
      </c>
      <c r="M7" s="2581" t="s">
        <v>964</v>
      </c>
      <c r="N7" s="359"/>
      <c r="O7" s="2577" t="s">
        <v>960</v>
      </c>
      <c r="P7" s="2578" t="s">
        <v>961</v>
      </c>
      <c r="Q7" s="2579" t="s">
        <v>962</v>
      </c>
      <c r="R7" s="2580" t="s">
        <v>963</v>
      </c>
      <c r="S7" s="2581" t="s">
        <v>964</v>
      </c>
      <c r="T7" s="359"/>
      <c r="U7" s="2577" t="s">
        <v>960</v>
      </c>
      <c r="V7" s="2578" t="s">
        <v>961</v>
      </c>
      <c r="W7" s="2579" t="s">
        <v>962</v>
      </c>
      <c r="X7" s="2580" t="s">
        <v>963</v>
      </c>
      <c r="Y7" s="2581" t="s">
        <v>964</v>
      </c>
      <c r="Z7" s="359"/>
      <c r="AA7" s="2577" t="s">
        <v>960</v>
      </c>
      <c r="AB7" s="2578" t="s">
        <v>961</v>
      </c>
      <c r="AC7" s="2579" t="s">
        <v>962</v>
      </c>
      <c r="AD7" s="2580" t="s">
        <v>963</v>
      </c>
      <c r="AE7" s="2581" t="s">
        <v>964</v>
      </c>
      <c r="AF7" s="359"/>
      <c r="AG7" s="2577" t="s">
        <v>960</v>
      </c>
      <c r="AH7" s="2578" t="s">
        <v>961</v>
      </c>
      <c r="AI7" s="2579" t="s">
        <v>962</v>
      </c>
      <c r="AJ7" s="2580" t="s">
        <v>963</v>
      </c>
      <c r="AK7" s="2581" t="s">
        <v>964</v>
      </c>
      <c r="AL7" s="525"/>
      <c r="AM7" s="525"/>
      <c r="AN7" s="525"/>
      <c r="AO7" s="525"/>
      <c r="AP7" s="525"/>
      <c r="AQ7" s="525"/>
      <c r="AR7" s="525"/>
      <c r="AS7" s="525"/>
      <c r="AT7" s="525"/>
      <c r="AU7" s="525"/>
      <c r="AV7" s="525"/>
      <c r="AW7" s="525"/>
      <c r="AX7" s="525"/>
      <c r="AY7" s="525"/>
      <c r="AZ7" s="525"/>
      <c r="BA7" s="525"/>
      <c r="BB7" s="525"/>
      <c r="BC7" s="525"/>
      <c r="BD7" s="525"/>
      <c r="BE7" s="525"/>
      <c r="BF7" s="525"/>
      <c r="BG7" s="525"/>
      <c r="BH7" s="525"/>
      <c r="BI7" s="525"/>
      <c r="BJ7" s="525"/>
      <c r="BK7" s="525"/>
      <c r="BL7" s="525"/>
      <c r="BM7" s="525"/>
      <c r="BN7" s="525"/>
      <c r="BO7" s="525"/>
      <c r="BP7" s="525"/>
      <c r="BQ7" s="525"/>
      <c r="BR7" s="525"/>
      <c r="BS7" s="525"/>
      <c r="BT7" s="525"/>
      <c r="BU7" s="525"/>
      <c r="BV7" s="525"/>
      <c r="BW7" s="525"/>
      <c r="BX7" s="525"/>
      <c r="BY7" s="525"/>
      <c r="BZ7" s="525"/>
      <c r="CA7" s="525"/>
      <c r="CB7" s="525"/>
      <c r="CC7" s="525"/>
      <c r="CD7" s="525"/>
      <c r="CE7" s="525"/>
      <c r="CF7" s="525"/>
      <c r="CG7" s="525"/>
      <c r="CH7" s="525"/>
      <c r="CI7" s="525"/>
      <c r="CJ7" s="525"/>
      <c r="CK7" s="525"/>
      <c r="CL7" s="525"/>
      <c r="CM7" s="525"/>
      <c r="CN7" s="525"/>
      <c r="CO7" s="525"/>
      <c r="CP7" s="525"/>
      <c r="CQ7" s="525"/>
      <c r="CR7" s="525"/>
      <c r="CS7" s="525"/>
      <c r="CT7" s="525"/>
      <c r="CU7" s="525"/>
      <c r="CV7" s="525"/>
      <c r="CW7" s="525"/>
      <c r="CX7" s="525"/>
      <c r="CY7" s="525"/>
      <c r="CZ7" s="525"/>
      <c r="DA7" s="525"/>
      <c r="DB7" s="525"/>
      <c r="DC7" s="525"/>
      <c r="DD7" s="525"/>
      <c r="DE7" s="525"/>
      <c r="DF7" s="525"/>
      <c r="DG7" s="525"/>
      <c r="DH7" s="525"/>
      <c r="DI7" s="525"/>
      <c r="DJ7" s="525"/>
      <c r="DK7" s="525"/>
      <c r="DL7" s="525"/>
      <c r="DM7" s="525"/>
      <c r="DN7" s="525"/>
      <c r="DO7" s="525"/>
      <c r="DP7" s="525"/>
      <c r="DQ7" s="525"/>
      <c r="DR7" s="525"/>
      <c r="DS7" s="525"/>
      <c r="DT7" s="525"/>
      <c r="DU7" s="525"/>
      <c r="DV7" s="525"/>
      <c r="DW7" s="525"/>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5"/>
      <c r="EW7" s="525"/>
      <c r="EX7" s="525"/>
      <c r="EY7" s="525"/>
      <c r="EZ7" s="525"/>
      <c r="FA7" s="525"/>
      <c r="FB7" s="525"/>
      <c r="FC7" s="525"/>
      <c r="FD7" s="525"/>
      <c r="FE7" s="525"/>
      <c r="FF7" s="525"/>
      <c r="FG7" s="525"/>
      <c r="FH7" s="525"/>
      <c r="FI7" s="525"/>
      <c r="FJ7" s="525"/>
      <c r="FK7" s="525"/>
      <c r="FL7" s="525"/>
      <c r="FM7" s="525"/>
      <c r="FN7" s="525"/>
      <c r="FO7" s="525"/>
      <c r="FP7" s="525"/>
      <c r="FQ7" s="525"/>
      <c r="FR7" s="525"/>
      <c r="FS7" s="525"/>
      <c r="FT7" s="525"/>
      <c r="FU7" s="525"/>
      <c r="FV7" s="525"/>
      <c r="FW7" s="525"/>
      <c r="FX7" s="525"/>
      <c r="FY7" s="525"/>
      <c r="FZ7" s="525"/>
      <c r="GA7" s="525"/>
      <c r="GB7" s="525"/>
      <c r="GC7" s="525"/>
      <c r="GD7" s="525"/>
      <c r="GE7" s="525"/>
      <c r="GF7" s="525"/>
      <c r="GG7" s="525"/>
      <c r="GH7" s="525"/>
      <c r="GI7" s="525"/>
      <c r="GJ7" s="525"/>
      <c r="GK7" s="525"/>
      <c r="GL7" s="525"/>
      <c r="GM7" s="525"/>
      <c r="GN7" s="525"/>
      <c r="GO7" s="525"/>
      <c r="GP7" s="525"/>
      <c r="GQ7" s="525"/>
      <c r="GR7" s="525"/>
      <c r="GS7" s="525"/>
      <c r="GT7" s="525"/>
      <c r="GU7" s="525"/>
      <c r="GV7" s="525"/>
      <c r="GW7" s="525"/>
      <c r="GX7" s="525"/>
      <c r="GY7" s="525"/>
      <c r="GZ7" s="525"/>
      <c r="HA7" s="525"/>
      <c r="HB7" s="525"/>
      <c r="HC7" s="525"/>
      <c r="HD7" s="525"/>
      <c r="HE7" s="525"/>
      <c r="HF7" s="525"/>
      <c r="HG7" s="525"/>
      <c r="HH7" s="525"/>
      <c r="HI7" s="525"/>
      <c r="HJ7" s="525"/>
      <c r="HK7" s="525"/>
      <c r="HL7" s="525"/>
      <c r="HM7" s="525"/>
      <c r="HN7" s="525"/>
      <c r="HO7" s="525"/>
      <c r="HP7" s="525"/>
      <c r="HQ7" s="525"/>
      <c r="HR7" s="525"/>
      <c r="HS7" s="525"/>
      <c r="HT7" s="525"/>
      <c r="HU7" s="525"/>
      <c r="HV7" s="525"/>
      <c r="HW7" s="525"/>
      <c r="HX7" s="525"/>
      <c r="HY7" s="525"/>
      <c r="HZ7" s="525"/>
      <c r="IA7" s="525"/>
      <c r="IB7" s="525"/>
      <c r="IC7" s="525"/>
      <c r="ID7" s="525"/>
      <c r="IE7" s="525"/>
      <c r="IF7" s="525"/>
      <c r="IG7" s="525"/>
      <c r="IH7" s="525"/>
      <c r="II7" s="525"/>
      <c r="IJ7" s="525"/>
      <c r="IK7" s="525"/>
    </row>
    <row r="8" spans="1:245" s="976" customFormat="1" ht="20.100000000000001" customHeight="1" x14ac:dyDescent="0.25">
      <c r="A8" s="525"/>
      <c r="B8" s="2574">
        <v>1</v>
      </c>
      <c r="C8" s="2582">
        <f>J8+P8+V8+AB8+AH8</f>
        <v>0</v>
      </c>
      <c r="D8" s="2575">
        <f t="shared" ref="D8:F22" si="0">K8+Q8+W8+AC8+AI8</f>
        <v>0</v>
      </c>
      <c r="E8" s="2576">
        <f t="shared" si="0"/>
        <v>0</v>
      </c>
      <c r="F8" s="2582">
        <f t="shared" si="0"/>
        <v>0</v>
      </c>
      <c r="G8" s="2599"/>
      <c r="H8" s="525"/>
      <c r="I8" s="2574">
        <v>1</v>
      </c>
      <c r="J8" s="2582">
        <f>SUM(K8:L8)</f>
        <v>0</v>
      </c>
      <c r="K8" s="2575">
        <f>IF(L6="mensuel",SUM(K25:K36),IF(L6="trimestriel",SUM(K25:K28),IF(L6="semestriel",SUM(K25:K26),IF(L6="annuel",K25,0))))</f>
        <v>0</v>
      </c>
      <c r="L8" s="2590">
        <f>IF(L6="mensuel",SUM(L25:L36),IF(L6="trimestriel",SUM(L25:L28),IF(L6="semestriel",SUM(L25:L26),IF(L6="annuel",L25,0))))</f>
        <v>0</v>
      </c>
      <c r="M8" s="2586">
        <f>J4-L8</f>
        <v>0</v>
      </c>
      <c r="N8" s="525"/>
      <c r="O8" s="2574">
        <v>1</v>
      </c>
      <c r="P8" s="2582">
        <f>SUM(Q8:R8)</f>
        <v>0</v>
      </c>
      <c r="Q8" s="2575">
        <f>IF(R6="mensuel",SUM(Q25:Q36),IF(R6="trimestriel",SUM(Q25:Q28),IF(R6="semestriel",SUM(Q25:Q26),IF(R6="annuel",Q25,0))))</f>
        <v>0</v>
      </c>
      <c r="R8" s="2590">
        <f>IF(R6="mensuel",SUM(R25:R36),IF(R6="trimestriel",SUM(R25:R28),IF(R6="semestriel",SUM(R25:R26),IF(R6="annuel",R25,0))))</f>
        <v>0</v>
      </c>
      <c r="S8" s="2586">
        <f>P4-R8</f>
        <v>0</v>
      </c>
      <c r="T8" s="525"/>
      <c r="U8" s="2574">
        <v>1</v>
      </c>
      <c r="V8" s="2582">
        <f>SUM(W8:X8)</f>
        <v>0</v>
      </c>
      <c r="W8" s="2575">
        <f>IF(X6="mensuel",SUM(W25:W36),IF(X6="trimestriel",SUM(W25:W28),IF(X6="semestriel",SUM(W25:W26),IF(X6="annuel",W25,0))))</f>
        <v>0</v>
      </c>
      <c r="X8" s="2590">
        <f>IF(X6="mensuel",SUM(X25:X36),IF(X6="trimestriel",SUM(X25:X28),IF(X6="semestriel",SUM(X25:X26),IF(X6="annuel",X25,0))))</f>
        <v>0</v>
      </c>
      <c r="Y8" s="2586">
        <f>V4-X8</f>
        <v>0</v>
      </c>
      <c r="Z8" s="525"/>
      <c r="AA8" s="2574">
        <v>1</v>
      </c>
      <c r="AB8" s="2582">
        <f>SUM(AC8:AD8)</f>
        <v>0</v>
      </c>
      <c r="AC8" s="2575">
        <f>IF(AD6="mensuel",SUM(AC25:AC36),IF(AD6="trimestriel",SUM(AC25:AC28),IF(AD6="semestriel",SUM(AC25:AC26),IF(AD6="annuel",AC25,0))))</f>
        <v>0</v>
      </c>
      <c r="AD8" s="2590">
        <f>IF(AD6="mensuel",SUM(AD25:AD36),IF(AD6="trimestriel",SUM(AD25:AD28),IF(AD6="semestriel",SUM(AD25:AD26),IF(AD6="annuel",AD25,0))))</f>
        <v>0</v>
      </c>
      <c r="AE8" s="2586">
        <f>AB4-AD8</f>
        <v>0</v>
      </c>
      <c r="AF8" s="525"/>
      <c r="AG8" s="2574">
        <v>1</v>
      </c>
      <c r="AH8" s="2582">
        <f>SUM(AI8:AJ8)</f>
        <v>0</v>
      </c>
      <c r="AI8" s="2575">
        <f>IF(AJ6="mensuel",SUM(AI25:AI36),IF(AJ6="trimestriel",SUM(AI25:AI28),IF(AJ6="semestriel",SUM(AI25:AI26),IF(AJ6="annuel",AI25,0))))</f>
        <v>0</v>
      </c>
      <c r="AJ8" s="2590">
        <f>IF(AJ6="mensuel",SUM(AJ25:AJ36),IF(AJ6="trimestriel",SUM(AJ25:AJ28),IF(AJ6="semestriel",SUM(AJ25:AJ26),IF(AJ6="annuel",AJ25,0))))</f>
        <v>0</v>
      </c>
      <c r="AK8" s="2586">
        <f>AH4-AJ8</f>
        <v>0</v>
      </c>
      <c r="AL8" s="525"/>
      <c r="AM8" s="525"/>
      <c r="AN8" s="525"/>
      <c r="AO8" s="525"/>
      <c r="AP8" s="525"/>
      <c r="AQ8" s="525"/>
      <c r="AR8" s="525"/>
      <c r="AS8" s="525"/>
      <c r="AT8" s="525"/>
      <c r="AU8" s="525"/>
      <c r="AV8" s="525"/>
      <c r="AW8" s="525"/>
      <c r="AX8" s="525"/>
      <c r="AY8" s="525"/>
      <c r="AZ8" s="525"/>
      <c r="BA8" s="525"/>
      <c r="BB8" s="525"/>
      <c r="BC8" s="525"/>
      <c r="BD8" s="525"/>
      <c r="BE8" s="525"/>
      <c r="BF8" s="525"/>
      <c r="BG8" s="525"/>
      <c r="BH8" s="525"/>
      <c r="BI8" s="525"/>
      <c r="BJ8" s="525"/>
      <c r="BK8" s="525"/>
      <c r="BL8" s="525"/>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5"/>
      <c r="CK8" s="525"/>
      <c r="CL8" s="525"/>
      <c r="CM8" s="525"/>
      <c r="CN8" s="525"/>
      <c r="CO8" s="525"/>
      <c r="CP8" s="525"/>
      <c r="CQ8" s="525"/>
      <c r="CR8" s="525"/>
      <c r="CS8" s="525"/>
      <c r="CT8" s="525"/>
      <c r="CU8" s="525"/>
      <c r="CV8" s="525"/>
      <c r="CW8" s="525"/>
      <c r="CX8" s="525"/>
      <c r="CY8" s="525"/>
      <c r="CZ8" s="525"/>
      <c r="DA8" s="525"/>
      <c r="DB8" s="525"/>
      <c r="DC8" s="525"/>
      <c r="DD8" s="525"/>
      <c r="DE8" s="525"/>
      <c r="DF8" s="525"/>
      <c r="DG8" s="525"/>
      <c r="DH8" s="525"/>
      <c r="DI8" s="525"/>
      <c r="DJ8" s="525"/>
      <c r="DK8" s="525"/>
      <c r="DL8" s="525"/>
      <c r="DM8" s="525"/>
      <c r="DN8" s="525"/>
      <c r="DO8" s="525"/>
      <c r="DP8" s="525"/>
      <c r="DQ8" s="525"/>
      <c r="DR8" s="525"/>
      <c r="DS8" s="525"/>
      <c r="DT8" s="525"/>
      <c r="DU8" s="525"/>
      <c r="DV8" s="525"/>
      <c r="DW8" s="525"/>
      <c r="DX8" s="525"/>
      <c r="DY8" s="525"/>
      <c r="DZ8" s="525"/>
      <c r="EA8" s="525"/>
      <c r="EB8" s="525"/>
      <c r="EC8" s="525"/>
      <c r="ED8" s="525"/>
      <c r="EE8" s="525"/>
      <c r="EF8" s="525"/>
      <c r="EG8" s="525"/>
      <c r="EH8" s="525"/>
      <c r="EI8" s="525"/>
      <c r="EJ8" s="525"/>
      <c r="EK8" s="525"/>
      <c r="EL8" s="525"/>
      <c r="EM8" s="525"/>
      <c r="EN8" s="525"/>
      <c r="EO8" s="525"/>
      <c r="EP8" s="525"/>
      <c r="EQ8" s="525"/>
      <c r="ER8" s="525"/>
      <c r="ES8" s="525"/>
      <c r="ET8" s="525"/>
      <c r="EU8" s="525"/>
      <c r="EV8" s="525"/>
      <c r="EW8" s="525"/>
      <c r="EX8" s="525"/>
      <c r="EY8" s="525"/>
      <c r="EZ8" s="525"/>
      <c r="FA8" s="525"/>
      <c r="FB8" s="525"/>
      <c r="FC8" s="525"/>
      <c r="FD8" s="525"/>
      <c r="FE8" s="525"/>
      <c r="FF8" s="525"/>
      <c r="FG8" s="525"/>
      <c r="FH8" s="525"/>
      <c r="FI8" s="525"/>
      <c r="FJ8" s="525"/>
      <c r="FK8" s="525"/>
      <c r="FL8" s="525"/>
      <c r="FM8" s="525"/>
      <c r="FN8" s="525"/>
      <c r="FO8" s="525"/>
      <c r="FP8" s="525"/>
      <c r="FQ8" s="525"/>
      <c r="FR8" s="525"/>
      <c r="FS8" s="525"/>
      <c r="FT8" s="525"/>
      <c r="FU8" s="525"/>
      <c r="FV8" s="525"/>
      <c r="FW8" s="525"/>
      <c r="FX8" s="525"/>
      <c r="FY8" s="525"/>
      <c r="FZ8" s="525"/>
      <c r="GA8" s="525"/>
      <c r="GB8" s="525"/>
      <c r="GC8" s="525"/>
      <c r="GD8" s="525"/>
      <c r="GE8" s="525"/>
      <c r="GF8" s="525"/>
      <c r="GG8" s="525"/>
      <c r="GH8" s="525"/>
      <c r="GI8" s="525"/>
      <c r="GJ8" s="525"/>
      <c r="GK8" s="525"/>
      <c r="GL8" s="525"/>
      <c r="GM8" s="525"/>
      <c r="GN8" s="525"/>
      <c r="GO8" s="525"/>
      <c r="GP8" s="525"/>
      <c r="GQ8" s="525"/>
      <c r="GR8" s="525"/>
      <c r="GS8" s="525"/>
      <c r="GT8" s="525"/>
      <c r="GU8" s="525"/>
      <c r="GV8" s="525"/>
      <c r="GW8" s="525"/>
      <c r="GX8" s="525"/>
      <c r="GY8" s="525"/>
      <c r="GZ8" s="525"/>
      <c r="HA8" s="525"/>
      <c r="HB8" s="525"/>
      <c r="HC8" s="525"/>
      <c r="HD8" s="525"/>
      <c r="HE8" s="525"/>
      <c r="HF8" s="525"/>
      <c r="HG8" s="525"/>
      <c r="HH8" s="525"/>
      <c r="HI8" s="525"/>
      <c r="HJ8" s="525"/>
      <c r="HK8" s="525"/>
      <c r="HL8" s="525"/>
      <c r="HM8" s="525"/>
      <c r="HN8" s="525"/>
      <c r="HO8" s="525"/>
      <c r="HP8" s="525"/>
      <c r="HQ8" s="525"/>
      <c r="HR8" s="525"/>
      <c r="HS8" s="525"/>
      <c r="HT8" s="525"/>
      <c r="HU8" s="525"/>
      <c r="HV8" s="525"/>
      <c r="HW8" s="525"/>
      <c r="HX8" s="525"/>
      <c r="HY8" s="525"/>
      <c r="HZ8" s="525"/>
      <c r="IA8" s="525"/>
      <c r="IB8" s="525"/>
      <c r="IC8" s="525"/>
      <c r="ID8" s="525"/>
      <c r="IE8" s="525"/>
      <c r="IF8" s="525"/>
      <c r="IG8" s="525"/>
      <c r="IH8" s="525"/>
      <c r="II8" s="525"/>
      <c r="IJ8" s="525"/>
      <c r="IK8" s="525"/>
    </row>
    <row r="9" spans="1:245" s="976" customFormat="1" ht="20.100000000000001" customHeight="1" x14ac:dyDescent="0.25">
      <c r="A9" s="525"/>
      <c r="B9" s="2565">
        <v>2</v>
      </c>
      <c r="C9" s="2583">
        <f t="shared" ref="C9:C22" si="1">J9+P9+V9+AB9+AH9</f>
        <v>0</v>
      </c>
      <c r="D9" s="980">
        <f t="shared" si="0"/>
        <v>0</v>
      </c>
      <c r="E9" s="979">
        <f t="shared" si="0"/>
        <v>0</v>
      </c>
      <c r="F9" s="2583">
        <f t="shared" si="0"/>
        <v>0</v>
      </c>
      <c r="G9" s="2599"/>
      <c r="H9" s="525"/>
      <c r="I9" s="2565">
        <v>2</v>
      </c>
      <c r="J9" s="2583">
        <f t="shared" ref="J9:J22" si="2">SUM(K9:L9)</f>
        <v>0</v>
      </c>
      <c r="K9" s="980">
        <f>IF(L6="mensuel",SUM(K37:K48),IF(L6="trimestriel",SUM(K29:K32),IF(L6="semestriel",SUM(K27:K28),IF(L6="annuel",K26,0))))</f>
        <v>0</v>
      </c>
      <c r="L9" s="2591">
        <f>IF(L6="mensuel",SUM(L37:L48),IF(L6="trimestriel",SUM(L29:L32),IF(L6="semestriel",SUM(L27:L28),IF(L6="annuel",L26,0))))</f>
        <v>0</v>
      </c>
      <c r="M9" s="2587">
        <f>M8-L9</f>
        <v>0</v>
      </c>
      <c r="N9" s="525"/>
      <c r="O9" s="2565">
        <v>2</v>
      </c>
      <c r="P9" s="2583">
        <f t="shared" ref="P9:P22" si="3">SUM(Q9:R9)</f>
        <v>0</v>
      </c>
      <c r="Q9" s="980">
        <f>IF(R6="mensuel",SUM(Q37:Q48),IF(R6="trimestriel",SUM(Q29:Q32),IF(R6="semestriel",SUM(Q27:Q28),IF(R6="annuel",Q26,0))))</f>
        <v>0</v>
      </c>
      <c r="R9" s="2591">
        <f>IF(R6="mensuel",SUM(R37:R48),IF(R6="trimestriel",SUM(R29:R32),IF(R6="semestriel",SUM(R27:R28),IF(R6="annuel",R26,0))))</f>
        <v>0</v>
      </c>
      <c r="S9" s="2587">
        <f>S8-R9</f>
        <v>0</v>
      </c>
      <c r="T9" s="525"/>
      <c r="U9" s="2565">
        <v>2</v>
      </c>
      <c r="V9" s="2583">
        <f t="shared" ref="V9:V22" si="4">SUM(W9:X9)</f>
        <v>0</v>
      </c>
      <c r="W9" s="980">
        <f>IF(X6="mensuel",SUM(W37:W48),IF(X6="trimestriel",SUM(W29:W32),IF(X6="semestriel",SUM(W27:W28),IF(X6="annuel",W26,0))))</f>
        <v>0</v>
      </c>
      <c r="X9" s="2591">
        <f>IF(X6="mensuel",SUM(X37:X48),IF(X6="trimestriel",SUM(X29:X32),IF(X6="semestriel",SUM(X27:X28),IF(X6="annuel",X26,0))))</f>
        <v>0</v>
      </c>
      <c r="Y9" s="2587">
        <f>Y8-X9</f>
        <v>0</v>
      </c>
      <c r="Z9" s="525"/>
      <c r="AA9" s="2565">
        <v>2</v>
      </c>
      <c r="AB9" s="2583">
        <f t="shared" ref="AB9:AB22" si="5">SUM(AC9:AD9)</f>
        <v>0</v>
      </c>
      <c r="AC9" s="980">
        <f>IF(AD6="mensuel",SUM(AC37:AC48),IF(AD6="trimestriel",SUM(AC29:AC32),IF(AD6="semestriel",SUM(AC27:AC28),IF(AD6="annuel",AC26,0))))</f>
        <v>0</v>
      </c>
      <c r="AD9" s="2591">
        <f>IF(AD6="mensuel",SUM(AD37:AD48),IF(AD6="trimestriel",SUM(AD29:AD32),IF(AD6="semestriel",SUM(AD27:AD28),IF(AD6="annuel",AD26,0))))</f>
        <v>0</v>
      </c>
      <c r="AE9" s="2587">
        <f>AE8-AD9</f>
        <v>0</v>
      </c>
      <c r="AF9" s="525"/>
      <c r="AG9" s="2565">
        <v>2</v>
      </c>
      <c r="AH9" s="2583">
        <f t="shared" ref="AH9:AH22" si="6">SUM(AI9:AJ9)</f>
        <v>0</v>
      </c>
      <c r="AI9" s="980">
        <f>IF(AJ6="mensuel",SUM(AI37:AI48),IF(AJ6="trimestriel",SUM(AI29:AI32),IF(AJ6="semestriel",SUM(AI27:AI28),IF(AJ6="annuel",AI26,0))))</f>
        <v>0</v>
      </c>
      <c r="AJ9" s="2591">
        <f>IF(AJ6="mensuel",SUM(AJ37:AJ48),IF(AJ6="trimestriel",SUM(AJ29:AJ32),IF(AJ6="semestriel",SUM(AJ27:AJ28),IF(AJ6="annuel",AJ26,0))))</f>
        <v>0</v>
      </c>
      <c r="AK9" s="2587">
        <f>AK8-AJ9</f>
        <v>0</v>
      </c>
      <c r="AL9" s="525"/>
      <c r="AM9" s="525"/>
      <c r="AN9" s="525"/>
      <c r="AO9" s="525"/>
      <c r="AP9" s="525"/>
      <c r="AQ9" s="525"/>
      <c r="AR9" s="525"/>
      <c r="AS9" s="525"/>
      <c r="AT9" s="525"/>
      <c r="AU9" s="525"/>
      <c r="AV9" s="525"/>
      <c r="AW9" s="525"/>
      <c r="AX9" s="525"/>
      <c r="AY9" s="525"/>
      <c r="AZ9" s="525"/>
      <c r="BA9" s="525"/>
      <c r="BB9" s="525"/>
      <c r="BC9" s="525"/>
      <c r="BD9" s="525"/>
      <c r="BE9" s="525"/>
      <c r="BF9" s="525"/>
      <c r="BG9" s="525"/>
      <c r="BH9" s="525"/>
      <c r="BI9" s="525"/>
      <c r="BJ9" s="525"/>
      <c r="BK9" s="525"/>
      <c r="BL9" s="525"/>
      <c r="BM9" s="525"/>
      <c r="BN9" s="525"/>
      <c r="BO9" s="525"/>
      <c r="BP9" s="525"/>
      <c r="BQ9" s="525"/>
      <c r="BR9" s="525"/>
      <c r="BS9" s="525"/>
      <c r="BT9" s="525"/>
      <c r="BU9" s="525"/>
      <c r="BV9" s="525"/>
      <c r="BW9" s="525"/>
      <c r="BX9" s="525"/>
      <c r="BY9" s="525"/>
      <c r="BZ9" s="525"/>
      <c r="CA9" s="525"/>
      <c r="CB9" s="525"/>
      <c r="CC9" s="525"/>
      <c r="CD9" s="525"/>
      <c r="CE9" s="525"/>
      <c r="CF9" s="525"/>
      <c r="CG9" s="525"/>
      <c r="CH9" s="525"/>
      <c r="CI9" s="525"/>
      <c r="CJ9" s="525"/>
      <c r="CK9" s="525"/>
      <c r="CL9" s="525"/>
      <c r="CM9" s="525"/>
      <c r="CN9" s="525"/>
      <c r="CO9" s="525"/>
      <c r="CP9" s="525"/>
      <c r="CQ9" s="525"/>
      <c r="CR9" s="525"/>
      <c r="CS9" s="525"/>
      <c r="CT9" s="525"/>
      <c r="CU9" s="525"/>
      <c r="CV9" s="525"/>
      <c r="CW9" s="525"/>
      <c r="CX9" s="525"/>
      <c r="CY9" s="525"/>
      <c r="CZ9" s="525"/>
      <c r="DA9" s="525"/>
      <c r="DB9" s="525"/>
      <c r="DC9" s="525"/>
      <c r="DD9" s="525"/>
      <c r="DE9" s="525"/>
      <c r="DF9" s="525"/>
      <c r="DG9" s="525"/>
      <c r="DH9" s="525"/>
      <c r="DI9" s="525"/>
      <c r="DJ9" s="525"/>
      <c r="DK9" s="525"/>
      <c r="DL9" s="525"/>
      <c r="DM9" s="525"/>
      <c r="DN9" s="525"/>
      <c r="DO9" s="525"/>
      <c r="DP9" s="525"/>
      <c r="DQ9" s="525"/>
      <c r="DR9" s="525"/>
      <c r="DS9" s="525"/>
      <c r="DT9" s="525"/>
      <c r="DU9" s="525"/>
      <c r="DV9" s="525"/>
      <c r="DW9" s="525"/>
      <c r="DX9" s="525"/>
      <c r="DY9" s="525"/>
      <c r="DZ9" s="525"/>
      <c r="EA9" s="525"/>
      <c r="EB9" s="525"/>
      <c r="EC9" s="525"/>
      <c r="ED9" s="525"/>
      <c r="EE9" s="525"/>
      <c r="EF9" s="525"/>
      <c r="EG9" s="525"/>
      <c r="EH9" s="525"/>
      <c r="EI9" s="525"/>
      <c r="EJ9" s="525"/>
      <c r="EK9" s="525"/>
      <c r="EL9" s="525"/>
      <c r="EM9" s="525"/>
      <c r="EN9" s="525"/>
      <c r="EO9" s="525"/>
      <c r="EP9" s="525"/>
      <c r="EQ9" s="525"/>
      <c r="ER9" s="525"/>
      <c r="ES9" s="525"/>
      <c r="ET9" s="525"/>
      <c r="EU9" s="525"/>
      <c r="EV9" s="525"/>
      <c r="EW9" s="525"/>
      <c r="EX9" s="525"/>
      <c r="EY9" s="525"/>
      <c r="EZ9" s="525"/>
      <c r="FA9" s="525"/>
      <c r="FB9" s="525"/>
      <c r="FC9" s="525"/>
      <c r="FD9" s="525"/>
      <c r="FE9" s="525"/>
      <c r="FF9" s="525"/>
      <c r="FG9" s="525"/>
      <c r="FH9" s="525"/>
      <c r="FI9" s="525"/>
      <c r="FJ9" s="525"/>
      <c r="FK9" s="525"/>
      <c r="FL9" s="525"/>
      <c r="FM9" s="525"/>
      <c r="FN9" s="525"/>
      <c r="FO9" s="525"/>
      <c r="FP9" s="525"/>
      <c r="FQ9" s="525"/>
      <c r="FR9" s="525"/>
      <c r="FS9" s="525"/>
      <c r="FT9" s="525"/>
      <c r="FU9" s="525"/>
      <c r="FV9" s="525"/>
      <c r="FW9" s="525"/>
      <c r="FX9" s="525"/>
      <c r="FY9" s="525"/>
      <c r="FZ9" s="525"/>
      <c r="GA9" s="525"/>
      <c r="GB9" s="525"/>
      <c r="GC9" s="525"/>
      <c r="GD9" s="525"/>
      <c r="GE9" s="525"/>
      <c r="GF9" s="525"/>
      <c r="GG9" s="525"/>
      <c r="GH9" s="525"/>
      <c r="GI9" s="525"/>
      <c r="GJ9" s="525"/>
      <c r="GK9" s="525"/>
      <c r="GL9" s="525"/>
      <c r="GM9" s="525"/>
      <c r="GN9" s="525"/>
      <c r="GO9" s="525"/>
      <c r="GP9" s="525"/>
      <c r="GQ9" s="525"/>
      <c r="GR9" s="525"/>
      <c r="GS9" s="525"/>
      <c r="GT9" s="525"/>
      <c r="GU9" s="525"/>
      <c r="GV9" s="525"/>
      <c r="GW9" s="525"/>
      <c r="GX9" s="525"/>
      <c r="GY9" s="525"/>
      <c r="GZ9" s="525"/>
      <c r="HA9" s="525"/>
      <c r="HB9" s="525"/>
      <c r="HC9" s="525"/>
      <c r="HD9" s="525"/>
      <c r="HE9" s="525"/>
      <c r="HF9" s="525"/>
      <c r="HG9" s="525"/>
      <c r="HH9" s="525"/>
      <c r="HI9" s="525"/>
      <c r="HJ9" s="525"/>
      <c r="HK9" s="525"/>
      <c r="HL9" s="525"/>
      <c r="HM9" s="525"/>
      <c r="HN9" s="525"/>
      <c r="HO9" s="525"/>
      <c r="HP9" s="525"/>
      <c r="HQ9" s="525"/>
      <c r="HR9" s="525"/>
      <c r="HS9" s="525"/>
      <c r="HT9" s="525"/>
      <c r="HU9" s="525"/>
      <c r="HV9" s="525"/>
      <c r="HW9" s="525"/>
      <c r="HX9" s="525"/>
      <c r="HY9" s="525"/>
      <c r="HZ9" s="525"/>
      <c r="IA9" s="525"/>
      <c r="IB9" s="525"/>
      <c r="IC9" s="525"/>
      <c r="ID9" s="525"/>
      <c r="IE9" s="525"/>
      <c r="IF9" s="525"/>
      <c r="IG9" s="525"/>
      <c r="IH9" s="525"/>
      <c r="II9" s="525"/>
      <c r="IJ9" s="525"/>
      <c r="IK9" s="525"/>
    </row>
    <row r="10" spans="1:245" s="976" customFormat="1" ht="20.100000000000001" customHeight="1" x14ac:dyDescent="0.25">
      <c r="A10" s="525"/>
      <c r="B10" s="2565">
        <v>3</v>
      </c>
      <c r="C10" s="2583">
        <f t="shared" si="1"/>
        <v>0</v>
      </c>
      <c r="D10" s="980">
        <f t="shared" si="0"/>
        <v>0</v>
      </c>
      <c r="E10" s="979">
        <f t="shared" si="0"/>
        <v>0</v>
      </c>
      <c r="F10" s="2583">
        <f t="shared" si="0"/>
        <v>0</v>
      </c>
      <c r="G10" s="2599"/>
      <c r="H10" s="525"/>
      <c r="I10" s="2565">
        <v>3</v>
      </c>
      <c r="J10" s="2583">
        <f t="shared" si="2"/>
        <v>0</v>
      </c>
      <c r="K10" s="980">
        <f>IF(L6="mensuel",SUM(K49:K60),IF(L6="trimestriel",SUM(K33:K36),IF(L6="semestriel",SUM(K29:K30),IF(L6="annuel",K27,0))))</f>
        <v>0</v>
      </c>
      <c r="L10" s="2591">
        <f>IF(L6="mensuel",SUM(L49:L60),IF(L6="trimestriel",SUM(L33:L36),IF(L6="semestriel",SUM(L29:L30),IF(L6="annuel",L27,0))))</f>
        <v>0</v>
      </c>
      <c r="M10" s="2587">
        <f t="shared" ref="M10:M22" si="7">M9-L10</f>
        <v>0</v>
      </c>
      <c r="N10" s="525"/>
      <c r="O10" s="2565">
        <v>3</v>
      </c>
      <c r="P10" s="2583">
        <f t="shared" si="3"/>
        <v>0</v>
      </c>
      <c r="Q10" s="980">
        <f>IF(R6="mensuel",SUM(Q49:Q60),IF(R6="trimestriel",SUM(Q33:Q36),IF(R6="semestriel",SUM(Q29:Q30),IF(R6="annuel",Q27,0))))</f>
        <v>0</v>
      </c>
      <c r="R10" s="2591">
        <f>IF(R6="mensuel",SUM(R49:R60),IF(R6="trimestriel",SUM(R33:R36),IF(R6="semestriel",SUM(R29:R30),IF(R6="annuel",R27,0))))</f>
        <v>0</v>
      </c>
      <c r="S10" s="2587">
        <f t="shared" ref="S10:S22" si="8">S9-R10</f>
        <v>0</v>
      </c>
      <c r="T10" s="525"/>
      <c r="U10" s="2565">
        <v>3</v>
      </c>
      <c r="V10" s="2583">
        <f t="shared" si="4"/>
        <v>0</v>
      </c>
      <c r="W10" s="980">
        <f>IF(X6="mensuel",SUM(W49:W60),IF(X6="trimestriel",SUM(W33:W36),IF(X6="semestriel",SUM(W29:W30),IF(X6="annuel",W27,0))))</f>
        <v>0</v>
      </c>
      <c r="X10" s="2591">
        <f>IF(X6="mensuel",SUM(X49:X60),IF(X6="trimestriel",SUM(X33:X36),IF(X6="semestriel",SUM(X29:X30),IF(X6="annuel",X27,0))))</f>
        <v>0</v>
      </c>
      <c r="Y10" s="2587">
        <f t="shared" ref="Y10:Y22" si="9">Y9-X10</f>
        <v>0</v>
      </c>
      <c r="Z10" s="525"/>
      <c r="AA10" s="2565">
        <v>3</v>
      </c>
      <c r="AB10" s="2583">
        <f t="shared" si="5"/>
        <v>0</v>
      </c>
      <c r="AC10" s="980">
        <f>IF(AD6="mensuel",SUM(AC49:AC60),IF(AD6="trimestriel",SUM(AC33:AC36),IF(AD6="semestriel",SUM(AC29:AC30),IF(AD6="annuel",AC27,0))))</f>
        <v>0</v>
      </c>
      <c r="AD10" s="2591">
        <f>IF(AD6="mensuel",SUM(AD49:AD60),IF(AD6="trimestriel",SUM(AD33:AD36),IF(AD6="semestriel",SUM(AD29:AD30),IF(AD6="annuel",AD27,0))))</f>
        <v>0</v>
      </c>
      <c r="AE10" s="2587">
        <f t="shared" ref="AE10:AE22" si="10">AE9-AD10</f>
        <v>0</v>
      </c>
      <c r="AF10" s="525"/>
      <c r="AG10" s="2565">
        <v>3</v>
      </c>
      <c r="AH10" s="2583">
        <f t="shared" si="6"/>
        <v>0</v>
      </c>
      <c r="AI10" s="980">
        <f>IF(AJ6="mensuel",SUM(AI49:AI60),IF(AJ6="trimestriel",SUM(AI33:AI36),IF(AJ6="semestriel",SUM(AI29:AI30),IF(AJ6="annuel",AI27,0))))</f>
        <v>0</v>
      </c>
      <c r="AJ10" s="2591">
        <f>IF(AJ6="mensuel",SUM(AJ49:AJ60),IF(AJ6="trimestriel",SUM(AJ33:AJ36),IF(AJ6="semestriel",SUM(AJ29:AJ30),IF(AJ6="annuel",AJ27,0))))</f>
        <v>0</v>
      </c>
      <c r="AK10" s="2587">
        <f t="shared" ref="AK10:AK22" si="11">AK9-AJ10</f>
        <v>0</v>
      </c>
      <c r="AL10" s="525"/>
      <c r="AM10" s="525"/>
      <c r="AN10" s="525"/>
      <c r="AO10" s="525"/>
      <c r="AP10" s="525"/>
      <c r="AQ10" s="525"/>
      <c r="AR10" s="525"/>
      <c r="AS10" s="525"/>
      <c r="AT10" s="525"/>
      <c r="AU10" s="525"/>
      <c r="AV10" s="525"/>
      <c r="AW10" s="525"/>
      <c r="AX10" s="525"/>
      <c r="AY10" s="525"/>
      <c r="AZ10" s="525"/>
      <c r="BA10" s="525"/>
      <c r="BB10" s="525"/>
      <c r="BC10" s="525"/>
      <c r="BD10" s="525"/>
      <c r="BE10" s="525"/>
      <c r="BF10" s="525"/>
      <c r="BG10" s="525"/>
      <c r="BH10" s="525"/>
      <c r="BI10" s="525"/>
      <c r="BJ10" s="525"/>
      <c r="BK10" s="525"/>
      <c r="BL10" s="525"/>
      <c r="BM10" s="525"/>
      <c r="BN10" s="525"/>
      <c r="BO10" s="525"/>
      <c r="BP10" s="525"/>
      <c r="BQ10" s="525"/>
      <c r="BR10" s="525"/>
      <c r="BS10" s="525"/>
      <c r="BT10" s="525"/>
      <c r="BU10" s="525"/>
      <c r="BV10" s="525"/>
      <c r="BW10" s="525"/>
      <c r="BX10" s="525"/>
      <c r="BY10" s="525"/>
      <c r="BZ10" s="525"/>
      <c r="CA10" s="525"/>
      <c r="CB10" s="525"/>
      <c r="CC10" s="525"/>
      <c r="CD10" s="525"/>
      <c r="CE10" s="525"/>
      <c r="CF10" s="525"/>
      <c r="CG10" s="525"/>
      <c r="CH10" s="525"/>
      <c r="CI10" s="525"/>
      <c r="CJ10" s="525"/>
      <c r="CK10" s="525"/>
      <c r="CL10" s="525"/>
      <c r="CM10" s="525"/>
      <c r="CN10" s="525"/>
      <c r="CO10" s="525"/>
      <c r="CP10" s="525"/>
      <c r="CQ10" s="525"/>
      <c r="CR10" s="525"/>
      <c r="CS10" s="525"/>
      <c r="CT10" s="525"/>
      <c r="CU10" s="525"/>
      <c r="CV10" s="525"/>
      <c r="CW10" s="525"/>
      <c r="CX10" s="525"/>
      <c r="CY10" s="525"/>
      <c r="CZ10" s="525"/>
      <c r="DA10" s="525"/>
      <c r="DB10" s="525"/>
      <c r="DC10" s="525"/>
      <c r="DD10" s="525"/>
      <c r="DE10" s="525"/>
      <c r="DF10" s="525"/>
      <c r="DG10" s="525"/>
      <c r="DH10" s="525"/>
      <c r="DI10" s="525"/>
      <c r="DJ10" s="525"/>
      <c r="DK10" s="525"/>
      <c r="DL10" s="525"/>
      <c r="DM10" s="525"/>
      <c r="DN10" s="525"/>
      <c r="DO10" s="525"/>
      <c r="DP10" s="525"/>
      <c r="DQ10" s="525"/>
      <c r="DR10" s="525"/>
      <c r="DS10" s="525"/>
      <c r="DT10" s="525"/>
      <c r="DU10" s="525"/>
      <c r="DV10" s="525"/>
      <c r="DW10" s="525"/>
      <c r="DX10" s="525"/>
      <c r="DY10" s="525"/>
      <c r="DZ10" s="525"/>
      <c r="EA10" s="525"/>
      <c r="EB10" s="525"/>
      <c r="EC10" s="525"/>
      <c r="ED10" s="525"/>
      <c r="EE10" s="525"/>
      <c r="EF10" s="525"/>
      <c r="EG10" s="525"/>
      <c r="EH10" s="525"/>
      <c r="EI10" s="525"/>
      <c r="EJ10" s="525"/>
      <c r="EK10" s="525"/>
      <c r="EL10" s="525"/>
      <c r="EM10" s="525"/>
      <c r="EN10" s="525"/>
      <c r="EO10" s="525"/>
      <c r="EP10" s="525"/>
      <c r="EQ10" s="525"/>
      <c r="ER10" s="525"/>
      <c r="ES10" s="525"/>
      <c r="ET10" s="525"/>
      <c r="EU10" s="525"/>
      <c r="EV10" s="525"/>
      <c r="EW10" s="525"/>
      <c r="EX10" s="525"/>
      <c r="EY10" s="525"/>
      <c r="EZ10" s="525"/>
      <c r="FA10" s="525"/>
      <c r="FB10" s="525"/>
      <c r="FC10" s="525"/>
      <c r="FD10" s="525"/>
      <c r="FE10" s="525"/>
      <c r="FF10" s="525"/>
      <c r="FG10" s="525"/>
      <c r="FH10" s="525"/>
      <c r="FI10" s="525"/>
      <c r="FJ10" s="525"/>
      <c r="FK10" s="525"/>
      <c r="FL10" s="525"/>
      <c r="FM10" s="525"/>
      <c r="FN10" s="525"/>
      <c r="FO10" s="525"/>
      <c r="FP10" s="525"/>
      <c r="FQ10" s="525"/>
      <c r="FR10" s="525"/>
      <c r="FS10" s="525"/>
      <c r="FT10" s="525"/>
      <c r="FU10" s="525"/>
      <c r="FV10" s="525"/>
      <c r="FW10" s="525"/>
      <c r="FX10" s="525"/>
      <c r="FY10" s="525"/>
      <c r="FZ10" s="525"/>
      <c r="GA10" s="525"/>
      <c r="GB10" s="525"/>
      <c r="GC10" s="525"/>
      <c r="GD10" s="525"/>
      <c r="GE10" s="525"/>
      <c r="GF10" s="525"/>
      <c r="GG10" s="525"/>
      <c r="GH10" s="525"/>
      <c r="GI10" s="525"/>
      <c r="GJ10" s="525"/>
      <c r="GK10" s="525"/>
      <c r="GL10" s="525"/>
      <c r="GM10" s="525"/>
      <c r="GN10" s="525"/>
      <c r="GO10" s="525"/>
      <c r="GP10" s="525"/>
      <c r="GQ10" s="525"/>
      <c r="GR10" s="525"/>
      <c r="GS10" s="525"/>
      <c r="GT10" s="525"/>
      <c r="GU10" s="525"/>
      <c r="GV10" s="525"/>
      <c r="GW10" s="525"/>
      <c r="GX10" s="525"/>
      <c r="GY10" s="525"/>
      <c r="GZ10" s="525"/>
      <c r="HA10" s="525"/>
      <c r="HB10" s="525"/>
      <c r="HC10" s="525"/>
      <c r="HD10" s="525"/>
      <c r="HE10" s="525"/>
      <c r="HF10" s="525"/>
      <c r="HG10" s="525"/>
      <c r="HH10" s="525"/>
      <c r="HI10" s="525"/>
      <c r="HJ10" s="525"/>
      <c r="HK10" s="525"/>
      <c r="HL10" s="525"/>
      <c r="HM10" s="525"/>
      <c r="HN10" s="525"/>
      <c r="HO10" s="525"/>
      <c r="HP10" s="525"/>
      <c r="HQ10" s="525"/>
      <c r="HR10" s="525"/>
      <c r="HS10" s="525"/>
      <c r="HT10" s="525"/>
      <c r="HU10" s="525"/>
      <c r="HV10" s="525"/>
      <c r="HW10" s="525"/>
      <c r="HX10" s="525"/>
      <c r="HY10" s="525"/>
      <c r="HZ10" s="525"/>
      <c r="IA10" s="525"/>
      <c r="IB10" s="525"/>
      <c r="IC10" s="525"/>
      <c r="ID10" s="525"/>
      <c r="IE10" s="525"/>
      <c r="IF10" s="525"/>
      <c r="IG10" s="525"/>
      <c r="IH10" s="525"/>
      <c r="II10" s="525"/>
      <c r="IJ10" s="525"/>
      <c r="IK10" s="525"/>
    </row>
    <row r="11" spans="1:245" s="976" customFormat="1" ht="20.100000000000001" customHeight="1" x14ac:dyDescent="0.25">
      <c r="A11" s="525"/>
      <c r="B11" s="2565">
        <v>4</v>
      </c>
      <c r="C11" s="2583">
        <f t="shared" si="1"/>
        <v>0</v>
      </c>
      <c r="D11" s="980">
        <f t="shared" si="0"/>
        <v>0</v>
      </c>
      <c r="E11" s="979">
        <f t="shared" si="0"/>
        <v>0</v>
      </c>
      <c r="F11" s="2583">
        <f t="shared" si="0"/>
        <v>0</v>
      </c>
      <c r="G11" s="2599"/>
      <c r="H11" s="525"/>
      <c r="I11" s="2565">
        <v>4</v>
      </c>
      <c r="J11" s="2583">
        <f t="shared" si="2"/>
        <v>0</v>
      </c>
      <c r="K11" s="980">
        <f>IF(L6="mensuel",SUM(K61:K72),IF(L6="trimestriel",SUM(K37:K40),IF(L6="semestriel",SUM(K31:K32),IF(L6="annuel",K28,0))))</f>
        <v>0</v>
      </c>
      <c r="L11" s="2591">
        <f>IF(L6="mensuel",SUM(L61:L72),IF(L6="trimestriel",SUM(L37:L40),IF(L6="semestriel",SUM(L31:L32),IF(L6="annuel",L28,0))))</f>
        <v>0</v>
      </c>
      <c r="M11" s="2587">
        <f t="shared" si="7"/>
        <v>0</v>
      </c>
      <c r="N11" s="525"/>
      <c r="O11" s="2565">
        <v>4</v>
      </c>
      <c r="P11" s="2583">
        <f t="shared" si="3"/>
        <v>0</v>
      </c>
      <c r="Q11" s="980">
        <f>IF(R6="mensuel",SUM(Q61:Q72),IF(R6="trimestriel",SUM(Q37:Q40),IF(R6="semestriel",SUM(Q31:Q32),IF(R6="annuel",Q28,0))))</f>
        <v>0</v>
      </c>
      <c r="R11" s="2591">
        <f>IF(R6="mensuel",SUM(R61:R72),IF(R6="trimestriel",SUM(R37:R40),IF(R6="semestriel",SUM(R31:R32),IF(R6="annuel",R28,0))))</f>
        <v>0</v>
      </c>
      <c r="S11" s="2587">
        <f t="shared" si="8"/>
        <v>0</v>
      </c>
      <c r="T11" s="525"/>
      <c r="U11" s="2565">
        <v>4</v>
      </c>
      <c r="V11" s="2583">
        <f t="shared" si="4"/>
        <v>0</v>
      </c>
      <c r="W11" s="980">
        <f>IF(X6="mensuel",SUM(W61:W72),IF(X6="trimestriel",SUM(W37:W40),IF(X6="semestriel",SUM(W31:W32),IF(X6="annuel",W28,0))))</f>
        <v>0</v>
      </c>
      <c r="X11" s="2591">
        <f>IF(X6="mensuel",SUM(X61:X72),IF(X6="trimestriel",SUM(X37:X40),IF(X6="semestriel",SUM(X31:X32),IF(X6="annuel",X28,0))))</f>
        <v>0</v>
      </c>
      <c r="Y11" s="2587">
        <f t="shared" si="9"/>
        <v>0</v>
      </c>
      <c r="Z11" s="525"/>
      <c r="AA11" s="2565">
        <v>4</v>
      </c>
      <c r="AB11" s="2583">
        <f t="shared" si="5"/>
        <v>0</v>
      </c>
      <c r="AC11" s="980">
        <f>IF(AD6="mensuel",SUM(AC61:AC72),IF(AD6="trimestriel",SUM(AC37:AC40),IF(AD6="semestriel",SUM(AC31:AC32),IF(AD6="annuel",AC28,0))))</f>
        <v>0</v>
      </c>
      <c r="AD11" s="2591">
        <f>IF(AD6="mensuel",SUM(AD61:AD72),IF(AD6="trimestriel",SUM(AD37:AD40),IF(AD6="semestriel",SUM(AD31:AD32),IF(AD6="annuel",AD28,0))))</f>
        <v>0</v>
      </c>
      <c r="AE11" s="2587">
        <f t="shared" si="10"/>
        <v>0</v>
      </c>
      <c r="AF11" s="525"/>
      <c r="AG11" s="2565">
        <v>4</v>
      </c>
      <c r="AH11" s="2583">
        <f t="shared" si="6"/>
        <v>0</v>
      </c>
      <c r="AI11" s="980">
        <f>IF(AJ6="mensuel",SUM(AI61:AI72),IF(AJ6="trimestriel",SUM(AI37:AI40),IF(AJ6="semestriel",SUM(AI31:AI32),IF(AJ6="annuel",AI28,0))))</f>
        <v>0</v>
      </c>
      <c r="AJ11" s="2591">
        <f>IF(AJ6="mensuel",SUM(AJ61:AJ72),IF(AJ6="trimestriel",SUM(AJ37:AJ40),IF(AJ6="semestriel",SUM(AJ31:AJ32),IF(AJ6="annuel",AJ28,0))))</f>
        <v>0</v>
      </c>
      <c r="AK11" s="2587">
        <f t="shared" si="11"/>
        <v>0</v>
      </c>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c r="HF11" s="525"/>
      <c r="HG11" s="525"/>
      <c r="HH11" s="525"/>
      <c r="HI11" s="525"/>
      <c r="HJ11" s="525"/>
      <c r="HK11" s="525"/>
      <c r="HL11" s="525"/>
      <c r="HM11" s="525"/>
      <c r="HN11" s="525"/>
      <c r="HO11" s="525"/>
      <c r="HP11" s="525"/>
      <c r="HQ11" s="525"/>
      <c r="HR11" s="525"/>
      <c r="HS11" s="525"/>
      <c r="HT11" s="525"/>
      <c r="HU11" s="525"/>
      <c r="HV11" s="525"/>
      <c r="HW11" s="525"/>
      <c r="HX11" s="525"/>
      <c r="HY11" s="525"/>
      <c r="HZ11" s="525"/>
      <c r="IA11" s="525"/>
      <c r="IB11" s="525"/>
      <c r="IC11" s="525"/>
      <c r="ID11" s="525"/>
      <c r="IE11" s="525"/>
      <c r="IF11" s="525"/>
      <c r="IG11" s="525"/>
      <c r="IH11" s="525"/>
      <c r="II11" s="525"/>
      <c r="IJ11" s="525"/>
      <c r="IK11" s="525"/>
    </row>
    <row r="12" spans="1:245" s="976" customFormat="1" ht="20.100000000000001" customHeight="1" x14ac:dyDescent="0.25">
      <c r="A12" s="525"/>
      <c r="B12" s="2565">
        <v>5</v>
      </c>
      <c r="C12" s="2583">
        <f t="shared" si="1"/>
        <v>0</v>
      </c>
      <c r="D12" s="980">
        <f t="shared" si="0"/>
        <v>0</v>
      </c>
      <c r="E12" s="979">
        <f t="shared" si="0"/>
        <v>0</v>
      </c>
      <c r="F12" s="2583">
        <f t="shared" si="0"/>
        <v>0</v>
      </c>
      <c r="G12" s="2599"/>
      <c r="H12" s="525"/>
      <c r="I12" s="2565">
        <v>5</v>
      </c>
      <c r="J12" s="2583">
        <f t="shared" si="2"/>
        <v>0</v>
      </c>
      <c r="K12" s="980">
        <f>IF(L6="mensuel",SUM(K73:K84),IF(L6="trimestriel",SUM(K41:K44),IF(L6="semestriel",SUM(K33:K34),IF(L6="annuel",K29,0))))</f>
        <v>0</v>
      </c>
      <c r="L12" s="2591">
        <f>IF(L6="mensuel",SUM(L73:L84),IF(L6="trimestriel",SUM(L41:L44),IF(L6="semestriel",SUM(L33:L34),IF(L6="annuel",L29,0))))</f>
        <v>0</v>
      </c>
      <c r="M12" s="2587">
        <f t="shared" si="7"/>
        <v>0</v>
      </c>
      <c r="N12" s="525"/>
      <c r="O12" s="2565">
        <v>5</v>
      </c>
      <c r="P12" s="2583">
        <f t="shared" si="3"/>
        <v>0</v>
      </c>
      <c r="Q12" s="980">
        <f>IF(R6="mensuel",SUM(Q73:Q84),IF(R6="trimestriel",SUM(Q41:Q44),IF(R6="semestriel",SUM(Q33:Q34),IF(R6="annuel",Q29,0))))</f>
        <v>0</v>
      </c>
      <c r="R12" s="2591">
        <f>IF(R6="mensuel",SUM(R73:R84),IF(R6="trimestriel",SUM(R41:R44),IF(R6="semestriel",SUM(R33:R34),IF(R6="annuel",R29,0))))</f>
        <v>0</v>
      </c>
      <c r="S12" s="2587">
        <f t="shared" si="8"/>
        <v>0</v>
      </c>
      <c r="T12" s="525"/>
      <c r="U12" s="2565">
        <v>5</v>
      </c>
      <c r="V12" s="2583">
        <f t="shared" si="4"/>
        <v>0</v>
      </c>
      <c r="W12" s="980">
        <f>IF(X6="mensuel",SUM(W73:W84),IF(X6="trimestriel",SUM(W41:W44),IF(X6="semestriel",SUM(W33:W34),IF(X6="annuel",W29,0))))</f>
        <v>0</v>
      </c>
      <c r="X12" s="2591">
        <f>IF(X6="mensuel",SUM(X73:X84),IF(X6="trimestriel",SUM(X41:X44),IF(X6="semestriel",SUM(X33:X34),IF(X6="annuel",X29,0))))</f>
        <v>0</v>
      </c>
      <c r="Y12" s="2587">
        <f t="shared" si="9"/>
        <v>0</v>
      </c>
      <c r="Z12" s="525"/>
      <c r="AA12" s="2565">
        <v>5</v>
      </c>
      <c r="AB12" s="2583">
        <f t="shared" si="5"/>
        <v>0</v>
      </c>
      <c r="AC12" s="980">
        <f>IF(AD6="mensuel",SUM(AC73:AC84),IF(AD6="trimestriel",SUM(AC41:AC44),IF(AD6="semestriel",SUM(AC33:AC34),IF(AD6="annuel",AC29,0))))</f>
        <v>0</v>
      </c>
      <c r="AD12" s="2591">
        <f>IF(AD6="mensuel",SUM(AD73:AD84),IF(AD6="trimestriel",SUM(AD41:AD44),IF(AD6="semestriel",SUM(AD33:AD34),IF(AD6="annuel",AD29,0))))</f>
        <v>0</v>
      </c>
      <c r="AE12" s="2587">
        <f t="shared" si="10"/>
        <v>0</v>
      </c>
      <c r="AF12" s="525"/>
      <c r="AG12" s="2565">
        <v>5</v>
      </c>
      <c r="AH12" s="2583">
        <f t="shared" si="6"/>
        <v>0</v>
      </c>
      <c r="AI12" s="980">
        <f>IF(AJ6="mensuel",SUM(AI73:AI84),IF(AJ6="trimestriel",SUM(AI41:AI44),IF(AJ6="semestriel",SUM(AI33:AI34),IF(AJ6="annuel",AI29,0))))</f>
        <v>0</v>
      </c>
      <c r="AJ12" s="2591">
        <f>IF(AJ6="mensuel",SUM(AJ73:AJ84),IF(AJ6="trimestriel",SUM(AJ41:AJ44),IF(AJ6="semestriel",SUM(AJ33:AJ34),IF(AJ6="annuel",AJ29,0))))</f>
        <v>0</v>
      </c>
      <c r="AK12" s="2587">
        <f t="shared" si="11"/>
        <v>0</v>
      </c>
      <c r="AL12" s="525"/>
      <c r="AM12" s="525"/>
      <c r="AN12" s="525"/>
      <c r="AO12" s="525"/>
      <c r="AP12" s="525"/>
      <c r="AQ12" s="525"/>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5"/>
      <c r="CD12" s="525"/>
      <c r="CE12" s="525"/>
      <c r="CF12" s="525"/>
      <c r="CG12" s="525"/>
      <c r="CH12" s="525"/>
      <c r="CI12" s="525"/>
      <c r="CJ12" s="525"/>
      <c r="CK12" s="525"/>
      <c r="CL12" s="525"/>
      <c r="CM12" s="525"/>
      <c r="CN12" s="525"/>
      <c r="CO12" s="525"/>
      <c r="CP12" s="525"/>
      <c r="CQ12" s="525"/>
      <c r="CR12" s="525"/>
      <c r="CS12" s="525"/>
      <c r="CT12" s="525"/>
      <c r="CU12" s="525"/>
      <c r="CV12" s="525"/>
      <c r="CW12" s="525"/>
      <c r="CX12" s="525"/>
      <c r="CY12" s="525"/>
      <c r="CZ12" s="525"/>
      <c r="DA12" s="525"/>
      <c r="DB12" s="525"/>
      <c r="DC12" s="525"/>
      <c r="DD12" s="525"/>
      <c r="DE12" s="525"/>
      <c r="DF12" s="525"/>
      <c r="DG12" s="525"/>
      <c r="DH12" s="525"/>
      <c r="DI12" s="525"/>
      <c r="DJ12" s="525"/>
      <c r="DK12" s="525"/>
      <c r="DL12" s="525"/>
      <c r="DM12" s="525"/>
      <c r="DN12" s="525"/>
      <c r="DO12" s="525"/>
      <c r="DP12" s="525"/>
      <c r="DQ12" s="525"/>
      <c r="DR12" s="525"/>
      <c r="DS12" s="525"/>
      <c r="DT12" s="525"/>
      <c r="DU12" s="525"/>
      <c r="DV12" s="525"/>
      <c r="DW12" s="525"/>
      <c r="DX12" s="525"/>
      <c r="DY12" s="525"/>
      <c r="DZ12" s="525"/>
      <c r="EA12" s="525"/>
      <c r="EB12" s="525"/>
      <c r="EC12" s="525"/>
      <c r="ED12" s="525"/>
      <c r="EE12" s="525"/>
      <c r="EF12" s="525"/>
      <c r="EG12" s="525"/>
      <c r="EH12" s="525"/>
      <c r="EI12" s="525"/>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5"/>
      <c r="FP12" s="525"/>
      <c r="FQ12" s="525"/>
      <c r="FR12" s="525"/>
      <c r="FS12" s="525"/>
      <c r="FT12" s="525"/>
      <c r="FU12" s="525"/>
      <c r="FV12" s="525"/>
      <c r="FW12" s="525"/>
      <c r="FX12" s="525"/>
      <c r="FY12" s="525"/>
      <c r="FZ12" s="525"/>
      <c r="GA12" s="525"/>
      <c r="GB12" s="525"/>
      <c r="GC12" s="525"/>
      <c r="GD12" s="525"/>
      <c r="GE12" s="525"/>
      <c r="GF12" s="525"/>
      <c r="GG12" s="525"/>
      <c r="GH12" s="525"/>
      <c r="GI12" s="525"/>
      <c r="GJ12" s="525"/>
      <c r="GK12" s="525"/>
      <c r="GL12" s="525"/>
      <c r="GM12" s="525"/>
      <c r="GN12" s="525"/>
      <c r="GO12" s="525"/>
      <c r="GP12" s="525"/>
      <c r="GQ12" s="525"/>
      <c r="GR12" s="525"/>
      <c r="GS12" s="525"/>
      <c r="GT12" s="525"/>
      <c r="GU12" s="525"/>
      <c r="GV12" s="525"/>
      <c r="GW12" s="525"/>
      <c r="GX12" s="525"/>
      <c r="GY12" s="525"/>
      <c r="GZ12" s="525"/>
      <c r="HA12" s="525"/>
      <c r="HB12" s="525"/>
      <c r="HC12" s="525"/>
      <c r="HD12" s="525"/>
      <c r="HE12" s="525"/>
      <c r="HF12" s="525"/>
      <c r="HG12" s="525"/>
      <c r="HH12" s="525"/>
      <c r="HI12" s="525"/>
      <c r="HJ12" s="525"/>
      <c r="HK12" s="525"/>
      <c r="HL12" s="525"/>
      <c r="HM12" s="525"/>
      <c r="HN12" s="525"/>
      <c r="HO12" s="525"/>
      <c r="HP12" s="525"/>
      <c r="HQ12" s="525"/>
      <c r="HR12" s="525"/>
      <c r="HS12" s="525"/>
      <c r="HT12" s="525"/>
      <c r="HU12" s="525"/>
      <c r="HV12" s="525"/>
      <c r="HW12" s="525"/>
      <c r="HX12" s="525"/>
      <c r="HY12" s="525"/>
      <c r="HZ12" s="525"/>
      <c r="IA12" s="525"/>
      <c r="IB12" s="525"/>
      <c r="IC12" s="525"/>
      <c r="ID12" s="525"/>
      <c r="IE12" s="525"/>
      <c r="IF12" s="525"/>
      <c r="IG12" s="525"/>
      <c r="IH12" s="525"/>
      <c r="II12" s="525"/>
      <c r="IJ12" s="525"/>
      <c r="IK12" s="525"/>
    </row>
    <row r="13" spans="1:245" s="976" customFormat="1" ht="20.100000000000001" customHeight="1" x14ac:dyDescent="0.25">
      <c r="A13" s="525"/>
      <c r="B13" s="2565">
        <v>6</v>
      </c>
      <c r="C13" s="2583">
        <f t="shared" si="1"/>
        <v>0</v>
      </c>
      <c r="D13" s="980">
        <f t="shared" si="0"/>
        <v>0</v>
      </c>
      <c r="E13" s="979">
        <f t="shared" si="0"/>
        <v>0</v>
      </c>
      <c r="F13" s="2583">
        <f t="shared" si="0"/>
        <v>0</v>
      </c>
      <c r="G13" s="2599"/>
      <c r="H13" s="525"/>
      <c r="I13" s="2565">
        <v>6</v>
      </c>
      <c r="J13" s="2583">
        <f t="shared" si="2"/>
        <v>0</v>
      </c>
      <c r="K13" s="980">
        <f>IF(L6="mensuel",SUM(K85:K96),IF(L6="trimestriel",SUM(K45:K48),IF(L6="semestriel",SUM(K35:K36),IF(L6="annuel",K30,0))))</f>
        <v>0</v>
      </c>
      <c r="L13" s="2591">
        <f>IF(L6="mensuel",SUM(L85:L96),IF(L6="trimestriel",SUM(L45:L48),IF(L6="semestriel",SUM(L35:L36),IF(L6="annuel",L30,0))))</f>
        <v>0</v>
      </c>
      <c r="M13" s="2587">
        <f t="shared" si="7"/>
        <v>0</v>
      </c>
      <c r="N13" s="525"/>
      <c r="O13" s="2565">
        <v>6</v>
      </c>
      <c r="P13" s="2583">
        <f t="shared" si="3"/>
        <v>0</v>
      </c>
      <c r="Q13" s="980">
        <f>IF(R6="mensuel",SUM(Q85:Q96),IF(R6="trimestriel",SUM(Q45:Q48),IF(R6="semestriel",SUM(Q35:Q36),IF(R6="annuel",Q30,0))))</f>
        <v>0</v>
      </c>
      <c r="R13" s="2591">
        <f>IF(R6="mensuel",SUM(R85:R96),IF(R6="trimestriel",SUM(R45:R48),IF(R6="semestriel",SUM(R35:R36),IF(R6="annuel",R30,0))))</f>
        <v>0</v>
      </c>
      <c r="S13" s="2587">
        <f t="shared" si="8"/>
        <v>0</v>
      </c>
      <c r="T13" s="525"/>
      <c r="U13" s="2565">
        <v>6</v>
      </c>
      <c r="V13" s="2583">
        <f t="shared" si="4"/>
        <v>0</v>
      </c>
      <c r="W13" s="980">
        <f>IF(X6="mensuel",SUM(W85:W96),IF(X6="trimestriel",SUM(W45:W48),IF(X6="semestriel",SUM(W35:W36),IF(X6="annuel",W30,0))))</f>
        <v>0</v>
      </c>
      <c r="X13" s="2591">
        <f>IF(X6="mensuel",SUM(X85:X96),IF(X6="trimestriel",SUM(X45:X48),IF(X6="semestriel",SUM(X35:X36),IF(X6="annuel",X30,0))))</f>
        <v>0</v>
      </c>
      <c r="Y13" s="2587">
        <f t="shared" si="9"/>
        <v>0</v>
      </c>
      <c r="Z13" s="525"/>
      <c r="AA13" s="2565">
        <v>6</v>
      </c>
      <c r="AB13" s="2583">
        <f t="shared" si="5"/>
        <v>0</v>
      </c>
      <c r="AC13" s="980">
        <f>IF(AD6="mensuel",SUM(AC85:AC96),IF(AD6="trimestriel",SUM(AC45:AC48),IF(AD6="semestriel",SUM(AC35:AC36),IF(AD6="annuel",AC30,0))))</f>
        <v>0</v>
      </c>
      <c r="AD13" s="2591">
        <f>IF(AD6="mensuel",SUM(AD85:AD96),IF(AD6="trimestriel",SUM(AD45:AD48),IF(AD6="semestriel",SUM(AD35:AD36),IF(AD6="annuel",AD30,0))))</f>
        <v>0</v>
      </c>
      <c r="AE13" s="2587">
        <f t="shared" si="10"/>
        <v>0</v>
      </c>
      <c r="AF13" s="525"/>
      <c r="AG13" s="2565">
        <v>6</v>
      </c>
      <c r="AH13" s="2583">
        <f t="shared" si="6"/>
        <v>0</v>
      </c>
      <c r="AI13" s="980">
        <f>IF(AJ6="mensuel",SUM(AI85:AI96),IF(AJ6="trimestriel",SUM(AI45:AI48),IF(AJ6="semestriel",SUM(AI35:AI36),IF(AJ6="annuel",AI30,0))))</f>
        <v>0</v>
      </c>
      <c r="AJ13" s="2591">
        <f>IF(AJ6="mensuel",SUM(AJ85:AJ96),IF(AJ6="trimestriel",SUM(AJ45:AJ48),IF(AJ6="semestriel",SUM(AJ35:AJ36),IF(AJ6="annuel",AJ30,0))))</f>
        <v>0</v>
      </c>
      <c r="AK13" s="2587">
        <f t="shared" si="11"/>
        <v>0</v>
      </c>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525"/>
      <c r="BV13" s="525"/>
      <c r="BW13" s="525"/>
      <c r="BX13" s="525"/>
      <c r="BY13" s="525"/>
      <c r="BZ13" s="525"/>
      <c r="CA13" s="525"/>
      <c r="CB13" s="525"/>
      <c r="CC13" s="525"/>
      <c r="CD13" s="525"/>
      <c r="CE13" s="525"/>
      <c r="CF13" s="525"/>
      <c r="CG13" s="525"/>
      <c r="CH13" s="525"/>
      <c r="CI13" s="525"/>
      <c r="CJ13" s="525"/>
      <c r="CK13" s="525"/>
      <c r="CL13" s="525"/>
      <c r="CM13" s="525"/>
      <c r="CN13" s="525"/>
      <c r="CO13" s="525"/>
      <c r="CP13" s="525"/>
      <c r="CQ13" s="525"/>
      <c r="CR13" s="525"/>
      <c r="CS13" s="525"/>
      <c r="CT13" s="525"/>
      <c r="CU13" s="525"/>
      <c r="CV13" s="525"/>
      <c r="CW13" s="525"/>
      <c r="CX13" s="525"/>
      <c r="CY13" s="525"/>
      <c r="CZ13" s="525"/>
      <c r="DA13" s="525"/>
      <c r="DB13" s="525"/>
      <c r="DC13" s="525"/>
      <c r="DD13" s="525"/>
      <c r="DE13" s="525"/>
      <c r="DF13" s="525"/>
      <c r="DG13" s="525"/>
      <c r="DH13" s="525"/>
      <c r="DI13" s="525"/>
      <c r="DJ13" s="525"/>
      <c r="DK13" s="525"/>
      <c r="DL13" s="525"/>
      <c r="DM13" s="525"/>
      <c r="DN13" s="525"/>
      <c r="DO13" s="525"/>
      <c r="DP13" s="525"/>
      <c r="DQ13" s="525"/>
      <c r="DR13" s="525"/>
      <c r="DS13" s="525"/>
      <c r="DT13" s="525"/>
      <c r="DU13" s="525"/>
      <c r="DV13" s="525"/>
      <c r="DW13" s="525"/>
      <c r="DX13" s="525"/>
      <c r="DY13" s="525"/>
      <c r="DZ13" s="525"/>
      <c r="EA13" s="525"/>
      <c r="EB13" s="525"/>
      <c r="EC13" s="525"/>
      <c r="ED13" s="525"/>
      <c r="EE13" s="525"/>
      <c r="EF13" s="525"/>
      <c r="EG13" s="525"/>
      <c r="EH13" s="525"/>
      <c r="EI13" s="525"/>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5"/>
      <c r="GU13" s="525"/>
      <c r="GV13" s="525"/>
      <c r="GW13" s="525"/>
      <c r="GX13" s="525"/>
      <c r="GY13" s="525"/>
      <c r="GZ13" s="525"/>
      <c r="HA13" s="525"/>
      <c r="HB13" s="525"/>
      <c r="HC13" s="525"/>
      <c r="HD13" s="525"/>
      <c r="HE13" s="525"/>
      <c r="HF13" s="525"/>
      <c r="HG13" s="525"/>
      <c r="HH13" s="525"/>
      <c r="HI13" s="525"/>
      <c r="HJ13" s="525"/>
      <c r="HK13" s="525"/>
      <c r="HL13" s="525"/>
      <c r="HM13" s="525"/>
      <c r="HN13" s="525"/>
      <c r="HO13" s="525"/>
      <c r="HP13" s="525"/>
      <c r="HQ13" s="525"/>
      <c r="HR13" s="525"/>
      <c r="HS13" s="525"/>
      <c r="HT13" s="525"/>
      <c r="HU13" s="525"/>
      <c r="HV13" s="525"/>
      <c r="HW13" s="525"/>
      <c r="HX13" s="525"/>
      <c r="HY13" s="525"/>
      <c r="HZ13" s="525"/>
      <c r="IA13" s="525"/>
      <c r="IB13" s="525"/>
      <c r="IC13" s="525"/>
      <c r="ID13" s="525"/>
      <c r="IE13" s="525"/>
      <c r="IF13" s="525"/>
      <c r="IG13" s="525"/>
      <c r="IH13" s="525"/>
      <c r="II13" s="525"/>
      <c r="IJ13" s="525"/>
      <c r="IK13" s="525"/>
    </row>
    <row r="14" spans="1:245" s="976" customFormat="1" ht="20.100000000000001" customHeight="1" x14ac:dyDescent="0.25">
      <c r="A14" s="525"/>
      <c r="B14" s="2566">
        <v>7</v>
      </c>
      <c r="C14" s="2584">
        <f t="shared" si="1"/>
        <v>0</v>
      </c>
      <c r="D14" s="981">
        <f t="shared" si="0"/>
        <v>0</v>
      </c>
      <c r="E14" s="982">
        <f t="shared" si="0"/>
        <v>0</v>
      </c>
      <c r="F14" s="2584">
        <f t="shared" si="0"/>
        <v>0</v>
      </c>
      <c r="G14" s="2599"/>
      <c r="H14" s="525"/>
      <c r="I14" s="2566">
        <v>7</v>
      </c>
      <c r="J14" s="2584">
        <f t="shared" si="2"/>
        <v>0</v>
      </c>
      <c r="K14" s="981">
        <f>IF(L6="mensuel",SUM(K97:K108),IF(L6="trimestriel",SUM(K49:K52),IF(L6="semestriel",SUM(K37:K38),IF(L6="annuel",K31,0))))</f>
        <v>0</v>
      </c>
      <c r="L14" s="2592">
        <f>IF(L6="mensuel",SUM(L97:L108),IF(L6="trimestriel",SUM(L49:L52),IF(L6="semestriel",SUM(L37:L38),IF(L6="annuel",L31,0))))</f>
        <v>0</v>
      </c>
      <c r="M14" s="2588">
        <f t="shared" si="7"/>
        <v>0</v>
      </c>
      <c r="N14" s="525"/>
      <c r="O14" s="2566">
        <v>7</v>
      </c>
      <c r="P14" s="2584">
        <f t="shared" si="3"/>
        <v>0</v>
      </c>
      <c r="Q14" s="981">
        <f>IF(R6="mensuel",SUM(Q97:Q108),IF(R6="trimestriel",SUM(Q49:Q52),IF(R6="semestriel",SUM(Q37:Q38),IF(R6="annuel",Q31,0))))</f>
        <v>0</v>
      </c>
      <c r="R14" s="2592">
        <f>IF(R6="mensuel",SUM(R97:R108),IF(R6="trimestriel",SUM(R49:R52),IF(R6="semestriel",SUM(R37:R38),IF(R6="annuel",R31,0))))</f>
        <v>0</v>
      </c>
      <c r="S14" s="2588">
        <f t="shared" si="8"/>
        <v>0</v>
      </c>
      <c r="T14" s="525"/>
      <c r="U14" s="2566">
        <v>7</v>
      </c>
      <c r="V14" s="2584">
        <f t="shared" si="4"/>
        <v>0</v>
      </c>
      <c r="W14" s="981">
        <f>IF(X6="mensuel",SUM(W97:W108),IF(X6="trimestriel",SUM(W49:W52),IF(X6="semestriel",SUM(W37:W38),IF(X6="annuel",W31,0))))</f>
        <v>0</v>
      </c>
      <c r="X14" s="2592">
        <f>IF(X6="mensuel",SUM(X97:X108),IF(X6="trimestriel",SUM(X49:X52),IF(X6="semestriel",SUM(X37:X38),IF(X6="annuel",X31,0))))</f>
        <v>0</v>
      </c>
      <c r="Y14" s="2588">
        <f t="shared" si="9"/>
        <v>0</v>
      </c>
      <c r="Z14" s="525"/>
      <c r="AA14" s="2566">
        <v>7</v>
      </c>
      <c r="AB14" s="2584">
        <f t="shared" si="5"/>
        <v>0</v>
      </c>
      <c r="AC14" s="981">
        <f>IF(AD6="mensuel",SUM(AC97:AC108),IF(AD6="trimestriel",SUM(AC49:AC52),IF(AD6="semestriel",SUM(AC37:AC38),IF(AD6="annuel",AC31,0))))</f>
        <v>0</v>
      </c>
      <c r="AD14" s="2592">
        <f>IF(AD6="mensuel",SUM(AD97:AD108),IF(AD6="trimestriel",SUM(AD49:AD52),IF(AD6="semestriel",SUM(AD37:AD38),IF(AD6="annuel",AD31,0))))</f>
        <v>0</v>
      </c>
      <c r="AE14" s="2588">
        <f t="shared" si="10"/>
        <v>0</v>
      </c>
      <c r="AF14" s="525"/>
      <c r="AG14" s="2566">
        <v>7</v>
      </c>
      <c r="AH14" s="2584">
        <f t="shared" si="6"/>
        <v>0</v>
      </c>
      <c r="AI14" s="981">
        <f>IF(AJ6="mensuel",SUM(AI97:AI108),IF(AJ6="trimestriel",SUM(AI49:AI52),IF(AJ6="semestriel",SUM(AI37:AI38),IF(AJ6="annuel",AI31,0))))</f>
        <v>0</v>
      </c>
      <c r="AJ14" s="2592">
        <f>IF(AJ6="mensuel",SUM(AJ97:AJ108),IF(AJ6="trimestriel",SUM(AJ49:AJ52),IF(AJ6="semestriel",SUM(AJ37:AJ38),IF(AJ6="annuel",AJ31,0))))</f>
        <v>0</v>
      </c>
      <c r="AK14" s="2588">
        <f t="shared" si="11"/>
        <v>0</v>
      </c>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5"/>
      <c r="BI14" s="525"/>
      <c r="BJ14" s="525"/>
      <c r="BK14" s="525"/>
      <c r="BL14" s="525"/>
      <c r="BM14" s="525"/>
      <c r="BN14" s="525"/>
      <c r="BO14" s="525"/>
      <c r="BP14" s="525"/>
      <c r="BQ14" s="525"/>
      <c r="BR14" s="525"/>
      <c r="BS14" s="525"/>
      <c r="BT14" s="525"/>
      <c r="BU14" s="525"/>
      <c r="BV14" s="525"/>
      <c r="BW14" s="525"/>
      <c r="BX14" s="525"/>
      <c r="BY14" s="525"/>
      <c r="BZ14" s="525"/>
      <c r="CA14" s="525"/>
      <c r="CB14" s="525"/>
      <c r="CC14" s="525"/>
      <c r="CD14" s="525"/>
      <c r="CE14" s="525"/>
      <c r="CF14" s="525"/>
      <c r="CG14" s="525"/>
      <c r="CH14" s="525"/>
      <c r="CI14" s="525"/>
      <c r="CJ14" s="525"/>
      <c r="CK14" s="525"/>
      <c r="CL14" s="525"/>
      <c r="CM14" s="525"/>
      <c r="CN14" s="525"/>
      <c r="CO14" s="525"/>
      <c r="CP14" s="525"/>
      <c r="CQ14" s="525"/>
      <c r="CR14" s="525"/>
      <c r="CS14" s="525"/>
      <c r="CT14" s="525"/>
      <c r="CU14" s="525"/>
      <c r="CV14" s="525"/>
      <c r="CW14" s="525"/>
      <c r="CX14" s="525"/>
      <c r="CY14" s="525"/>
      <c r="CZ14" s="525"/>
      <c r="DA14" s="525"/>
      <c r="DB14" s="525"/>
      <c r="DC14" s="525"/>
      <c r="DD14" s="525"/>
      <c r="DE14" s="525"/>
      <c r="DF14" s="525"/>
      <c r="DG14" s="525"/>
      <c r="DH14" s="525"/>
      <c r="DI14" s="525"/>
      <c r="DJ14" s="525"/>
      <c r="DK14" s="525"/>
      <c r="DL14" s="525"/>
      <c r="DM14" s="525"/>
      <c r="DN14" s="525"/>
      <c r="DO14" s="525"/>
      <c r="DP14" s="525"/>
      <c r="DQ14" s="525"/>
      <c r="DR14" s="525"/>
      <c r="DS14" s="525"/>
      <c r="DT14" s="525"/>
      <c r="DU14" s="525"/>
      <c r="DV14" s="525"/>
      <c r="DW14" s="525"/>
      <c r="DX14" s="525"/>
      <c r="DY14" s="525"/>
      <c r="DZ14" s="525"/>
      <c r="EA14" s="525"/>
      <c r="EB14" s="525"/>
      <c r="EC14" s="525"/>
      <c r="ED14" s="525"/>
      <c r="EE14" s="525"/>
      <c r="EF14" s="525"/>
      <c r="EG14" s="525"/>
      <c r="EH14" s="525"/>
      <c r="EI14" s="525"/>
      <c r="EJ14" s="525"/>
      <c r="EK14" s="525"/>
      <c r="EL14" s="525"/>
      <c r="EM14" s="525"/>
      <c r="EN14" s="525"/>
      <c r="EO14" s="525"/>
      <c r="EP14" s="525"/>
      <c r="EQ14" s="525"/>
      <c r="ER14" s="525"/>
      <c r="ES14" s="525"/>
      <c r="ET14" s="525"/>
      <c r="EU14" s="525"/>
      <c r="EV14" s="525"/>
      <c r="EW14" s="525"/>
      <c r="EX14" s="525"/>
      <c r="EY14" s="525"/>
      <c r="EZ14" s="525"/>
      <c r="FA14" s="525"/>
      <c r="FB14" s="525"/>
      <c r="FC14" s="525"/>
      <c r="FD14" s="525"/>
      <c r="FE14" s="525"/>
      <c r="FF14" s="525"/>
      <c r="FG14" s="525"/>
      <c r="FH14" s="525"/>
      <c r="FI14" s="525"/>
      <c r="FJ14" s="525"/>
      <c r="FK14" s="525"/>
      <c r="FL14" s="525"/>
      <c r="FM14" s="525"/>
      <c r="FN14" s="525"/>
      <c r="FO14" s="525"/>
      <c r="FP14" s="525"/>
      <c r="FQ14" s="525"/>
      <c r="FR14" s="525"/>
      <c r="FS14" s="525"/>
      <c r="FT14" s="525"/>
      <c r="FU14" s="525"/>
      <c r="FV14" s="525"/>
      <c r="FW14" s="525"/>
      <c r="FX14" s="525"/>
      <c r="FY14" s="525"/>
      <c r="FZ14" s="525"/>
      <c r="GA14" s="525"/>
      <c r="GB14" s="525"/>
      <c r="GC14" s="525"/>
      <c r="GD14" s="525"/>
      <c r="GE14" s="525"/>
      <c r="GF14" s="525"/>
      <c r="GG14" s="525"/>
      <c r="GH14" s="525"/>
      <c r="GI14" s="525"/>
      <c r="GJ14" s="525"/>
      <c r="GK14" s="525"/>
      <c r="GL14" s="525"/>
      <c r="GM14" s="525"/>
      <c r="GN14" s="525"/>
      <c r="GO14" s="525"/>
      <c r="GP14" s="525"/>
      <c r="GQ14" s="525"/>
      <c r="GR14" s="525"/>
      <c r="GS14" s="525"/>
      <c r="GT14" s="525"/>
      <c r="GU14" s="525"/>
      <c r="GV14" s="525"/>
      <c r="GW14" s="525"/>
      <c r="GX14" s="525"/>
      <c r="GY14" s="525"/>
      <c r="GZ14" s="525"/>
      <c r="HA14" s="525"/>
      <c r="HB14" s="525"/>
      <c r="HC14" s="525"/>
      <c r="HD14" s="525"/>
      <c r="HE14" s="525"/>
      <c r="HF14" s="525"/>
      <c r="HG14" s="525"/>
      <c r="HH14" s="525"/>
      <c r="HI14" s="525"/>
      <c r="HJ14" s="525"/>
      <c r="HK14" s="525"/>
      <c r="HL14" s="525"/>
      <c r="HM14" s="525"/>
      <c r="HN14" s="525"/>
      <c r="HO14" s="525"/>
      <c r="HP14" s="525"/>
      <c r="HQ14" s="525"/>
      <c r="HR14" s="525"/>
      <c r="HS14" s="525"/>
      <c r="HT14" s="525"/>
      <c r="HU14" s="525"/>
      <c r="HV14" s="525"/>
      <c r="HW14" s="525"/>
      <c r="HX14" s="525"/>
      <c r="HY14" s="525"/>
      <c r="HZ14" s="525"/>
      <c r="IA14" s="525"/>
      <c r="IB14" s="525"/>
      <c r="IC14" s="525"/>
      <c r="ID14" s="525"/>
      <c r="IE14" s="525"/>
      <c r="IF14" s="525"/>
      <c r="IG14" s="525"/>
      <c r="IH14" s="525"/>
      <c r="II14" s="525"/>
      <c r="IJ14" s="525"/>
      <c r="IK14" s="525"/>
    </row>
    <row r="15" spans="1:245" s="976" customFormat="1" ht="20.100000000000001" customHeight="1" x14ac:dyDescent="0.25">
      <c r="A15" s="525"/>
      <c r="B15" s="2565">
        <v>8</v>
      </c>
      <c r="C15" s="2584">
        <f t="shared" si="1"/>
        <v>0</v>
      </c>
      <c r="D15" s="981">
        <f t="shared" si="0"/>
        <v>0</v>
      </c>
      <c r="E15" s="982">
        <f t="shared" si="0"/>
        <v>0</v>
      </c>
      <c r="F15" s="2584">
        <f t="shared" si="0"/>
        <v>0</v>
      </c>
      <c r="G15" s="2599"/>
      <c r="H15" s="525"/>
      <c r="I15" s="2565">
        <v>8</v>
      </c>
      <c r="J15" s="2583">
        <f t="shared" si="2"/>
        <v>0</v>
      </c>
      <c r="K15" s="980">
        <f>IF(L6="mensuel",SUM(K109:K120),IF(L6="trimestriel",SUM(K53:K56),IF(L6="semestriel",SUM(K39:K40),IF(L6="annuel",K32,0))))</f>
        <v>0</v>
      </c>
      <c r="L15" s="2591">
        <f>IF(L6="mensuel",SUM(L109:L120),IF(L6="trimestriel",SUM(L53:L56),IF(L6="semestriel",SUM(L39:L40),IF(L6="annuel",L32,0))))</f>
        <v>0</v>
      </c>
      <c r="M15" s="2588">
        <f t="shared" si="7"/>
        <v>0</v>
      </c>
      <c r="N15" s="2552"/>
      <c r="O15" s="2565">
        <v>8</v>
      </c>
      <c r="P15" s="2583">
        <f t="shared" si="3"/>
        <v>0</v>
      </c>
      <c r="Q15" s="980">
        <f>IF(R6="mensuel",SUM(Q109:Q120),IF(R6="trimestriel",SUM(Q53:Q56),IF(R6="semestriel",SUM(Q39:Q40),IF(R6="annuel",Q32,0))))</f>
        <v>0</v>
      </c>
      <c r="R15" s="2591">
        <f>IF(R6="mensuel",SUM(R109:R120),IF(R6="trimestriel",SUM(R53:R56),IF(R6="semestriel",SUM(R39:R40),IF(R6="annuel",R32,0))))</f>
        <v>0</v>
      </c>
      <c r="S15" s="2588">
        <f t="shared" si="8"/>
        <v>0</v>
      </c>
      <c r="T15" s="2552"/>
      <c r="U15" s="2565">
        <v>8</v>
      </c>
      <c r="V15" s="2583">
        <f t="shared" si="4"/>
        <v>0</v>
      </c>
      <c r="W15" s="980">
        <f>IF(X6="mensuel",SUM(W109:W120),IF(X6="trimestriel",SUM(W53:W56),IF(X6="semestriel",SUM(W39:W40),IF(X6="annuel",W32,0))))</f>
        <v>0</v>
      </c>
      <c r="X15" s="2591">
        <f>IF(X6="mensuel",SUM(X109:X120),IF(X6="trimestriel",SUM(X53:X56),IF(X6="semestriel",SUM(X39:X40),IF(X6="annuel",X32,0))))</f>
        <v>0</v>
      </c>
      <c r="Y15" s="2588">
        <f t="shared" si="9"/>
        <v>0</v>
      </c>
      <c r="Z15" s="525"/>
      <c r="AA15" s="2565">
        <v>8</v>
      </c>
      <c r="AB15" s="2583">
        <f t="shared" si="5"/>
        <v>0</v>
      </c>
      <c r="AC15" s="980">
        <f>IF(AD6="mensuel",SUM(AC109:AC120),IF(AD6="trimestriel",SUM(AC53:AC56),IF(AD6="semestriel",SUM(AC39:AC40),IF(AD6="annuel",AC32,0))))</f>
        <v>0</v>
      </c>
      <c r="AD15" s="2591">
        <f>IF(AD6="mensuel",SUM(AD109:AD120),IF(AD6="trimestriel",SUM(AD53:AD56),IF(AD6="semestriel",SUM(AD39:AD40),IF(AD6="annuel",AD32,0))))</f>
        <v>0</v>
      </c>
      <c r="AE15" s="2588">
        <f t="shared" si="10"/>
        <v>0</v>
      </c>
      <c r="AF15" s="525"/>
      <c r="AG15" s="2565">
        <v>8</v>
      </c>
      <c r="AH15" s="2583">
        <f t="shared" si="6"/>
        <v>0</v>
      </c>
      <c r="AI15" s="980">
        <f>IF(AJ6="mensuel",SUM(AI109:AI120),IF(AJ6="trimestriel",SUM(AI53:AI56),IF(AJ6="semestriel",SUM(AI39:AI40),IF(AJ6="annuel",AI32,0))))</f>
        <v>0</v>
      </c>
      <c r="AJ15" s="2591">
        <f>IF(AJ6="mensuel",SUM(AJ109:AJ120),IF(AJ6="trimestriel",SUM(AJ53:AJ56),IF(AJ6="semestriel",SUM(AJ39:AJ40),IF(AJ6="annuel",AJ32,0))))</f>
        <v>0</v>
      </c>
      <c r="AK15" s="2588">
        <f t="shared" si="11"/>
        <v>0</v>
      </c>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c r="BT15" s="525"/>
      <c r="BU15" s="525"/>
      <c r="BV15" s="525"/>
      <c r="BW15" s="525"/>
      <c r="BX15" s="525"/>
      <c r="BY15" s="525"/>
      <c r="BZ15" s="525"/>
      <c r="CA15" s="525"/>
      <c r="CB15" s="525"/>
      <c r="CC15" s="525"/>
      <c r="CD15" s="525"/>
      <c r="CE15" s="525"/>
      <c r="CF15" s="525"/>
      <c r="CG15" s="525"/>
      <c r="CH15" s="525"/>
      <c r="CI15" s="525"/>
      <c r="CJ15" s="525"/>
      <c r="CK15" s="525"/>
      <c r="CL15" s="525"/>
      <c r="CM15" s="525"/>
      <c r="CN15" s="525"/>
      <c r="CO15" s="525"/>
      <c r="CP15" s="525"/>
      <c r="CQ15" s="525"/>
      <c r="CR15" s="525"/>
      <c r="CS15" s="525"/>
      <c r="CT15" s="525"/>
      <c r="CU15" s="525"/>
      <c r="CV15" s="525"/>
      <c r="CW15" s="525"/>
      <c r="CX15" s="525"/>
      <c r="CY15" s="525"/>
      <c r="CZ15" s="525"/>
      <c r="DA15" s="525"/>
      <c r="DB15" s="525"/>
      <c r="DC15" s="525"/>
      <c r="DD15" s="525"/>
      <c r="DE15" s="525"/>
      <c r="DF15" s="525"/>
      <c r="DG15" s="525"/>
      <c r="DH15" s="525"/>
      <c r="DI15" s="525"/>
      <c r="DJ15" s="525"/>
      <c r="DK15" s="525"/>
      <c r="DL15" s="525"/>
      <c r="DM15" s="525"/>
      <c r="DN15" s="525"/>
      <c r="DO15" s="525"/>
      <c r="DP15" s="525"/>
      <c r="DQ15" s="525"/>
      <c r="DR15" s="525"/>
      <c r="DS15" s="525"/>
      <c r="DT15" s="525"/>
      <c r="DU15" s="525"/>
      <c r="DV15" s="525"/>
      <c r="DW15" s="525"/>
      <c r="DX15" s="525"/>
      <c r="DY15" s="525"/>
      <c r="DZ15" s="525"/>
      <c r="EA15" s="525"/>
      <c r="EB15" s="525"/>
      <c r="EC15" s="525"/>
      <c r="ED15" s="525"/>
      <c r="EE15" s="525"/>
      <c r="EF15" s="525"/>
      <c r="EG15" s="525"/>
      <c r="EH15" s="525"/>
      <c r="EI15" s="525"/>
      <c r="EJ15" s="525"/>
      <c r="EK15" s="525"/>
      <c r="EL15" s="525"/>
      <c r="EM15" s="525"/>
      <c r="EN15" s="525"/>
      <c r="EO15" s="525"/>
      <c r="EP15" s="525"/>
      <c r="EQ15" s="525"/>
      <c r="ER15" s="525"/>
      <c r="ES15" s="525"/>
      <c r="ET15" s="525"/>
      <c r="EU15" s="525"/>
      <c r="EV15" s="525"/>
      <c r="EW15" s="525"/>
      <c r="EX15" s="525"/>
      <c r="EY15" s="525"/>
      <c r="EZ15" s="525"/>
      <c r="FA15" s="525"/>
      <c r="FB15" s="525"/>
      <c r="FC15" s="525"/>
      <c r="FD15" s="525"/>
      <c r="FE15" s="525"/>
      <c r="FF15" s="525"/>
      <c r="FG15" s="525"/>
      <c r="FH15" s="525"/>
      <c r="FI15" s="525"/>
      <c r="FJ15" s="525"/>
      <c r="FK15" s="525"/>
      <c r="FL15" s="525"/>
      <c r="FM15" s="525"/>
      <c r="FN15" s="525"/>
      <c r="FO15" s="525"/>
      <c r="FP15" s="525"/>
      <c r="FQ15" s="525"/>
      <c r="FR15" s="525"/>
      <c r="FS15" s="525"/>
      <c r="FT15" s="525"/>
      <c r="FU15" s="525"/>
      <c r="FV15" s="525"/>
      <c r="FW15" s="525"/>
      <c r="FX15" s="525"/>
      <c r="FY15" s="525"/>
      <c r="FZ15" s="525"/>
      <c r="GA15" s="525"/>
      <c r="GB15" s="525"/>
      <c r="GC15" s="525"/>
      <c r="GD15" s="525"/>
      <c r="GE15" s="525"/>
      <c r="GF15" s="525"/>
      <c r="GG15" s="525"/>
      <c r="GH15" s="525"/>
      <c r="GI15" s="525"/>
      <c r="GJ15" s="525"/>
      <c r="GK15" s="525"/>
      <c r="GL15" s="525"/>
      <c r="GM15" s="525"/>
      <c r="GN15" s="525"/>
      <c r="GO15" s="525"/>
      <c r="GP15" s="525"/>
      <c r="GQ15" s="525"/>
      <c r="GR15" s="525"/>
      <c r="GS15" s="525"/>
      <c r="GT15" s="525"/>
      <c r="GU15" s="525"/>
      <c r="GV15" s="525"/>
      <c r="GW15" s="525"/>
      <c r="GX15" s="525"/>
      <c r="GY15" s="525"/>
      <c r="GZ15" s="525"/>
      <c r="HA15" s="525"/>
      <c r="HB15" s="525"/>
      <c r="HC15" s="525"/>
      <c r="HD15" s="525"/>
      <c r="HE15" s="525"/>
      <c r="HF15" s="525"/>
      <c r="HG15" s="525"/>
      <c r="HH15" s="525"/>
      <c r="HI15" s="525"/>
      <c r="HJ15" s="525"/>
      <c r="HK15" s="525"/>
      <c r="HL15" s="525"/>
      <c r="HM15" s="525"/>
      <c r="HN15" s="525"/>
      <c r="HO15" s="525"/>
      <c r="HP15" s="525"/>
      <c r="HQ15" s="525"/>
      <c r="HR15" s="525"/>
      <c r="HS15" s="525"/>
      <c r="HT15" s="525"/>
      <c r="HU15" s="525"/>
      <c r="HV15" s="525"/>
      <c r="HW15" s="525"/>
      <c r="HX15" s="525"/>
      <c r="HY15" s="525"/>
      <c r="HZ15" s="525"/>
      <c r="IA15" s="525"/>
      <c r="IB15" s="525"/>
      <c r="IC15" s="525"/>
      <c r="ID15" s="525"/>
      <c r="IE15" s="525"/>
      <c r="IF15" s="525"/>
      <c r="IG15" s="525"/>
      <c r="IH15" s="525"/>
      <c r="II15" s="525"/>
      <c r="IJ15" s="525"/>
      <c r="IK15" s="525"/>
    </row>
    <row r="16" spans="1:245" s="976" customFormat="1" ht="20.100000000000001" customHeight="1" x14ac:dyDescent="0.25">
      <c r="A16" s="525"/>
      <c r="B16" s="2565">
        <v>9</v>
      </c>
      <c r="C16" s="2584">
        <f t="shared" si="1"/>
        <v>0</v>
      </c>
      <c r="D16" s="981">
        <f t="shared" si="0"/>
        <v>0</v>
      </c>
      <c r="E16" s="982">
        <f t="shared" si="0"/>
        <v>0</v>
      </c>
      <c r="F16" s="2584">
        <f t="shared" si="0"/>
        <v>0</v>
      </c>
      <c r="G16" s="2599"/>
      <c r="H16" s="525"/>
      <c r="I16" s="2565">
        <v>9</v>
      </c>
      <c r="J16" s="2583">
        <f t="shared" si="2"/>
        <v>0</v>
      </c>
      <c r="K16" s="980">
        <f>IF(L6="mensuel",SUM(K121:K132),IF(L6="trimestriel",SUM(K57:K60),IF(L6="semestriel",SUM(K41:K42),IF(L6="annuel",K33,0))))</f>
        <v>0</v>
      </c>
      <c r="L16" s="2591">
        <f>IF(L6="mensuel",SUM(L121:L132),IF(L6="trimestriel",SUM(L57:L60),IF(L6="semestriel",SUM(L41:L42),IF(L6="annuel",L33,0))))</f>
        <v>0</v>
      </c>
      <c r="M16" s="2588">
        <f t="shared" si="7"/>
        <v>0</v>
      </c>
      <c r="N16" s="2552"/>
      <c r="O16" s="2565">
        <v>9</v>
      </c>
      <c r="P16" s="2583">
        <f t="shared" si="3"/>
        <v>0</v>
      </c>
      <c r="Q16" s="980">
        <f>IF(R6="mensuel",SUM(Q121:Q132),IF(R6="trimestriel",SUM(Q57:Q60),IF(R6="semestriel",SUM(Q41:Q42),IF(R6="annuel",Q33,0))))</f>
        <v>0</v>
      </c>
      <c r="R16" s="2591">
        <f>IF(R6="mensuel",SUM(R121:R132),IF(R6="trimestriel",SUM(R57:R60),IF(R6="semestriel",SUM(R41:R42),IF(R6="annuel",R33,0))))</f>
        <v>0</v>
      </c>
      <c r="S16" s="2588">
        <f t="shared" si="8"/>
        <v>0</v>
      </c>
      <c r="T16" s="2552"/>
      <c r="U16" s="2565">
        <v>9</v>
      </c>
      <c r="V16" s="2583">
        <f t="shared" si="4"/>
        <v>0</v>
      </c>
      <c r="W16" s="980">
        <f>IF(X6="mensuel",SUM(W121:W132),IF(X6="trimestriel",SUM(W57:W60),IF(X6="semestriel",SUM(W41:W42),IF(X6="annuel",W33,0))))</f>
        <v>0</v>
      </c>
      <c r="X16" s="2591">
        <f>IF(X6="mensuel",SUM(X121:X132),IF(X6="trimestriel",SUM(X57:X60),IF(X6="semestriel",SUM(X41:X42),IF(X6="annuel",X33,0))))</f>
        <v>0</v>
      </c>
      <c r="Y16" s="2588">
        <f t="shared" si="9"/>
        <v>0</v>
      </c>
      <c r="Z16" s="525"/>
      <c r="AA16" s="2565">
        <v>9</v>
      </c>
      <c r="AB16" s="2583">
        <f t="shared" si="5"/>
        <v>0</v>
      </c>
      <c r="AC16" s="980">
        <f>IF(AD6="mensuel",SUM(AC121:AC132),IF(AD6="trimestriel",SUM(AC57:AC60),IF(AD6="semestriel",SUM(AC41:AC42),IF(AD6="annuel",AC33,0))))</f>
        <v>0</v>
      </c>
      <c r="AD16" s="2591">
        <f>IF(AD6="mensuel",SUM(AD121:AD132),IF(AD6="trimestriel",SUM(AD57:AD60),IF(AD6="semestriel",SUM(AD41:AD42),IF(AD6="annuel",AD33,0))))</f>
        <v>0</v>
      </c>
      <c r="AE16" s="2588">
        <f t="shared" si="10"/>
        <v>0</v>
      </c>
      <c r="AF16" s="525"/>
      <c r="AG16" s="2565">
        <v>9</v>
      </c>
      <c r="AH16" s="2583">
        <f t="shared" si="6"/>
        <v>0</v>
      </c>
      <c r="AI16" s="980">
        <f>IF(AJ6="mensuel",SUM(AI121:AI132),IF(AJ6="trimestriel",SUM(AI57:AI60),IF(AJ6="semestriel",SUM(AI41:AI42),IF(AJ6="annuel",AI33,0))))</f>
        <v>0</v>
      </c>
      <c r="AJ16" s="2591">
        <f>IF(AJ6="mensuel",SUM(AJ121:AJ132),IF(AJ6="trimestriel",SUM(AJ57:AJ60),IF(AJ6="semestriel",SUM(AJ41:AJ42),IF(AJ6="annuel",AJ33,0))))</f>
        <v>0</v>
      </c>
      <c r="AK16" s="2588">
        <f t="shared" si="11"/>
        <v>0</v>
      </c>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5"/>
      <c r="BR16" s="525"/>
      <c r="BS16" s="525"/>
      <c r="BT16" s="525"/>
      <c r="BU16" s="525"/>
      <c r="BV16" s="525"/>
      <c r="BW16" s="525"/>
      <c r="BX16" s="525"/>
      <c r="BY16" s="525"/>
      <c r="BZ16" s="525"/>
      <c r="CA16" s="525"/>
      <c r="CB16" s="525"/>
      <c r="CC16" s="525"/>
      <c r="CD16" s="525"/>
      <c r="CE16" s="525"/>
      <c r="CF16" s="525"/>
      <c r="CG16" s="525"/>
      <c r="CH16" s="525"/>
      <c r="CI16" s="525"/>
      <c r="CJ16" s="525"/>
      <c r="CK16" s="525"/>
      <c r="CL16" s="525"/>
      <c r="CM16" s="525"/>
      <c r="CN16" s="525"/>
      <c r="CO16" s="525"/>
      <c r="CP16" s="525"/>
      <c r="CQ16" s="525"/>
      <c r="CR16" s="525"/>
      <c r="CS16" s="525"/>
      <c r="CT16" s="525"/>
      <c r="CU16" s="525"/>
      <c r="CV16" s="525"/>
      <c r="CW16" s="525"/>
      <c r="CX16" s="525"/>
      <c r="CY16" s="525"/>
      <c r="CZ16" s="525"/>
      <c r="DA16" s="525"/>
      <c r="DB16" s="525"/>
      <c r="DC16" s="525"/>
      <c r="DD16" s="525"/>
      <c r="DE16" s="525"/>
      <c r="DF16" s="525"/>
      <c r="DG16" s="525"/>
      <c r="DH16" s="525"/>
      <c r="DI16" s="525"/>
      <c r="DJ16" s="525"/>
      <c r="DK16" s="525"/>
      <c r="DL16" s="525"/>
      <c r="DM16" s="525"/>
      <c r="DN16" s="525"/>
      <c r="DO16" s="525"/>
      <c r="DP16" s="525"/>
      <c r="DQ16" s="525"/>
      <c r="DR16" s="525"/>
      <c r="DS16" s="525"/>
      <c r="DT16" s="525"/>
      <c r="DU16" s="525"/>
      <c r="DV16" s="525"/>
      <c r="DW16" s="525"/>
      <c r="DX16" s="525"/>
      <c r="DY16" s="525"/>
      <c r="DZ16" s="525"/>
      <c r="EA16" s="525"/>
      <c r="EB16" s="525"/>
      <c r="EC16" s="525"/>
      <c r="ED16" s="525"/>
      <c r="EE16" s="525"/>
      <c r="EF16" s="525"/>
      <c r="EG16" s="525"/>
      <c r="EH16" s="525"/>
      <c r="EI16" s="525"/>
      <c r="EJ16" s="525"/>
      <c r="EK16" s="525"/>
      <c r="EL16" s="525"/>
      <c r="EM16" s="525"/>
      <c r="EN16" s="525"/>
      <c r="EO16" s="525"/>
      <c r="EP16" s="525"/>
      <c r="EQ16" s="525"/>
      <c r="ER16" s="525"/>
      <c r="ES16" s="525"/>
      <c r="ET16" s="525"/>
      <c r="EU16" s="525"/>
      <c r="EV16" s="525"/>
      <c r="EW16" s="525"/>
      <c r="EX16" s="525"/>
      <c r="EY16" s="525"/>
      <c r="EZ16" s="525"/>
      <c r="FA16" s="525"/>
      <c r="FB16" s="525"/>
      <c r="FC16" s="525"/>
      <c r="FD16" s="525"/>
      <c r="FE16" s="525"/>
      <c r="FF16" s="525"/>
      <c r="FG16" s="525"/>
      <c r="FH16" s="525"/>
      <c r="FI16" s="525"/>
      <c r="FJ16" s="525"/>
      <c r="FK16" s="525"/>
      <c r="FL16" s="525"/>
      <c r="FM16" s="525"/>
      <c r="FN16" s="525"/>
      <c r="FO16" s="525"/>
      <c r="FP16" s="525"/>
      <c r="FQ16" s="525"/>
      <c r="FR16" s="525"/>
      <c r="FS16" s="525"/>
      <c r="FT16" s="525"/>
      <c r="FU16" s="525"/>
      <c r="FV16" s="525"/>
      <c r="FW16" s="525"/>
      <c r="FX16" s="525"/>
      <c r="FY16" s="525"/>
      <c r="FZ16" s="525"/>
      <c r="GA16" s="525"/>
      <c r="GB16" s="525"/>
      <c r="GC16" s="525"/>
      <c r="GD16" s="525"/>
      <c r="GE16" s="525"/>
      <c r="GF16" s="525"/>
      <c r="GG16" s="525"/>
      <c r="GH16" s="525"/>
      <c r="GI16" s="525"/>
      <c r="GJ16" s="525"/>
      <c r="GK16" s="525"/>
      <c r="GL16" s="525"/>
      <c r="GM16" s="525"/>
      <c r="GN16" s="525"/>
      <c r="GO16" s="525"/>
      <c r="GP16" s="525"/>
      <c r="GQ16" s="525"/>
      <c r="GR16" s="525"/>
      <c r="GS16" s="525"/>
      <c r="GT16" s="525"/>
      <c r="GU16" s="525"/>
      <c r="GV16" s="525"/>
      <c r="GW16" s="525"/>
      <c r="GX16" s="525"/>
      <c r="GY16" s="525"/>
      <c r="GZ16" s="525"/>
      <c r="HA16" s="525"/>
      <c r="HB16" s="525"/>
      <c r="HC16" s="525"/>
      <c r="HD16" s="525"/>
      <c r="HE16" s="525"/>
      <c r="HF16" s="525"/>
      <c r="HG16" s="525"/>
      <c r="HH16" s="525"/>
      <c r="HI16" s="525"/>
      <c r="HJ16" s="525"/>
      <c r="HK16" s="525"/>
      <c r="HL16" s="525"/>
      <c r="HM16" s="525"/>
      <c r="HN16" s="525"/>
      <c r="HO16" s="525"/>
      <c r="HP16" s="525"/>
      <c r="HQ16" s="525"/>
      <c r="HR16" s="525"/>
      <c r="HS16" s="525"/>
      <c r="HT16" s="525"/>
      <c r="HU16" s="525"/>
      <c r="HV16" s="525"/>
      <c r="HW16" s="525"/>
      <c r="HX16" s="525"/>
      <c r="HY16" s="525"/>
      <c r="HZ16" s="525"/>
      <c r="IA16" s="525"/>
      <c r="IB16" s="525"/>
      <c r="IC16" s="525"/>
      <c r="ID16" s="525"/>
      <c r="IE16" s="525"/>
      <c r="IF16" s="525"/>
      <c r="IG16" s="525"/>
      <c r="IH16" s="525"/>
      <c r="II16" s="525"/>
      <c r="IJ16" s="525"/>
      <c r="IK16" s="525"/>
    </row>
    <row r="17" spans="1:245" s="976" customFormat="1" ht="20.100000000000001" customHeight="1" x14ac:dyDescent="0.25">
      <c r="A17" s="525"/>
      <c r="B17" s="2565">
        <v>10</v>
      </c>
      <c r="C17" s="2584">
        <f t="shared" si="1"/>
        <v>0</v>
      </c>
      <c r="D17" s="981">
        <f t="shared" si="0"/>
        <v>0</v>
      </c>
      <c r="E17" s="982">
        <f t="shared" si="0"/>
        <v>0</v>
      </c>
      <c r="F17" s="2584">
        <f t="shared" si="0"/>
        <v>0</v>
      </c>
      <c r="G17" s="2599"/>
      <c r="H17" s="525"/>
      <c r="I17" s="2565">
        <v>10</v>
      </c>
      <c r="J17" s="2583">
        <f t="shared" si="2"/>
        <v>0</v>
      </c>
      <c r="K17" s="980">
        <f>IF(L6="mensuel",SUM(K133:K144),IF(L6="trimestriel",SUM(K61:K64),IF(L6="semestriel",SUM(K43:K44),IF(L6="annuel",K34,0))))</f>
        <v>0</v>
      </c>
      <c r="L17" s="2591">
        <f>IF(L6="mensuel",SUM(L133:L144),IF(L6="trimestriel",SUM(L61:L64),IF(L6="semestriel",SUM(L43:L44),IF(L6="annuel",L34,0))))</f>
        <v>0</v>
      </c>
      <c r="M17" s="2588">
        <f t="shared" si="7"/>
        <v>0</v>
      </c>
      <c r="N17" s="2552"/>
      <c r="O17" s="2565">
        <v>10</v>
      </c>
      <c r="P17" s="2583">
        <f t="shared" si="3"/>
        <v>0</v>
      </c>
      <c r="Q17" s="980">
        <f>IF(R6="mensuel",SUM(Q133:Q144),IF(R6="trimestriel",SUM(Q61:Q64),IF(R6="semestriel",SUM(Q43:Q44),IF(R6="annuel",Q34,0))))</f>
        <v>0</v>
      </c>
      <c r="R17" s="2591">
        <f>IF(R6="mensuel",SUM(R133:R144),IF(R6="trimestriel",SUM(R61:R64),IF(R6="semestriel",SUM(R43:R44),IF(R6="annuel",R34,0))))</f>
        <v>0</v>
      </c>
      <c r="S17" s="2588">
        <f t="shared" si="8"/>
        <v>0</v>
      </c>
      <c r="T17" s="2552"/>
      <c r="U17" s="2565">
        <v>10</v>
      </c>
      <c r="V17" s="2583">
        <f t="shared" si="4"/>
        <v>0</v>
      </c>
      <c r="W17" s="980">
        <f>IF(X6="mensuel",SUM(W133:W144),IF(X6="trimestriel",SUM(W61:W64),IF(X6="semestriel",SUM(W43:W44),IF(X6="annuel",W34,0))))</f>
        <v>0</v>
      </c>
      <c r="X17" s="2591">
        <f>IF(X6="mensuel",SUM(X133:X144),IF(X6="trimestriel",SUM(X61:X64),IF(X6="semestriel",SUM(X43:X44),IF(X6="annuel",X34,0))))</f>
        <v>0</v>
      </c>
      <c r="Y17" s="2588">
        <f t="shared" si="9"/>
        <v>0</v>
      </c>
      <c r="Z17" s="525"/>
      <c r="AA17" s="2565">
        <v>10</v>
      </c>
      <c r="AB17" s="2583">
        <f t="shared" si="5"/>
        <v>0</v>
      </c>
      <c r="AC17" s="980">
        <f>IF(AD6="mensuel",SUM(AC133:AC144),IF(AD6="trimestriel",SUM(AC61:AC64),IF(AD6="semestriel",SUM(AC43:AC44),IF(AD6="annuel",AC34,0))))</f>
        <v>0</v>
      </c>
      <c r="AD17" s="2591">
        <f>IF(AD6="mensuel",SUM(AD133:AD144),IF(AD6="trimestriel",SUM(AD61:AD64),IF(AD6="semestriel",SUM(AD43:AD44),IF(AD6="annuel",AD34,0))))</f>
        <v>0</v>
      </c>
      <c r="AE17" s="2588">
        <f t="shared" si="10"/>
        <v>0</v>
      </c>
      <c r="AF17" s="525"/>
      <c r="AG17" s="2565">
        <v>10</v>
      </c>
      <c r="AH17" s="2583">
        <f t="shared" si="6"/>
        <v>0</v>
      </c>
      <c r="AI17" s="980">
        <f>IF(AJ6="mensuel",SUM(AI133:AI144),IF(AJ6="trimestriel",SUM(AI61:AI64),IF(AJ6="semestriel",SUM(AI43:AI44),IF(AJ6="annuel",AI34,0))))</f>
        <v>0</v>
      </c>
      <c r="AJ17" s="2591">
        <f>IF(AJ6="mensuel",SUM(AJ133:AJ144),IF(AJ6="trimestriel",SUM(AJ61:AJ64),IF(AJ6="semestriel",SUM(AJ43:AJ44),IF(AJ6="annuel",AJ34,0))))</f>
        <v>0</v>
      </c>
      <c r="AK17" s="2588">
        <f t="shared" si="11"/>
        <v>0</v>
      </c>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c r="BW17" s="525"/>
      <c r="BX17" s="525"/>
      <c r="BY17" s="525"/>
      <c r="BZ17" s="525"/>
      <c r="CA17" s="525"/>
      <c r="CB17" s="525"/>
      <c r="CC17" s="525"/>
      <c r="CD17" s="525"/>
      <c r="CE17" s="525"/>
      <c r="CF17" s="525"/>
      <c r="CG17" s="525"/>
      <c r="CH17" s="525"/>
      <c r="CI17" s="525"/>
      <c r="CJ17" s="525"/>
      <c r="CK17" s="525"/>
      <c r="CL17" s="525"/>
      <c r="CM17" s="525"/>
      <c r="CN17" s="525"/>
      <c r="CO17" s="525"/>
      <c r="CP17" s="525"/>
      <c r="CQ17" s="525"/>
      <c r="CR17" s="525"/>
      <c r="CS17" s="525"/>
      <c r="CT17" s="525"/>
      <c r="CU17" s="525"/>
      <c r="CV17" s="525"/>
      <c r="CW17" s="525"/>
      <c r="CX17" s="525"/>
      <c r="CY17" s="525"/>
      <c r="CZ17" s="525"/>
      <c r="DA17" s="525"/>
      <c r="DB17" s="525"/>
      <c r="DC17" s="525"/>
      <c r="DD17" s="525"/>
      <c r="DE17" s="525"/>
      <c r="DF17" s="525"/>
      <c r="DG17" s="525"/>
      <c r="DH17" s="525"/>
      <c r="DI17" s="525"/>
      <c r="DJ17" s="525"/>
      <c r="DK17" s="525"/>
      <c r="DL17" s="525"/>
      <c r="DM17" s="525"/>
      <c r="DN17" s="525"/>
      <c r="DO17" s="525"/>
      <c r="DP17" s="525"/>
      <c r="DQ17" s="525"/>
      <c r="DR17" s="525"/>
      <c r="DS17" s="525"/>
      <c r="DT17" s="525"/>
      <c r="DU17" s="525"/>
      <c r="DV17" s="525"/>
      <c r="DW17" s="525"/>
      <c r="DX17" s="525"/>
      <c r="DY17" s="525"/>
      <c r="DZ17" s="525"/>
      <c r="EA17" s="525"/>
      <c r="EB17" s="525"/>
      <c r="EC17" s="525"/>
      <c r="ED17" s="525"/>
      <c r="EE17" s="525"/>
      <c r="EF17" s="525"/>
      <c r="EG17" s="525"/>
      <c r="EH17" s="525"/>
      <c r="EI17" s="525"/>
      <c r="EJ17" s="525"/>
      <c r="EK17" s="525"/>
      <c r="EL17" s="525"/>
      <c r="EM17" s="525"/>
      <c r="EN17" s="525"/>
      <c r="EO17" s="525"/>
      <c r="EP17" s="525"/>
      <c r="EQ17" s="525"/>
      <c r="ER17" s="525"/>
      <c r="ES17" s="525"/>
      <c r="ET17" s="525"/>
      <c r="EU17" s="525"/>
      <c r="EV17" s="525"/>
      <c r="EW17" s="525"/>
      <c r="EX17" s="525"/>
      <c r="EY17" s="525"/>
      <c r="EZ17" s="525"/>
      <c r="FA17" s="525"/>
      <c r="FB17" s="525"/>
      <c r="FC17" s="525"/>
      <c r="FD17" s="525"/>
      <c r="FE17" s="525"/>
      <c r="FF17" s="525"/>
      <c r="FG17" s="525"/>
      <c r="FH17" s="525"/>
      <c r="FI17" s="525"/>
      <c r="FJ17" s="525"/>
      <c r="FK17" s="525"/>
      <c r="FL17" s="525"/>
      <c r="FM17" s="525"/>
      <c r="FN17" s="525"/>
      <c r="FO17" s="525"/>
      <c r="FP17" s="525"/>
      <c r="FQ17" s="525"/>
      <c r="FR17" s="525"/>
      <c r="FS17" s="525"/>
      <c r="FT17" s="525"/>
      <c r="FU17" s="525"/>
      <c r="FV17" s="525"/>
      <c r="FW17" s="525"/>
      <c r="FX17" s="525"/>
      <c r="FY17" s="525"/>
      <c r="FZ17" s="525"/>
      <c r="GA17" s="525"/>
      <c r="GB17" s="525"/>
      <c r="GC17" s="525"/>
      <c r="GD17" s="525"/>
      <c r="GE17" s="525"/>
      <c r="GF17" s="525"/>
      <c r="GG17" s="525"/>
      <c r="GH17" s="525"/>
      <c r="GI17" s="525"/>
      <c r="GJ17" s="525"/>
      <c r="GK17" s="525"/>
      <c r="GL17" s="525"/>
      <c r="GM17" s="525"/>
      <c r="GN17" s="525"/>
      <c r="GO17" s="525"/>
      <c r="GP17" s="525"/>
      <c r="GQ17" s="525"/>
      <c r="GR17" s="525"/>
      <c r="GS17" s="525"/>
      <c r="GT17" s="525"/>
      <c r="GU17" s="525"/>
      <c r="GV17" s="525"/>
      <c r="GW17" s="525"/>
      <c r="GX17" s="525"/>
      <c r="GY17" s="525"/>
      <c r="GZ17" s="525"/>
      <c r="HA17" s="525"/>
      <c r="HB17" s="525"/>
      <c r="HC17" s="525"/>
      <c r="HD17" s="525"/>
      <c r="HE17" s="525"/>
      <c r="HF17" s="525"/>
      <c r="HG17" s="525"/>
      <c r="HH17" s="525"/>
      <c r="HI17" s="525"/>
      <c r="HJ17" s="525"/>
      <c r="HK17" s="525"/>
      <c r="HL17" s="525"/>
      <c r="HM17" s="525"/>
      <c r="HN17" s="525"/>
      <c r="HO17" s="525"/>
      <c r="HP17" s="525"/>
      <c r="HQ17" s="525"/>
      <c r="HR17" s="525"/>
      <c r="HS17" s="525"/>
      <c r="HT17" s="525"/>
      <c r="HU17" s="525"/>
      <c r="HV17" s="525"/>
      <c r="HW17" s="525"/>
      <c r="HX17" s="525"/>
      <c r="HY17" s="525"/>
      <c r="HZ17" s="525"/>
      <c r="IA17" s="525"/>
      <c r="IB17" s="525"/>
      <c r="IC17" s="525"/>
      <c r="ID17" s="525"/>
      <c r="IE17" s="525"/>
      <c r="IF17" s="525"/>
      <c r="IG17" s="525"/>
      <c r="IH17" s="525"/>
      <c r="II17" s="525"/>
      <c r="IJ17" s="525"/>
      <c r="IK17" s="525"/>
    </row>
    <row r="18" spans="1:245" s="976" customFormat="1" ht="20.100000000000001" customHeight="1" x14ac:dyDescent="0.25">
      <c r="A18" s="525"/>
      <c r="B18" s="2565">
        <v>11</v>
      </c>
      <c r="C18" s="2584">
        <f t="shared" si="1"/>
        <v>0</v>
      </c>
      <c r="D18" s="981">
        <f t="shared" si="0"/>
        <v>0</v>
      </c>
      <c r="E18" s="982">
        <f t="shared" si="0"/>
        <v>0</v>
      </c>
      <c r="F18" s="2584">
        <f t="shared" si="0"/>
        <v>0</v>
      </c>
      <c r="G18" s="2599"/>
      <c r="H18" s="525"/>
      <c r="I18" s="2565">
        <v>11</v>
      </c>
      <c r="J18" s="2583">
        <f t="shared" si="2"/>
        <v>0</v>
      </c>
      <c r="K18" s="980">
        <f>IF(L6="mensuel",SUM(K145:K156),IF(L6="trimestriel",SUM(K65:K68),IF(L6="semestriel",SUM(K45:K46),IF(L6="annuel",K35,0))))</f>
        <v>0</v>
      </c>
      <c r="L18" s="2591">
        <f>IF(L6="mensuel",SUM(L145:L156),IF(L6="trimestriel",SUM(L65:L68),IF(L6="semestriel",SUM(L45:L46),IF(L6="annuel",L35,0))))</f>
        <v>0</v>
      </c>
      <c r="M18" s="2588">
        <f t="shared" si="7"/>
        <v>0</v>
      </c>
      <c r="N18" s="2552"/>
      <c r="O18" s="2565">
        <v>11</v>
      </c>
      <c r="P18" s="2583">
        <f t="shared" si="3"/>
        <v>0</v>
      </c>
      <c r="Q18" s="980">
        <f>IF(R6="mensuel",SUM(Q145:Q156),IF(R6="trimestriel",SUM(Q65:Q68),IF(R6="semestriel",SUM(Q45:Q46),IF(R6="annuel",Q35,0))))</f>
        <v>0</v>
      </c>
      <c r="R18" s="2591">
        <f>IF(R6="mensuel",SUM(R145:R156),IF(R6="trimestriel",SUM(R65:R68),IF(R6="semestriel",SUM(R45:R46),IF(R6="annuel",R35,0))))</f>
        <v>0</v>
      </c>
      <c r="S18" s="2588">
        <f t="shared" si="8"/>
        <v>0</v>
      </c>
      <c r="T18" s="2552"/>
      <c r="U18" s="2565">
        <v>11</v>
      </c>
      <c r="V18" s="2583">
        <f t="shared" si="4"/>
        <v>0</v>
      </c>
      <c r="W18" s="980">
        <f>IF(X6="mensuel",SUM(W145:W156),IF(X6="trimestriel",SUM(W65:W68),IF(X6="semestriel",SUM(W45:W46),IF(X6="annuel",W35,0))))</f>
        <v>0</v>
      </c>
      <c r="X18" s="2591">
        <f>IF(X6="mensuel",SUM(X145:X156),IF(X6="trimestriel",SUM(X65:X68),IF(X6="semestriel",SUM(X45:X46),IF(X6="annuel",X35,0))))</f>
        <v>0</v>
      </c>
      <c r="Y18" s="2588">
        <f t="shared" si="9"/>
        <v>0</v>
      </c>
      <c r="Z18" s="525"/>
      <c r="AA18" s="2565">
        <v>11</v>
      </c>
      <c r="AB18" s="2583">
        <f t="shared" si="5"/>
        <v>0</v>
      </c>
      <c r="AC18" s="980">
        <f>IF(AD6="mensuel",SUM(AC145:AC156),IF(AD6="trimestriel",SUM(AC65:AC68),IF(AD6="semestriel",SUM(AC45:AC46),IF(AD6="annuel",AC35,0))))</f>
        <v>0</v>
      </c>
      <c r="AD18" s="2591">
        <f>IF(AD6="mensuel",SUM(AD145:AD156),IF(AD6="trimestriel",SUM(AD65:AD68),IF(AD6="semestriel",SUM(AD45:AD46),IF(AD6="annuel",AD35,0))))</f>
        <v>0</v>
      </c>
      <c r="AE18" s="2588">
        <f t="shared" si="10"/>
        <v>0</v>
      </c>
      <c r="AF18" s="525"/>
      <c r="AG18" s="2565">
        <v>11</v>
      </c>
      <c r="AH18" s="2583">
        <f t="shared" si="6"/>
        <v>0</v>
      </c>
      <c r="AI18" s="980">
        <f>IF(AJ6="mensuel",SUM(AI145:AI156),IF(AJ6="trimestriel",SUM(AI65:AI68),IF(AJ6="semestriel",SUM(AI45:AI46),IF(AJ6="annuel",AI35,0))))</f>
        <v>0</v>
      </c>
      <c r="AJ18" s="2591">
        <f>IF(AJ6="mensuel",SUM(AJ145:AJ156),IF(AJ6="trimestriel",SUM(AJ65:AJ68),IF(AJ6="semestriel",SUM(AJ45:AJ46),IF(AJ6="annuel",AJ35,0))))</f>
        <v>0</v>
      </c>
      <c r="AK18" s="2588">
        <f t="shared" si="11"/>
        <v>0</v>
      </c>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5"/>
      <c r="CI18" s="525"/>
      <c r="CJ18" s="525"/>
      <c r="CK18" s="525"/>
      <c r="CL18" s="525"/>
      <c r="CM18" s="525"/>
      <c r="CN18" s="525"/>
      <c r="CO18" s="525"/>
      <c r="CP18" s="525"/>
      <c r="CQ18" s="525"/>
      <c r="CR18" s="525"/>
      <c r="CS18" s="525"/>
      <c r="CT18" s="525"/>
      <c r="CU18" s="525"/>
      <c r="CV18" s="525"/>
      <c r="CW18" s="525"/>
      <c r="CX18" s="525"/>
      <c r="CY18" s="525"/>
      <c r="CZ18" s="525"/>
      <c r="DA18" s="525"/>
      <c r="DB18" s="525"/>
      <c r="DC18" s="525"/>
      <c r="DD18" s="525"/>
      <c r="DE18" s="525"/>
      <c r="DF18" s="525"/>
      <c r="DG18" s="525"/>
      <c r="DH18" s="525"/>
      <c r="DI18" s="525"/>
      <c r="DJ18" s="525"/>
      <c r="DK18" s="525"/>
      <c r="DL18" s="525"/>
      <c r="DM18" s="525"/>
      <c r="DN18" s="525"/>
      <c r="DO18" s="525"/>
      <c r="DP18" s="525"/>
      <c r="DQ18" s="525"/>
      <c r="DR18" s="525"/>
      <c r="DS18" s="525"/>
      <c r="DT18" s="525"/>
      <c r="DU18" s="525"/>
      <c r="DV18" s="525"/>
      <c r="DW18" s="525"/>
      <c r="DX18" s="525"/>
      <c r="DY18" s="525"/>
      <c r="DZ18" s="525"/>
      <c r="EA18" s="525"/>
      <c r="EB18" s="525"/>
      <c r="EC18" s="525"/>
      <c r="ED18" s="525"/>
      <c r="EE18" s="525"/>
      <c r="EF18" s="525"/>
      <c r="EG18" s="525"/>
      <c r="EH18" s="525"/>
      <c r="EI18" s="525"/>
      <c r="EJ18" s="525"/>
      <c r="EK18" s="525"/>
      <c r="EL18" s="525"/>
      <c r="EM18" s="525"/>
      <c r="EN18" s="525"/>
      <c r="EO18" s="525"/>
      <c r="EP18" s="525"/>
      <c r="EQ18" s="525"/>
      <c r="ER18" s="525"/>
      <c r="ES18" s="525"/>
      <c r="ET18" s="525"/>
      <c r="EU18" s="525"/>
      <c r="EV18" s="525"/>
      <c r="EW18" s="525"/>
      <c r="EX18" s="525"/>
      <c r="EY18" s="525"/>
      <c r="EZ18" s="525"/>
      <c r="FA18" s="525"/>
      <c r="FB18" s="525"/>
      <c r="FC18" s="525"/>
      <c r="FD18" s="525"/>
      <c r="FE18" s="525"/>
      <c r="FF18" s="525"/>
      <c r="FG18" s="525"/>
      <c r="FH18" s="525"/>
      <c r="FI18" s="525"/>
      <c r="FJ18" s="525"/>
      <c r="FK18" s="525"/>
      <c r="FL18" s="525"/>
      <c r="FM18" s="525"/>
      <c r="FN18" s="525"/>
      <c r="FO18" s="525"/>
      <c r="FP18" s="525"/>
      <c r="FQ18" s="525"/>
      <c r="FR18" s="525"/>
      <c r="FS18" s="525"/>
      <c r="FT18" s="525"/>
      <c r="FU18" s="525"/>
      <c r="FV18" s="525"/>
      <c r="FW18" s="525"/>
      <c r="FX18" s="525"/>
      <c r="FY18" s="525"/>
      <c r="FZ18" s="525"/>
      <c r="GA18" s="525"/>
      <c r="GB18" s="525"/>
      <c r="GC18" s="525"/>
      <c r="GD18" s="525"/>
      <c r="GE18" s="525"/>
      <c r="GF18" s="525"/>
      <c r="GG18" s="525"/>
      <c r="GH18" s="525"/>
      <c r="GI18" s="525"/>
      <c r="GJ18" s="525"/>
      <c r="GK18" s="525"/>
      <c r="GL18" s="525"/>
      <c r="GM18" s="525"/>
      <c r="GN18" s="525"/>
      <c r="GO18" s="525"/>
      <c r="GP18" s="525"/>
      <c r="GQ18" s="525"/>
      <c r="GR18" s="525"/>
      <c r="GS18" s="525"/>
      <c r="GT18" s="525"/>
      <c r="GU18" s="525"/>
      <c r="GV18" s="525"/>
      <c r="GW18" s="525"/>
      <c r="GX18" s="525"/>
      <c r="GY18" s="525"/>
      <c r="GZ18" s="525"/>
      <c r="HA18" s="525"/>
      <c r="HB18" s="525"/>
      <c r="HC18" s="525"/>
      <c r="HD18" s="525"/>
      <c r="HE18" s="525"/>
      <c r="HF18" s="525"/>
      <c r="HG18" s="525"/>
      <c r="HH18" s="525"/>
      <c r="HI18" s="525"/>
      <c r="HJ18" s="525"/>
      <c r="HK18" s="525"/>
      <c r="HL18" s="525"/>
      <c r="HM18" s="525"/>
      <c r="HN18" s="525"/>
      <c r="HO18" s="525"/>
      <c r="HP18" s="525"/>
      <c r="HQ18" s="525"/>
      <c r="HR18" s="525"/>
      <c r="HS18" s="525"/>
      <c r="HT18" s="525"/>
      <c r="HU18" s="525"/>
      <c r="HV18" s="525"/>
      <c r="HW18" s="525"/>
      <c r="HX18" s="525"/>
      <c r="HY18" s="525"/>
      <c r="HZ18" s="525"/>
      <c r="IA18" s="525"/>
      <c r="IB18" s="525"/>
      <c r="IC18" s="525"/>
      <c r="ID18" s="525"/>
      <c r="IE18" s="525"/>
      <c r="IF18" s="525"/>
      <c r="IG18" s="525"/>
      <c r="IH18" s="525"/>
      <c r="II18" s="525"/>
      <c r="IJ18" s="525"/>
      <c r="IK18" s="525"/>
    </row>
    <row r="19" spans="1:245" s="976" customFormat="1" ht="20.100000000000001" customHeight="1" x14ac:dyDescent="0.25">
      <c r="A19" s="525"/>
      <c r="B19" s="2565">
        <v>12</v>
      </c>
      <c r="C19" s="2584">
        <f t="shared" si="1"/>
        <v>0</v>
      </c>
      <c r="D19" s="981">
        <f t="shared" si="0"/>
        <v>0</v>
      </c>
      <c r="E19" s="982">
        <f t="shared" si="0"/>
        <v>0</v>
      </c>
      <c r="F19" s="2584">
        <f t="shared" si="0"/>
        <v>0</v>
      </c>
      <c r="G19" s="2599"/>
      <c r="H19" s="525"/>
      <c r="I19" s="2565">
        <v>12</v>
      </c>
      <c r="J19" s="2583">
        <f t="shared" si="2"/>
        <v>0</v>
      </c>
      <c r="K19" s="980">
        <f>IF(L6="mensuel",SUM(K157:K168),IF(L6="trimestriel",SUM(K69:K72),IF(L6="semestriel",SUM(K47:K48),IF(L6="annuel",K36,0))))</f>
        <v>0</v>
      </c>
      <c r="L19" s="2591">
        <f>IF(L6="mensuel",SUM(L157:L168),IF(L6="trimestriel",SUM(L69:L72),IF(L6="semestriel",SUM(L47:L48),IF(L6="annuel",L36,0))))</f>
        <v>0</v>
      </c>
      <c r="M19" s="2588">
        <f t="shared" si="7"/>
        <v>0</v>
      </c>
      <c r="N19" s="2552"/>
      <c r="O19" s="2565">
        <v>12</v>
      </c>
      <c r="P19" s="2583">
        <f t="shared" si="3"/>
        <v>0</v>
      </c>
      <c r="Q19" s="980">
        <f>IF(R6="mensuel",SUM(Q157:Q168),IF(R6="trimestriel",SUM(Q69:Q72),IF(R6="semestriel",SUM(Q47:Q48),IF(R6="annuel",Q36,0))))</f>
        <v>0</v>
      </c>
      <c r="R19" s="2591">
        <f>IF(R6="mensuel",SUM(R157:R168),IF(R6="trimestriel",SUM(R69:R72),IF(R6="semestriel",SUM(R47:R48),IF(R6="annuel",R36,0))))</f>
        <v>0</v>
      </c>
      <c r="S19" s="2588">
        <f t="shared" si="8"/>
        <v>0</v>
      </c>
      <c r="T19" s="2552"/>
      <c r="U19" s="2565">
        <v>12</v>
      </c>
      <c r="V19" s="2583">
        <f t="shared" si="4"/>
        <v>0</v>
      </c>
      <c r="W19" s="980">
        <f>IF(X6="mensuel",SUM(W157:W168),IF(X6="trimestriel",SUM(W69:W72),IF(X6="semestriel",SUM(W47:W48),IF(X6="annuel",W36,0))))</f>
        <v>0</v>
      </c>
      <c r="X19" s="2591">
        <f>IF(X6="mensuel",SUM(X157:X168),IF(X6="trimestriel",SUM(X69:X72),IF(X6="semestriel",SUM(X47:X48),IF(X6="annuel",X36,0))))</f>
        <v>0</v>
      </c>
      <c r="Y19" s="2588">
        <f t="shared" si="9"/>
        <v>0</v>
      </c>
      <c r="Z19" s="525"/>
      <c r="AA19" s="2565">
        <v>12</v>
      </c>
      <c r="AB19" s="2583">
        <f t="shared" si="5"/>
        <v>0</v>
      </c>
      <c r="AC19" s="980">
        <f>IF(AD6="mensuel",SUM(AC157:AC168),IF(AD6="trimestriel",SUM(AC69:AC72),IF(AD6="semestriel",SUM(AC47:AC48),IF(AD6="annuel",AC36,0))))</f>
        <v>0</v>
      </c>
      <c r="AD19" s="2591">
        <f>IF(AD6="mensuel",SUM(AD157:AD168),IF(AD6="trimestriel",SUM(AD69:AD72),IF(AD6="semestriel",SUM(AD47:AD48),IF(AD6="annuel",AD36,0))))</f>
        <v>0</v>
      </c>
      <c r="AE19" s="2588">
        <f t="shared" si="10"/>
        <v>0</v>
      </c>
      <c r="AF19" s="525"/>
      <c r="AG19" s="2565">
        <v>12</v>
      </c>
      <c r="AH19" s="2583">
        <f t="shared" si="6"/>
        <v>0</v>
      </c>
      <c r="AI19" s="980">
        <f>IF(AJ6="mensuel",SUM(AI157:AI168),IF(AJ6="trimestriel",SUM(AI69:AI72),IF(AJ6="semestriel",SUM(AI47:AI48),IF(AJ6="annuel",AI36,0))))</f>
        <v>0</v>
      </c>
      <c r="AJ19" s="2591">
        <f>IF(AJ6="mensuel",SUM(AJ157:AJ168),IF(AJ6="trimestriel",SUM(AJ69:AJ72),IF(AJ6="semestriel",SUM(AJ47:AJ48),IF(AJ6="annuel",AJ36,0))))</f>
        <v>0</v>
      </c>
      <c r="AK19" s="2588">
        <f t="shared" si="11"/>
        <v>0</v>
      </c>
      <c r="AL19" s="525"/>
      <c r="AM19" s="525"/>
      <c r="AN19" s="525"/>
      <c r="AO19" s="525"/>
      <c r="AP19" s="525"/>
      <c r="AQ19" s="525"/>
      <c r="AR19" s="525"/>
      <c r="AS19" s="525"/>
      <c r="AT19" s="525"/>
      <c r="AU19" s="525"/>
      <c r="AV19" s="525"/>
      <c r="AW19" s="525"/>
      <c r="AX19" s="525"/>
      <c r="AY19" s="525"/>
      <c r="AZ19" s="525"/>
      <c r="BA19" s="525"/>
      <c r="BB19" s="525"/>
      <c r="BC19" s="525"/>
      <c r="BD19" s="525"/>
      <c r="BE19" s="525"/>
      <c r="BF19" s="525"/>
      <c r="BG19" s="525"/>
      <c r="BH19" s="525"/>
      <c r="BI19" s="525"/>
      <c r="BJ19" s="525"/>
      <c r="BK19" s="525"/>
      <c r="BL19" s="525"/>
      <c r="BM19" s="525"/>
      <c r="BN19" s="525"/>
      <c r="BO19" s="525"/>
      <c r="BP19" s="525"/>
      <c r="BQ19" s="525"/>
      <c r="BR19" s="525"/>
      <c r="BS19" s="525"/>
      <c r="BT19" s="525"/>
      <c r="BU19" s="525"/>
      <c r="BV19" s="525"/>
      <c r="BW19" s="525"/>
      <c r="BX19" s="525"/>
      <c r="BY19" s="525"/>
      <c r="BZ19" s="525"/>
      <c r="CA19" s="525"/>
      <c r="CB19" s="525"/>
      <c r="CC19" s="525"/>
      <c r="CD19" s="525"/>
      <c r="CE19" s="525"/>
      <c r="CF19" s="525"/>
      <c r="CG19" s="525"/>
      <c r="CH19" s="525"/>
      <c r="CI19" s="525"/>
      <c r="CJ19" s="525"/>
      <c r="CK19" s="525"/>
      <c r="CL19" s="525"/>
      <c r="CM19" s="525"/>
      <c r="CN19" s="525"/>
      <c r="CO19" s="525"/>
      <c r="CP19" s="525"/>
      <c r="CQ19" s="525"/>
      <c r="CR19" s="525"/>
      <c r="CS19" s="525"/>
      <c r="CT19" s="525"/>
      <c r="CU19" s="525"/>
      <c r="CV19" s="525"/>
      <c r="CW19" s="525"/>
      <c r="CX19" s="525"/>
      <c r="CY19" s="525"/>
      <c r="CZ19" s="525"/>
      <c r="DA19" s="525"/>
      <c r="DB19" s="525"/>
      <c r="DC19" s="525"/>
      <c r="DD19" s="525"/>
      <c r="DE19" s="525"/>
      <c r="DF19" s="525"/>
      <c r="DG19" s="525"/>
      <c r="DH19" s="525"/>
      <c r="DI19" s="525"/>
      <c r="DJ19" s="525"/>
      <c r="DK19" s="525"/>
      <c r="DL19" s="525"/>
      <c r="DM19" s="525"/>
      <c r="DN19" s="525"/>
      <c r="DO19" s="525"/>
      <c r="DP19" s="525"/>
      <c r="DQ19" s="525"/>
      <c r="DR19" s="525"/>
      <c r="DS19" s="525"/>
      <c r="DT19" s="525"/>
      <c r="DU19" s="525"/>
      <c r="DV19" s="525"/>
      <c r="DW19" s="525"/>
      <c r="DX19" s="525"/>
      <c r="DY19" s="525"/>
      <c r="DZ19" s="525"/>
      <c r="EA19" s="525"/>
      <c r="EB19" s="525"/>
      <c r="EC19" s="525"/>
      <c r="ED19" s="525"/>
      <c r="EE19" s="525"/>
      <c r="EF19" s="525"/>
      <c r="EG19" s="525"/>
      <c r="EH19" s="525"/>
      <c r="EI19" s="525"/>
      <c r="EJ19" s="525"/>
      <c r="EK19" s="525"/>
      <c r="EL19" s="525"/>
      <c r="EM19" s="525"/>
      <c r="EN19" s="525"/>
      <c r="EO19" s="525"/>
      <c r="EP19" s="525"/>
      <c r="EQ19" s="525"/>
      <c r="ER19" s="525"/>
      <c r="ES19" s="525"/>
      <c r="ET19" s="525"/>
      <c r="EU19" s="525"/>
      <c r="EV19" s="525"/>
      <c r="EW19" s="525"/>
      <c r="EX19" s="525"/>
      <c r="EY19" s="525"/>
      <c r="EZ19" s="525"/>
      <c r="FA19" s="525"/>
      <c r="FB19" s="525"/>
      <c r="FC19" s="525"/>
      <c r="FD19" s="525"/>
      <c r="FE19" s="525"/>
      <c r="FF19" s="525"/>
      <c r="FG19" s="525"/>
      <c r="FH19" s="525"/>
      <c r="FI19" s="525"/>
      <c r="FJ19" s="525"/>
      <c r="FK19" s="525"/>
      <c r="FL19" s="525"/>
      <c r="FM19" s="525"/>
      <c r="FN19" s="525"/>
      <c r="FO19" s="525"/>
      <c r="FP19" s="525"/>
      <c r="FQ19" s="525"/>
      <c r="FR19" s="525"/>
      <c r="FS19" s="525"/>
      <c r="FT19" s="525"/>
      <c r="FU19" s="525"/>
      <c r="FV19" s="525"/>
      <c r="FW19" s="525"/>
      <c r="FX19" s="525"/>
      <c r="FY19" s="525"/>
      <c r="FZ19" s="525"/>
      <c r="GA19" s="525"/>
      <c r="GB19" s="525"/>
      <c r="GC19" s="525"/>
      <c r="GD19" s="525"/>
      <c r="GE19" s="525"/>
      <c r="GF19" s="525"/>
      <c r="GG19" s="525"/>
      <c r="GH19" s="525"/>
      <c r="GI19" s="525"/>
      <c r="GJ19" s="525"/>
      <c r="GK19" s="525"/>
      <c r="GL19" s="525"/>
      <c r="GM19" s="525"/>
      <c r="GN19" s="525"/>
      <c r="GO19" s="525"/>
      <c r="GP19" s="525"/>
      <c r="GQ19" s="525"/>
      <c r="GR19" s="525"/>
      <c r="GS19" s="525"/>
      <c r="GT19" s="525"/>
      <c r="GU19" s="525"/>
      <c r="GV19" s="525"/>
      <c r="GW19" s="525"/>
      <c r="GX19" s="525"/>
      <c r="GY19" s="525"/>
      <c r="GZ19" s="525"/>
      <c r="HA19" s="525"/>
      <c r="HB19" s="525"/>
      <c r="HC19" s="525"/>
      <c r="HD19" s="525"/>
      <c r="HE19" s="525"/>
      <c r="HF19" s="525"/>
      <c r="HG19" s="525"/>
      <c r="HH19" s="525"/>
      <c r="HI19" s="525"/>
      <c r="HJ19" s="525"/>
      <c r="HK19" s="525"/>
      <c r="HL19" s="525"/>
      <c r="HM19" s="525"/>
      <c r="HN19" s="525"/>
      <c r="HO19" s="525"/>
      <c r="HP19" s="525"/>
      <c r="HQ19" s="525"/>
      <c r="HR19" s="525"/>
      <c r="HS19" s="525"/>
      <c r="HT19" s="525"/>
      <c r="HU19" s="525"/>
      <c r="HV19" s="525"/>
      <c r="HW19" s="525"/>
      <c r="HX19" s="525"/>
      <c r="HY19" s="525"/>
      <c r="HZ19" s="525"/>
      <c r="IA19" s="525"/>
      <c r="IB19" s="525"/>
      <c r="IC19" s="525"/>
      <c r="ID19" s="525"/>
      <c r="IE19" s="525"/>
      <c r="IF19" s="525"/>
      <c r="IG19" s="525"/>
      <c r="IH19" s="525"/>
      <c r="II19" s="525"/>
      <c r="IJ19" s="525"/>
      <c r="IK19" s="525"/>
    </row>
    <row r="20" spans="1:245" s="976" customFormat="1" ht="20.100000000000001" customHeight="1" x14ac:dyDescent="0.25">
      <c r="A20" s="525"/>
      <c r="B20" s="2565">
        <v>13</v>
      </c>
      <c r="C20" s="2584">
        <f t="shared" si="1"/>
        <v>0</v>
      </c>
      <c r="D20" s="981">
        <f t="shared" si="0"/>
        <v>0</v>
      </c>
      <c r="E20" s="982">
        <f t="shared" si="0"/>
        <v>0</v>
      </c>
      <c r="F20" s="2584">
        <f t="shared" si="0"/>
        <v>0</v>
      </c>
      <c r="G20" s="2599"/>
      <c r="H20" s="525"/>
      <c r="I20" s="2565">
        <v>13</v>
      </c>
      <c r="J20" s="2583">
        <f t="shared" si="2"/>
        <v>0</v>
      </c>
      <c r="K20" s="980">
        <f>IF(L6="mensuel",SUM(K169:K180),IF(L6="trimestriel",SUM(K73:K76),IF(L6="semestriel",SUM(K49:K50),IF(L6="annuel",K37,0))))</f>
        <v>0</v>
      </c>
      <c r="L20" s="2591">
        <f>IF(L6="mensuel",SUM(L169:L180),IF(L6="trimestriel",SUM(L73:L76),IF(L6="semestriel",SUM(L49:L50),IF(L6="annuel",L37,0))))</f>
        <v>0</v>
      </c>
      <c r="M20" s="2588">
        <f t="shared" si="7"/>
        <v>0</v>
      </c>
      <c r="N20" s="2552"/>
      <c r="O20" s="2565">
        <v>13</v>
      </c>
      <c r="P20" s="2583">
        <f t="shared" si="3"/>
        <v>0</v>
      </c>
      <c r="Q20" s="980">
        <f>IF(R6="mensuel",SUM(Q169:Q180),IF(R6="trimestriel",SUM(Q73:Q76),IF(R6="semestriel",SUM(Q49:Q50),IF(R6="annuel",Q37,0))))</f>
        <v>0</v>
      </c>
      <c r="R20" s="2591">
        <f>IF(R6="mensuel",SUM(R169:R180),IF(R6="trimestriel",SUM(R73:R76),IF(R6="semestriel",SUM(R49:R50),IF(R6="annuel",R37,0))))</f>
        <v>0</v>
      </c>
      <c r="S20" s="2588">
        <f t="shared" si="8"/>
        <v>0</v>
      </c>
      <c r="T20" s="2552"/>
      <c r="U20" s="2565">
        <v>13</v>
      </c>
      <c r="V20" s="2583">
        <f t="shared" si="4"/>
        <v>0</v>
      </c>
      <c r="W20" s="980">
        <f>IF(X6="mensuel",SUM(W169:W180),IF(X6="trimestriel",SUM(W73:W76),IF(X6="semestriel",SUM(W49:W50),IF(X6="annuel",W37,0))))</f>
        <v>0</v>
      </c>
      <c r="X20" s="2591">
        <f>IF(X6="mensuel",SUM(X169:X180),IF(X6="trimestriel",SUM(X73:X76),IF(X6="semestriel",SUM(X49:X50),IF(X6="annuel",X37,0))))</f>
        <v>0</v>
      </c>
      <c r="Y20" s="2588">
        <f t="shared" si="9"/>
        <v>0</v>
      </c>
      <c r="Z20" s="525"/>
      <c r="AA20" s="2565">
        <v>13</v>
      </c>
      <c r="AB20" s="2583">
        <f t="shared" si="5"/>
        <v>0</v>
      </c>
      <c r="AC20" s="980">
        <f>IF(AD6="mensuel",SUM(AC169:AC180),IF(AD6="trimestriel",SUM(AC73:AC76),IF(AD6="semestriel",SUM(AC49:AC50),IF(AD6="annuel",AC37,0))))</f>
        <v>0</v>
      </c>
      <c r="AD20" s="2591">
        <f>IF(AD6="mensuel",SUM(AD169:AD180),IF(AD6="trimestriel",SUM(AD73:AD76),IF(AD6="semestriel",SUM(AD49:AD50),IF(AD6="annuel",AD37,0))))</f>
        <v>0</v>
      </c>
      <c r="AE20" s="2588">
        <f t="shared" si="10"/>
        <v>0</v>
      </c>
      <c r="AF20" s="525"/>
      <c r="AG20" s="2565">
        <v>13</v>
      </c>
      <c r="AH20" s="2583">
        <f t="shared" si="6"/>
        <v>0</v>
      </c>
      <c r="AI20" s="980">
        <f>IF(AJ6="mensuel",SUM(AI169:AI180),IF(AJ6="trimestriel",SUM(AI73:AI76),IF(AJ6="semestriel",SUM(AI49:AI50),IF(AJ6="annuel",AI37,0))))</f>
        <v>0</v>
      </c>
      <c r="AJ20" s="2591">
        <f>IF(AJ6="mensuel",SUM(AJ169:AJ180),IF(AJ6="trimestriel",SUM(AJ73:AJ76),IF(AJ6="semestriel",SUM(AJ49:AJ50),IF(AJ6="annuel",AJ37,0))))</f>
        <v>0</v>
      </c>
      <c r="AK20" s="2588">
        <f t="shared" si="11"/>
        <v>0</v>
      </c>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5"/>
      <c r="CN20" s="525"/>
      <c r="CO20" s="525"/>
      <c r="CP20" s="525"/>
      <c r="CQ20" s="525"/>
      <c r="CR20" s="525"/>
      <c r="CS20" s="525"/>
      <c r="CT20" s="525"/>
      <c r="CU20" s="525"/>
      <c r="CV20" s="525"/>
      <c r="CW20" s="525"/>
      <c r="CX20" s="525"/>
      <c r="CY20" s="525"/>
      <c r="CZ20" s="525"/>
      <c r="DA20" s="525"/>
      <c r="DB20" s="525"/>
      <c r="DC20" s="525"/>
      <c r="DD20" s="525"/>
      <c r="DE20" s="525"/>
      <c r="DF20" s="525"/>
      <c r="DG20" s="525"/>
      <c r="DH20" s="525"/>
      <c r="DI20" s="525"/>
      <c r="DJ20" s="525"/>
      <c r="DK20" s="525"/>
      <c r="DL20" s="525"/>
      <c r="DM20" s="525"/>
      <c r="DN20" s="525"/>
      <c r="DO20" s="525"/>
      <c r="DP20" s="525"/>
      <c r="DQ20" s="525"/>
      <c r="DR20" s="525"/>
      <c r="DS20" s="525"/>
      <c r="DT20" s="525"/>
      <c r="DU20" s="525"/>
      <c r="DV20" s="525"/>
      <c r="DW20" s="525"/>
      <c r="DX20" s="525"/>
      <c r="DY20" s="525"/>
      <c r="DZ20" s="525"/>
      <c r="EA20" s="525"/>
      <c r="EB20" s="525"/>
      <c r="EC20" s="525"/>
      <c r="ED20" s="525"/>
      <c r="EE20" s="525"/>
      <c r="EF20" s="525"/>
      <c r="EG20" s="525"/>
      <c r="EH20" s="525"/>
      <c r="EI20" s="525"/>
      <c r="EJ20" s="525"/>
      <c r="EK20" s="525"/>
      <c r="EL20" s="525"/>
      <c r="EM20" s="525"/>
      <c r="EN20" s="525"/>
      <c r="EO20" s="525"/>
      <c r="EP20" s="525"/>
      <c r="EQ20" s="525"/>
      <c r="ER20" s="525"/>
      <c r="ES20" s="525"/>
      <c r="ET20" s="525"/>
      <c r="EU20" s="525"/>
      <c r="EV20" s="525"/>
      <c r="EW20" s="525"/>
      <c r="EX20" s="525"/>
      <c r="EY20" s="525"/>
      <c r="EZ20" s="525"/>
      <c r="FA20" s="525"/>
      <c r="FB20" s="525"/>
      <c r="FC20" s="525"/>
      <c r="FD20" s="525"/>
      <c r="FE20" s="525"/>
      <c r="FF20" s="525"/>
      <c r="FG20" s="525"/>
      <c r="FH20" s="525"/>
      <c r="FI20" s="525"/>
      <c r="FJ20" s="525"/>
      <c r="FK20" s="525"/>
      <c r="FL20" s="525"/>
      <c r="FM20" s="525"/>
      <c r="FN20" s="525"/>
      <c r="FO20" s="525"/>
      <c r="FP20" s="525"/>
      <c r="FQ20" s="525"/>
      <c r="FR20" s="525"/>
      <c r="FS20" s="525"/>
      <c r="FT20" s="525"/>
      <c r="FU20" s="525"/>
      <c r="FV20" s="525"/>
      <c r="FW20" s="525"/>
      <c r="FX20" s="525"/>
      <c r="FY20" s="525"/>
      <c r="FZ20" s="525"/>
      <c r="GA20" s="525"/>
      <c r="GB20" s="525"/>
      <c r="GC20" s="525"/>
      <c r="GD20" s="525"/>
      <c r="GE20" s="525"/>
      <c r="GF20" s="525"/>
      <c r="GG20" s="525"/>
      <c r="GH20" s="525"/>
      <c r="GI20" s="525"/>
      <c r="GJ20" s="525"/>
      <c r="GK20" s="525"/>
      <c r="GL20" s="525"/>
      <c r="GM20" s="525"/>
      <c r="GN20" s="525"/>
      <c r="GO20" s="525"/>
      <c r="GP20" s="525"/>
      <c r="GQ20" s="525"/>
      <c r="GR20" s="525"/>
      <c r="GS20" s="525"/>
      <c r="GT20" s="525"/>
      <c r="GU20" s="525"/>
      <c r="GV20" s="525"/>
      <c r="GW20" s="525"/>
      <c r="GX20" s="525"/>
      <c r="GY20" s="525"/>
      <c r="GZ20" s="525"/>
      <c r="HA20" s="525"/>
      <c r="HB20" s="525"/>
      <c r="HC20" s="525"/>
      <c r="HD20" s="525"/>
      <c r="HE20" s="525"/>
      <c r="HF20" s="525"/>
      <c r="HG20" s="525"/>
      <c r="HH20" s="525"/>
      <c r="HI20" s="525"/>
      <c r="HJ20" s="525"/>
      <c r="HK20" s="525"/>
      <c r="HL20" s="525"/>
      <c r="HM20" s="525"/>
      <c r="HN20" s="525"/>
      <c r="HO20" s="525"/>
      <c r="HP20" s="525"/>
      <c r="HQ20" s="525"/>
      <c r="HR20" s="525"/>
      <c r="HS20" s="525"/>
      <c r="HT20" s="525"/>
      <c r="HU20" s="525"/>
      <c r="HV20" s="525"/>
      <c r="HW20" s="525"/>
      <c r="HX20" s="525"/>
      <c r="HY20" s="525"/>
      <c r="HZ20" s="525"/>
      <c r="IA20" s="525"/>
      <c r="IB20" s="525"/>
      <c r="IC20" s="525"/>
      <c r="ID20" s="525"/>
      <c r="IE20" s="525"/>
      <c r="IF20" s="525"/>
      <c r="IG20" s="525"/>
      <c r="IH20" s="525"/>
      <c r="II20" s="525"/>
      <c r="IJ20" s="525"/>
      <c r="IK20" s="525"/>
    </row>
    <row r="21" spans="1:245" s="976" customFormat="1" ht="20.100000000000001" customHeight="1" x14ac:dyDescent="0.25">
      <c r="A21" s="525"/>
      <c r="B21" s="2565">
        <v>14</v>
      </c>
      <c r="C21" s="2584">
        <f t="shared" si="1"/>
        <v>0</v>
      </c>
      <c r="D21" s="981">
        <f t="shared" si="0"/>
        <v>0</v>
      </c>
      <c r="E21" s="982">
        <f t="shared" si="0"/>
        <v>0</v>
      </c>
      <c r="F21" s="2584">
        <f t="shared" si="0"/>
        <v>0</v>
      </c>
      <c r="G21" s="2599"/>
      <c r="H21" s="525"/>
      <c r="I21" s="2565">
        <v>14</v>
      </c>
      <c r="J21" s="2583">
        <f t="shared" si="2"/>
        <v>0</v>
      </c>
      <c r="K21" s="980">
        <f>IF(L6="mensuel",SUM(K181:K192),IF(L6="trimestriel",SUM(K77:K80),IF(L6="semestriel",SUM(K51:K52),IF(L6="annuel",K38,0))))</f>
        <v>0</v>
      </c>
      <c r="L21" s="2591">
        <f>IF(L6="mensuel",SUM(L181:L192),IF(L6="trimestriel",SUM(L77:L80),IF(L6="semestriel",SUM(L51:L52),IF(L6="annuel",L38,0))))</f>
        <v>0</v>
      </c>
      <c r="M21" s="2588">
        <f t="shared" si="7"/>
        <v>0</v>
      </c>
      <c r="N21" s="2552"/>
      <c r="O21" s="2565">
        <v>14</v>
      </c>
      <c r="P21" s="2583">
        <f t="shared" si="3"/>
        <v>0</v>
      </c>
      <c r="Q21" s="980">
        <f>IF(R6="mensuel",SUM(Q181:Q192),IF(R6="trimestriel",SUM(Q77:Q80),IF(R6="semestriel",SUM(Q51:Q52),IF(R6="annuel",Q38,0))))</f>
        <v>0</v>
      </c>
      <c r="R21" s="2591">
        <f>IF(R6="mensuel",SUM(R181:R192),IF(R6="trimestriel",SUM(R77:R80),IF(R6="semestriel",SUM(R51:R52),IF(R6="annuel",R38,0))))</f>
        <v>0</v>
      </c>
      <c r="S21" s="2588">
        <f t="shared" si="8"/>
        <v>0</v>
      </c>
      <c r="T21" s="2552"/>
      <c r="U21" s="2565">
        <v>14</v>
      </c>
      <c r="V21" s="2583">
        <f t="shared" si="4"/>
        <v>0</v>
      </c>
      <c r="W21" s="980">
        <f>IF(X6="mensuel",SUM(W181:W192),IF(X6="trimestriel",SUM(W77:W80),IF(X6="semestriel",SUM(W51:W52),IF(X6="annuel",W38,0))))</f>
        <v>0</v>
      </c>
      <c r="X21" s="2591">
        <f>IF(X6="mensuel",SUM(X181:X192),IF(X6="trimestriel",SUM(X77:X80),IF(X6="semestriel",SUM(X51:X52),IF(X6="annuel",X38,0))))</f>
        <v>0</v>
      </c>
      <c r="Y21" s="2588">
        <f t="shared" si="9"/>
        <v>0</v>
      </c>
      <c r="Z21" s="525"/>
      <c r="AA21" s="2565">
        <v>14</v>
      </c>
      <c r="AB21" s="2583">
        <f t="shared" si="5"/>
        <v>0</v>
      </c>
      <c r="AC21" s="980">
        <f>IF(AD6="mensuel",SUM(AC181:AC192),IF(AD6="trimestriel",SUM(AC77:AC80),IF(AD6="semestriel",SUM(AC51:AC52),IF(AD6="annuel",AC38,0))))</f>
        <v>0</v>
      </c>
      <c r="AD21" s="2591">
        <f>IF(AD6="mensuel",SUM(AD181:AD192),IF(AD6="trimestriel",SUM(AD77:AD80),IF(AD6="semestriel",SUM(AD51:AD52),IF(AD6="annuel",AD38,0))))</f>
        <v>0</v>
      </c>
      <c r="AE21" s="2588">
        <f t="shared" si="10"/>
        <v>0</v>
      </c>
      <c r="AF21" s="525"/>
      <c r="AG21" s="2565">
        <v>14</v>
      </c>
      <c r="AH21" s="2583">
        <f t="shared" si="6"/>
        <v>0</v>
      </c>
      <c r="AI21" s="980">
        <f>IF(AJ6="mensuel",SUM(AI181:AI192),IF(AJ6="trimestriel",SUM(AI77:AI80),IF(AJ6="semestriel",SUM(AI51:AI52),IF(AJ6="annuel",AI38,0))))</f>
        <v>0</v>
      </c>
      <c r="AJ21" s="2591">
        <f>IF(AJ6="mensuel",SUM(AJ181:AJ192),IF(AJ6="trimestriel",SUM(AJ77:AJ80),IF(AJ6="semestriel",SUM(AJ51:AJ52),IF(AJ6="annuel",AJ38,0))))</f>
        <v>0</v>
      </c>
      <c r="AK21" s="2588">
        <f t="shared" si="11"/>
        <v>0</v>
      </c>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5"/>
      <c r="DD21" s="525"/>
      <c r="DE21" s="525"/>
      <c r="DF21" s="525"/>
      <c r="DG21" s="525"/>
      <c r="DH21" s="525"/>
      <c r="DI21" s="525"/>
      <c r="DJ21" s="525"/>
      <c r="DK21" s="525"/>
      <c r="DL21" s="525"/>
      <c r="DM21" s="525"/>
      <c r="DN21" s="525"/>
      <c r="DO21" s="525"/>
      <c r="DP21" s="525"/>
      <c r="DQ21" s="525"/>
      <c r="DR21" s="525"/>
      <c r="DS21" s="525"/>
      <c r="DT21" s="525"/>
      <c r="DU21" s="525"/>
      <c r="DV21" s="525"/>
      <c r="DW21" s="525"/>
      <c r="DX21" s="525"/>
      <c r="DY21" s="525"/>
      <c r="DZ21" s="525"/>
      <c r="EA21" s="525"/>
      <c r="EB21" s="525"/>
      <c r="EC21" s="525"/>
      <c r="ED21" s="525"/>
      <c r="EE21" s="525"/>
      <c r="EF21" s="525"/>
      <c r="EG21" s="525"/>
      <c r="EH21" s="525"/>
      <c r="EI21" s="525"/>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525"/>
      <c r="FZ21" s="525"/>
      <c r="GA21" s="525"/>
      <c r="GB21" s="525"/>
      <c r="GC21" s="525"/>
      <c r="GD21" s="525"/>
      <c r="GE21" s="525"/>
      <c r="GF21" s="525"/>
      <c r="GG21" s="525"/>
      <c r="GH21" s="525"/>
      <c r="GI21" s="525"/>
      <c r="GJ21" s="525"/>
      <c r="GK21" s="525"/>
      <c r="GL21" s="525"/>
      <c r="GM21" s="525"/>
      <c r="GN21" s="525"/>
      <c r="GO21" s="525"/>
      <c r="GP21" s="525"/>
      <c r="GQ21" s="525"/>
      <c r="GR21" s="525"/>
      <c r="GS21" s="525"/>
      <c r="GT21" s="525"/>
      <c r="GU21" s="525"/>
      <c r="GV21" s="525"/>
      <c r="GW21" s="525"/>
      <c r="GX21" s="525"/>
      <c r="GY21" s="525"/>
      <c r="GZ21" s="525"/>
      <c r="HA21" s="525"/>
      <c r="HB21" s="525"/>
      <c r="HC21" s="525"/>
      <c r="HD21" s="525"/>
      <c r="HE21" s="525"/>
      <c r="HF21" s="525"/>
      <c r="HG21" s="525"/>
      <c r="HH21" s="525"/>
      <c r="HI21" s="525"/>
      <c r="HJ21" s="525"/>
      <c r="HK21" s="525"/>
      <c r="HL21" s="525"/>
      <c r="HM21" s="525"/>
      <c r="HN21" s="525"/>
      <c r="HO21" s="525"/>
      <c r="HP21" s="525"/>
      <c r="HQ21" s="525"/>
      <c r="HR21" s="525"/>
      <c r="HS21" s="525"/>
      <c r="HT21" s="525"/>
      <c r="HU21" s="525"/>
      <c r="HV21" s="525"/>
      <c r="HW21" s="525"/>
      <c r="HX21" s="525"/>
      <c r="HY21" s="525"/>
      <c r="HZ21" s="525"/>
      <c r="IA21" s="525"/>
      <c r="IB21" s="525"/>
      <c r="IC21" s="525"/>
      <c r="ID21" s="525"/>
      <c r="IE21" s="525"/>
      <c r="IF21" s="525"/>
      <c r="IG21" s="525"/>
      <c r="IH21" s="525"/>
      <c r="II21" s="525"/>
      <c r="IJ21" s="525"/>
      <c r="IK21" s="525"/>
    </row>
    <row r="22" spans="1:245" s="976" customFormat="1" ht="20.100000000000001" customHeight="1" x14ac:dyDescent="0.25">
      <c r="A22" s="525"/>
      <c r="B22" s="2566">
        <v>15</v>
      </c>
      <c r="C22" s="2584">
        <f t="shared" si="1"/>
        <v>0</v>
      </c>
      <c r="D22" s="981">
        <f t="shared" si="0"/>
        <v>0</v>
      </c>
      <c r="E22" s="982">
        <f t="shared" si="0"/>
        <v>0</v>
      </c>
      <c r="F22" s="2584">
        <f t="shared" si="0"/>
        <v>0</v>
      </c>
      <c r="G22" s="2599"/>
      <c r="H22" s="525"/>
      <c r="I22" s="2572">
        <v>15</v>
      </c>
      <c r="J22" s="2585">
        <f t="shared" si="2"/>
        <v>0</v>
      </c>
      <c r="K22" s="2573">
        <f>IF(L6="mensuel",SUM(K193:K204),IF(L6="trimestriel",SUM(K81:K84),IF(L6="semestriel",SUM(K53:K54),IF(L6="annuel",K39,0))))</f>
        <v>0</v>
      </c>
      <c r="L22" s="2593">
        <f>IF(L6="mensuel",SUM(L193:L204),IF(L6="trimestriel",SUM(L81:L84),IF(L6="semestriel",SUM(L53:L54),IF(L6="annuel",L39,0))))</f>
        <v>0</v>
      </c>
      <c r="M22" s="2589">
        <f t="shared" si="7"/>
        <v>0</v>
      </c>
      <c r="N22" s="2552"/>
      <c r="O22" s="2572">
        <v>15</v>
      </c>
      <c r="P22" s="2585">
        <f t="shared" si="3"/>
        <v>0</v>
      </c>
      <c r="Q22" s="2573">
        <f>IF(R6="mensuel",SUM(Q193:Q204),IF(R6="trimestriel",SUM(Q81:Q84),IF(R6="semestriel",SUM(Q53:Q54),IF(R6="annuel",Q39,0))))</f>
        <v>0</v>
      </c>
      <c r="R22" s="2593">
        <f>IF(R6="mensuel",SUM(R193:R204),IF(R6="trimestriel",SUM(R81:R84),IF(R6="semestriel",SUM(R53:R54),IF(R6="annuel",R39,0))))</f>
        <v>0</v>
      </c>
      <c r="S22" s="2589">
        <f t="shared" si="8"/>
        <v>0</v>
      </c>
      <c r="T22" s="2552"/>
      <c r="U22" s="2572">
        <v>15</v>
      </c>
      <c r="V22" s="2585">
        <f t="shared" si="4"/>
        <v>0</v>
      </c>
      <c r="W22" s="2573">
        <f>IF(X6="mensuel",SUM(W193:W204),IF(X6="trimestriel",SUM(W81:W84),IF(X6="semestriel",SUM(W53:W54),IF(X6="annuel",W39,0))))</f>
        <v>0</v>
      </c>
      <c r="X22" s="2593">
        <f>IF(X6="mensuel",SUM(X193:X204),IF(X6="trimestriel",SUM(X81:X84),IF(X6="semestriel",SUM(X53:X54),IF(X6="annuel",X39,0))))</f>
        <v>0</v>
      </c>
      <c r="Y22" s="2589">
        <f t="shared" si="9"/>
        <v>0</v>
      </c>
      <c r="Z22" s="525"/>
      <c r="AA22" s="2572">
        <v>15</v>
      </c>
      <c r="AB22" s="2585">
        <f t="shared" si="5"/>
        <v>0</v>
      </c>
      <c r="AC22" s="2573">
        <f>IF(AD6="mensuel",SUM(AC193:AC204),IF(AD6="trimestriel",SUM(AC81:AC84),IF(AD6="semestriel",SUM(AC53:AC54),IF(AD6="annuel",AC39,0))))</f>
        <v>0</v>
      </c>
      <c r="AD22" s="2593">
        <f>IF(AD6="mensuel",SUM(AD193:AD204),IF(AD6="trimestriel",SUM(AD81:AD84),IF(AD6="semestriel",SUM(AD53:AD54),IF(AD6="annuel",AD39,0))))</f>
        <v>0</v>
      </c>
      <c r="AE22" s="2589">
        <f t="shared" si="10"/>
        <v>0</v>
      </c>
      <c r="AF22" s="525"/>
      <c r="AG22" s="2572">
        <v>15</v>
      </c>
      <c r="AH22" s="2585">
        <f t="shared" si="6"/>
        <v>0</v>
      </c>
      <c r="AI22" s="2573">
        <f>IF(AJ6="mensuel",SUM(AI193:AI204),IF(AJ6="trimestriel",SUM(AI81:AI84),IF(AJ6="semestriel",SUM(AI53:AI54),IF(AJ6="annuel",AI39,0))))</f>
        <v>0</v>
      </c>
      <c r="AJ22" s="2593">
        <f>IF(AJ6="mensuel",SUM(AJ193:AJ204),IF(AJ6="trimestriel",SUM(AJ81:AJ84),IF(AJ6="semestriel",SUM(AJ53:AJ54),IF(AJ6="annuel",AJ39,0))))</f>
        <v>0</v>
      </c>
      <c r="AK22" s="2589">
        <f t="shared" si="11"/>
        <v>0</v>
      </c>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5"/>
      <c r="DD22" s="525"/>
      <c r="DE22" s="525"/>
      <c r="DF22" s="525"/>
      <c r="DG22" s="525"/>
      <c r="DH22" s="525"/>
      <c r="DI22" s="525"/>
      <c r="DJ22" s="525"/>
      <c r="DK22" s="525"/>
      <c r="DL22" s="525"/>
      <c r="DM22" s="525"/>
      <c r="DN22" s="525"/>
      <c r="DO22" s="525"/>
      <c r="DP22" s="525"/>
      <c r="DQ22" s="525"/>
      <c r="DR22" s="525"/>
      <c r="DS22" s="525"/>
      <c r="DT22" s="525"/>
      <c r="DU22" s="525"/>
      <c r="DV22" s="525"/>
      <c r="DW22" s="525"/>
      <c r="DX22" s="525"/>
      <c r="DY22" s="525"/>
      <c r="DZ22" s="525"/>
      <c r="EA22" s="525"/>
      <c r="EB22" s="525"/>
      <c r="EC22" s="525"/>
      <c r="ED22" s="525"/>
      <c r="EE22" s="525"/>
      <c r="EF22" s="525"/>
      <c r="EG22" s="525"/>
      <c r="EH22" s="525"/>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525"/>
      <c r="FZ22" s="525"/>
      <c r="GA22" s="525"/>
      <c r="GB22" s="525"/>
      <c r="GC22" s="525"/>
      <c r="GD22" s="525"/>
      <c r="GE22" s="525"/>
      <c r="GF22" s="525"/>
      <c r="GG22" s="525"/>
      <c r="GH22" s="525"/>
      <c r="GI22" s="525"/>
      <c r="GJ22" s="525"/>
      <c r="GK22" s="525"/>
      <c r="GL22" s="525"/>
      <c r="GM22" s="525"/>
      <c r="GN22" s="525"/>
      <c r="GO22" s="525"/>
      <c r="GP22" s="525"/>
      <c r="GQ22" s="525"/>
      <c r="GR22" s="525"/>
      <c r="GS22" s="525"/>
      <c r="GT22" s="525"/>
      <c r="GU22" s="525"/>
      <c r="GV22" s="525"/>
      <c r="GW22" s="525"/>
      <c r="GX22" s="525"/>
      <c r="GY22" s="525"/>
      <c r="GZ22" s="525"/>
      <c r="HA22" s="525"/>
      <c r="HB22" s="525"/>
      <c r="HC22" s="525"/>
      <c r="HD22" s="525"/>
      <c r="HE22" s="525"/>
      <c r="HF22" s="525"/>
      <c r="HG22" s="525"/>
      <c r="HH22" s="525"/>
      <c r="HI22" s="525"/>
      <c r="HJ22" s="525"/>
      <c r="HK22" s="525"/>
      <c r="HL22" s="525"/>
      <c r="HM22" s="525"/>
      <c r="HN22" s="525"/>
      <c r="HO22" s="525"/>
      <c r="HP22" s="525"/>
      <c r="HQ22" s="525"/>
      <c r="HR22" s="525"/>
      <c r="HS22" s="525"/>
      <c r="HT22" s="525"/>
      <c r="HU22" s="525"/>
      <c r="HV22" s="525"/>
      <c r="HW22" s="525"/>
      <c r="HX22" s="525"/>
      <c r="HY22" s="525"/>
      <c r="HZ22" s="525"/>
      <c r="IA22" s="525"/>
      <c r="IB22" s="525"/>
      <c r="IC22" s="525"/>
      <c r="ID22" s="525"/>
      <c r="IE22" s="525"/>
      <c r="IF22" s="525"/>
      <c r="IG22" s="525"/>
      <c r="IH22" s="525"/>
      <c r="II22" s="525"/>
      <c r="IJ22" s="525"/>
      <c r="IK22" s="525"/>
    </row>
    <row r="23" spans="1:245" s="976" customFormat="1" ht="24.9" customHeight="1" x14ac:dyDescent="0.25">
      <c r="A23" s="525"/>
      <c r="B23" s="2600" t="s">
        <v>197</v>
      </c>
      <c r="C23" s="2601">
        <f>SUM(C8:C22)</f>
        <v>0</v>
      </c>
      <c r="D23" s="2602">
        <f t="shared" ref="D23:E23" si="12">SUM(D8:D22)</f>
        <v>0</v>
      </c>
      <c r="E23" s="2603">
        <f t="shared" si="12"/>
        <v>0</v>
      </c>
      <c r="F23" s="5387"/>
      <c r="G23" s="5388"/>
      <c r="H23" s="525"/>
      <c r="I23" s="5369" t="s">
        <v>965</v>
      </c>
      <c r="J23" s="3447"/>
      <c r="K23" s="3447"/>
      <c r="L23" s="987"/>
      <c r="M23" s="525"/>
      <c r="N23" s="525"/>
      <c r="O23" s="5369" t="s">
        <v>965</v>
      </c>
      <c r="P23" s="3447"/>
      <c r="Q23" s="3447"/>
      <c r="R23" s="3447"/>
      <c r="S23" s="525"/>
      <c r="T23" s="525"/>
      <c r="U23" s="5369" t="s">
        <v>965</v>
      </c>
      <c r="V23" s="3447"/>
      <c r="W23" s="3447"/>
      <c r="X23" s="3447"/>
      <c r="Y23" s="525"/>
      <c r="Z23" s="525"/>
      <c r="AA23" s="5369" t="s">
        <v>965</v>
      </c>
      <c r="AB23" s="3447"/>
      <c r="AC23" s="3447"/>
      <c r="AD23" s="987"/>
      <c r="AE23" s="525"/>
      <c r="AF23" s="525"/>
      <c r="AG23" s="5369" t="s">
        <v>965</v>
      </c>
      <c r="AH23" s="3447"/>
      <c r="AI23" s="3447"/>
      <c r="AJ23" s="987"/>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5"/>
      <c r="CW23" s="525"/>
      <c r="CX23" s="525"/>
      <c r="CY23" s="525"/>
      <c r="CZ23" s="525"/>
      <c r="DA23" s="525"/>
      <c r="DB23" s="525"/>
      <c r="DC23" s="525"/>
      <c r="DD23" s="525"/>
      <c r="DE23" s="525"/>
      <c r="DF23" s="525"/>
      <c r="DG23" s="525"/>
      <c r="DH23" s="525"/>
      <c r="DI23" s="525"/>
      <c r="DJ23" s="525"/>
      <c r="DK23" s="525"/>
      <c r="DL23" s="525"/>
      <c r="DM23" s="525"/>
      <c r="DN23" s="525"/>
      <c r="DO23" s="525"/>
      <c r="DP23" s="525"/>
      <c r="DQ23" s="525"/>
      <c r="DR23" s="525"/>
      <c r="DS23" s="525"/>
      <c r="DT23" s="525"/>
      <c r="DU23" s="525"/>
      <c r="DV23" s="525"/>
      <c r="DW23" s="525"/>
      <c r="DX23" s="525"/>
      <c r="DY23" s="525"/>
      <c r="DZ23" s="525"/>
      <c r="EA23" s="525"/>
      <c r="EB23" s="525"/>
      <c r="EC23" s="525"/>
      <c r="ED23" s="525"/>
      <c r="EE23" s="525"/>
      <c r="EF23" s="525"/>
      <c r="EG23" s="525"/>
      <c r="EH23" s="525"/>
      <c r="EI23" s="525"/>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525"/>
      <c r="FZ23" s="525"/>
      <c r="GA23" s="525"/>
      <c r="GB23" s="525"/>
      <c r="GC23" s="525"/>
      <c r="GD23" s="525"/>
      <c r="GE23" s="525"/>
      <c r="GF23" s="525"/>
      <c r="GG23" s="525"/>
      <c r="GH23" s="525"/>
      <c r="GI23" s="525"/>
      <c r="GJ23" s="525"/>
      <c r="GK23" s="525"/>
      <c r="GL23" s="525"/>
      <c r="GM23" s="525"/>
      <c r="GN23" s="525"/>
      <c r="GO23" s="525"/>
      <c r="GP23" s="525"/>
      <c r="GQ23" s="525"/>
      <c r="GR23" s="525"/>
      <c r="GS23" s="525"/>
      <c r="GT23" s="525"/>
      <c r="GU23" s="525"/>
      <c r="GV23" s="525"/>
      <c r="GW23" s="525"/>
      <c r="GX23" s="525"/>
      <c r="GY23" s="525"/>
      <c r="GZ23" s="525"/>
      <c r="HA23" s="525"/>
      <c r="HB23" s="525"/>
      <c r="HC23" s="525"/>
      <c r="HD23" s="525"/>
      <c r="HE23" s="525"/>
      <c r="HF23" s="525"/>
      <c r="HG23" s="525"/>
      <c r="HH23" s="525"/>
      <c r="HI23" s="525"/>
      <c r="HJ23" s="525"/>
      <c r="HK23" s="525"/>
      <c r="HL23" s="525"/>
      <c r="HM23" s="525"/>
      <c r="HN23" s="525"/>
      <c r="HO23" s="525"/>
      <c r="HP23" s="525"/>
      <c r="HQ23" s="525"/>
      <c r="HR23" s="525"/>
      <c r="HS23" s="525"/>
      <c r="HT23" s="525"/>
      <c r="HU23" s="525"/>
      <c r="HV23" s="525"/>
      <c r="HW23" s="525"/>
      <c r="HX23" s="525"/>
      <c r="HY23" s="525"/>
      <c r="HZ23" s="525"/>
      <c r="IA23" s="525"/>
      <c r="IB23" s="525"/>
      <c r="IC23" s="525"/>
      <c r="ID23" s="525"/>
      <c r="IE23" s="525"/>
      <c r="IF23" s="525"/>
      <c r="IG23" s="525"/>
      <c r="IH23" s="525"/>
      <c r="II23" s="525"/>
      <c r="IJ23" s="525"/>
      <c r="IK23" s="525"/>
    </row>
    <row r="24" spans="1:245" s="976" customFormat="1" ht="20.100000000000001" customHeight="1" x14ac:dyDescent="0.25">
      <c r="A24" s="525"/>
      <c r="B24" s="983"/>
      <c r="C24" s="983"/>
      <c r="D24" s="984"/>
      <c r="E24" s="983"/>
      <c r="F24" s="983"/>
      <c r="G24" s="983"/>
      <c r="H24" s="525"/>
      <c r="I24" s="2614" t="str">
        <f>IF(ISBLANK(L6)," ",IF(L6="mensuel","Mois",IF(L6="trimestriel","Trimestres",IF(L6="semestriel","Semestres","Années"))))</f>
        <v xml:space="preserve"> </v>
      </c>
      <c r="J24" s="2615" t="s">
        <v>961</v>
      </c>
      <c r="K24" s="2616" t="s">
        <v>966</v>
      </c>
      <c r="L24" s="2617" t="s">
        <v>283</v>
      </c>
      <c r="M24" s="2618" t="s">
        <v>964</v>
      </c>
      <c r="N24" s="525"/>
      <c r="O24" s="2614" t="str">
        <f>IF(ISBLANK(R6)," ",IF(R6="mensuel","Mois",IF(R6="trimestriel","Trimestres",IF(R6="semestriel","Semestres","Années"))))</f>
        <v xml:space="preserve"> </v>
      </c>
      <c r="P24" s="2615" t="s">
        <v>961</v>
      </c>
      <c r="Q24" s="2616" t="s">
        <v>966</v>
      </c>
      <c r="R24" s="2617" t="s">
        <v>283</v>
      </c>
      <c r="S24" s="2618" t="s">
        <v>964</v>
      </c>
      <c r="T24" s="525"/>
      <c r="U24" s="2614" t="str">
        <f>IF(ISBLANK(X6)," ",IF(X6="mensuel","Mois",IF(X6="trimestriel","Trimestres",IF(X6="semestriel","Semestres","Années"))))</f>
        <v xml:space="preserve"> </v>
      </c>
      <c r="V24" s="2615" t="s">
        <v>961</v>
      </c>
      <c r="W24" s="2616" t="s">
        <v>966</v>
      </c>
      <c r="X24" s="2617" t="s">
        <v>283</v>
      </c>
      <c r="Y24" s="2618" t="s">
        <v>964</v>
      </c>
      <c r="Z24" s="525"/>
      <c r="AA24" s="2614" t="str">
        <f>IF(ISBLANK(AD6)," ",IF(AD6="mensuel","Mois",IF(AD6="trimestriel","Trimestres",IF(AD6="semestriel","Semestres","Années"))))</f>
        <v>Années</v>
      </c>
      <c r="AB24" s="2615" t="s">
        <v>961</v>
      </c>
      <c r="AC24" s="2616" t="s">
        <v>966</v>
      </c>
      <c r="AD24" s="2617" t="s">
        <v>283</v>
      </c>
      <c r="AE24" s="2618" t="s">
        <v>964</v>
      </c>
      <c r="AF24" s="525"/>
      <c r="AG24" s="2614" t="str">
        <f>IF(ISBLANK(AJ6)," ",IF(AJ6="mensuel","Mois",IF(AJ6="trimestriel","Trimestres",IF(AJ6="semestriel","Semestres","Années"))))</f>
        <v>Trimestres</v>
      </c>
      <c r="AH24" s="2615" t="s">
        <v>961</v>
      </c>
      <c r="AI24" s="2616" t="s">
        <v>966</v>
      </c>
      <c r="AJ24" s="2617" t="s">
        <v>283</v>
      </c>
      <c r="AK24" s="2618" t="s">
        <v>964</v>
      </c>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5"/>
      <c r="CW24" s="525"/>
      <c r="CX24" s="525"/>
      <c r="CY24" s="525"/>
      <c r="CZ24" s="525"/>
      <c r="DA24" s="525"/>
      <c r="DB24" s="525"/>
      <c r="DC24" s="525"/>
      <c r="DD24" s="525"/>
      <c r="DE24" s="525"/>
      <c r="DF24" s="525"/>
      <c r="DG24" s="525"/>
      <c r="DH24" s="525"/>
      <c r="DI24" s="525"/>
      <c r="DJ24" s="525"/>
      <c r="DK24" s="525"/>
      <c r="DL24" s="525"/>
      <c r="DM24" s="525"/>
      <c r="DN24" s="525"/>
      <c r="DO24" s="525"/>
      <c r="DP24" s="525"/>
      <c r="DQ24" s="525"/>
      <c r="DR24" s="525"/>
      <c r="DS24" s="525"/>
      <c r="DT24" s="525"/>
      <c r="DU24" s="525"/>
      <c r="DV24" s="525"/>
      <c r="DW24" s="525"/>
      <c r="DX24" s="525"/>
      <c r="DY24" s="525"/>
      <c r="DZ24" s="525"/>
      <c r="EA24" s="525"/>
      <c r="EB24" s="525"/>
      <c r="EC24" s="525"/>
      <c r="ED24" s="525"/>
      <c r="EE24" s="525"/>
      <c r="EF24" s="525"/>
      <c r="EG24" s="525"/>
      <c r="EH24" s="525"/>
      <c r="EI24" s="525"/>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525"/>
      <c r="FZ24" s="525"/>
      <c r="GA24" s="525"/>
      <c r="GB24" s="525"/>
      <c r="GC24" s="525"/>
      <c r="GD24" s="525"/>
      <c r="GE24" s="525"/>
      <c r="GF24" s="525"/>
      <c r="GG24" s="525"/>
      <c r="GH24" s="525"/>
      <c r="GI24" s="525"/>
      <c r="GJ24" s="525"/>
      <c r="GK24" s="525"/>
      <c r="GL24" s="525"/>
      <c r="GM24" s="525"/>
      <c r="GN24" s="525"/>
      <c r="GO24" s="525"/>
      <c r="GP24" s="525"/>
      <c r="GQ24" s="525"/>
      <c r="GR24" s="525"/>
      <c r="GS24" s="525"/>
      <c r="GT24" s="525"/>
      <c r="GU24" s="525"/>
      <c r="GV24" s="525"/>
      <c r="GW24" s="525"/>
      <c r="GX24" s="525"/>
      <c r="GY24" s="525"/>
      <c r="GZ24" s="525"/>
      <c r="HA24" s="525"/>
      <c r="HB24" s="525"/>
      <c r="HC24" s="525"/>
      <c r="HD24" s="525"/>
      <c r="HE24" s="525"/>
      <c r="HF24" s="525"/>
      <c r="HG24" s="525"/>
      <c r="HH24" s="525"/>
      <c r="HI24" s="525"/>
      <c r="HJ24" s="525"/>
      <c r="HK24" s="525"/>
      <c r="HL24" s="525"/>
      <c r="HM24" s="525"/>
      <c r="HN24" s="525"/>
      <c r="HO24" s="525"/>
      <c r="HP24" s="525"/>
      <c r="HQ24" s="525"/>
      <c r="HR24" s="525"/>
      <c r="HS24" s="525"/>
      <c r="HT24" s="525"/>
      <c r="HU24" s="525"/>
      <c r="HV24" s="525"/>
      <c r="HW24" s="525"/>
      <c r="HX24" s="525"/>
      <c r="HY24" s="525"/>
      <c r="HZ24" s="525"/>
      <c r="IA24" s="525"/>
      <c r="IB24" s="525"/>
      <c r="IC24" s="525"/>
      <c r="ID24" s="525"/>
      <c r="IE24" s="525"/>
      <c r="IF24" s="525"/>
      <c r="IG24" s="525"/>
      <c r="IH24" s="525"/>
      <c r="II24" s="525"/>
      <c r="IJ24" s="525"/>
      <c r="IK24" s="525"/>
    </row>
    <row r="25" spans="1:245" s="976" customFormat="1" ht="20.100000000000001" customHeight="1" x14ac:dyDescent="0.25">
      <c r="A25" s="525"/>
      <c r="B25" s="985"/>
      <c r="C25" s="986"/>
      <c r="D25" s="986"/>
      <c r="E25" s="986"/>
      <c r="F25" s="986"/>
      <c r="G25" s="986"/>
      <c r="H25" s="525"/>
      <c r="I25" s="2609">
        <v>1</v>
      </c>
      <c r="J25" s="2610">
        <f t="shared" ref="J25:J56" si="13">ROUND(IF(I25&gt;annuité_emprunt1,0,IF(I25&gt;différé_emprunt1,-PMT((taux_emprunt1/périodicité_emprunt1),(annuité_emprunt1-différé_emprunt1),emprunt1),emprunt1*taux_emprunt1/périodicité_emprunt1)),2)</f>
        <v>0</v>
      </c>
      <c r="K25" s="2611">
        <f t="shared" ref="K25:K26" si="14">IF(J25=0,0,J25-L25)</f>
        <v>0</v>
      </c>
      <c r="L25" s="2612">
        <f>ROUND(IF(J25=0,0,IF(I25=annuité_emprunt1,emprunt1,IF(I25&gt;différé_emprunt1,-PPMT((taux_emprunt1/périodicité_emprunt1),I25-différé_emprunt1,(annuité_emprunt1-différé_emprunt1),emprunt1),0))),2)</f>
        <v>0</v>
      </c>
      <c r="M25" s="2613">
        <f>J4-L25</f>
        <v>0</v>
      </c>
      <c r="N25" s="525"/>
      <c r="O25" s="2609">
        <v>1</v>
      </c>
      <c r="P25" s="2610">
        <f t="shared" ref="P25:P56" si="15">ROUND(IF(O25&gt;annuité_emprunt2,0,IF(O25&gt;différé_emprunt2,-PMT((taux_emprunt2/périodicité_emprunt2),(annuité_emprunt2-différé_emprunt2),emprunt2),emprunt2*taux_emprunt2/périodicité_emprunt2)),2)</f>
        <v>0</v>
      </c>
      <c r="Q25" s="2611">
        <f t="shared" ref="Q25:Q26" si="16">IF(P25=0,0,P25-R25)</f>
        <v>0</v>
      </c>
      <c r="R25" s="2612">
        <f>ROUND(IF(P25=0,0,IF(O25=annuité_emprunt2,emprunt2,IF(O25&gt;différé_emprunt2,-PPMT((taux_emprunt2/périodicité_emprunt2),O25-différé_emprunt2,(annuité_emprunt2-différé_emprunt2),emprunt2),0))),2)</f>
        <v>0</v>
      </c>
      <c r="S25" s="2613">
        <f>P4-R25</f>
        <v>0</v>
      </c>
      <c r="T25" s="525"/>
      <c r="U25" s="2609">
        <v>1</v>
      </c>
      <c r="V25" s="2610">
        <f t="shared" ref="V25:V56" si="17">ROUND(IF(U25&gt;annuité_emprunt3,0,IF(U25&gt;différé_emprunt3,-PMT((taux_emprunt3/périodicité_emprunt3),(annuité_emprunt3-différé_emprunt3),emprunt3),emprunt3*taux_emprunt3/périodicité_emprunt3)),2)</f>
        <v>0</v>
      </c>
      <c r="W25" s="2611">
        <f t="shared" ref="W25:W26" si="18">IF(V25=0,0,V25-X25)</f>
        <v>0</v>
      </c>
      <c r="X25" s="2612">
        <f>ROUND(IF(V25=0,0,IF(U25=annuité_emprunt3,emprunt3,IF(U25&gt;différé_emprunt3,-PPMT((taux_emprunt3/périodicité_emprunt3),U25-différé_emprunt3,(annuité_emprunt3-différé_emprunt3),emprunt3),0))),2)</f>
        <v>0</v>
      </c>
      <c r="Y25" s="2613">
        <f>V4-X25</f>
        <v>0</v>
      </c>
      <c r="Z25" s="525"/>
      <c r="AA25" s="2609">
        <v>1</v>
      </c>
      <c r="AB25" s="2610">
        <f t="shared" ref="AB25:AB56" si="19">ROUND(IF(AA25&gt;annuité_emprunt4,0,IF(AA25&gt;différé_emprunt4,-PMT((taux_emprunt4/périodicité_emprunt4),(annuité_emprunt4-différé_emprunt4),emprunt4),emprunt4*taux_emprunt4/périodicité_emprunt4)),2)</f>
        <v>0</v>
      </c>
      <c r="AC25" s="2611">
        <f t="shared" ref="AC25:AC26" si="20">IF(AB25=0,0,AB25-AD25)</f>
        <v>0</v>
      </c>
      <c r="AD25" s="2612">
        <f>ROUND(IF(AB25=0,0,IF(AA25=annuité_emprunt4,emprunt4,IF(AA25&gt;différé_emprunt4,-PPMT((taux_emprunt4/périodicité_emprunt4),AA25-différé_emprunt3,(annuité_emprunt4-différé_emprunt4),emprunt4),0))),2)</f>
        <v>0</v>
      </c>
      <c r="AE25" s="2613">
        <f>AB4-AD25</f>
        <v>0</v>
      </c>
      <c r="AF25" s="525"/>
      <c r="AG25" s="2609">
        <v>1</v>
      </c>
      <c r="AH25" s="2610">
        <f t="shared" ref="AH25:AH56" si="21">ROUND(IF(AG25&gt;annuité_emprunt5,0,IF(AG25&gt;différé_emprunt5,-PMT((taux_emprunt5/périodicité_emprunt5),(annuité_emprunt5-différé_emprunt5),emprunt5),emprunt5*taux_emprunt5/périodicité_emprunt5)),2)</f>
        <v>0</v>
      </c>
      <c r="AI25" s="2611">
        <f t="shared" ref="AI25:AI26" si="22">IF(AH25=0,0,AH25-AJ25)</f>
        <v>0</v>
      </c>
      <c r="AJ25" s="2612">
        <f>ROUND(IF(AH25=0,0,IF(AG25=annuité_emprunt5,emprunt5,IF(AG25&gt;différé_emprunt5,-PPMT((taux_emprunt5/périodicité_emprunt5),AG25-différé_emprunt5,(annuité_emprunt5-différé_emprunt5),emprunt5),0))),2)</f>
        <v>0</v>
      </c>
      <c r="AK25" s="2613">
        <f>AH4-AJ25</f>
        <v>0</v>
      </c>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5"/>
      <c r="CI25" s="525"/>
      <c r="CJ25" s="525"/>
      <c r="CK25" s="525"/>
      <c r="CL25" s="525"/>
      <c r="CM25" s="525"/>
      <c r="CN25" s="525"/>
      <c r="CO25" s="525"/>
      <c r="CP25" s="525"/>
      <c r="CQ25" s="525"/>
      <c r="CR25" s="525"/>
      <c r="CS25" s="525"/>
      <c r="CT25" s="525"/>
      <c r="CU25" s="525"/>
      <c r="CV25" s="525"/>
      <c r="CW25" s="525"/>
      <c r="CX25" s="525"/>
      <c r="CY25" s="525"/>
      <c r="CZ25" s="525"/>
      <c r="DA25" s="525"/>
      <c r="DB25" s="525"/>
      <c r="DC25" s="525"/>
      <c r="DD25" s="525"/>
      <c r="DE25" s="525"/>
      <c r="DF25" s="525"/>
      <c r="DG25" s="525"/>
      <c r="DH25" s="525"/>
      <c r="DI25" s="525"/>
      <c r="DJ25" s="525"/>
      <c r="DK25" s="525"/>
      <c r="DL25" s="525"/>
      <c r="DM25" s="525"/>
      <c r="DN25" s="525"/>
      <c r="DO25" s="525"/>
      <c r="DP25" s="525"/>
      <c r="DQ25" s="525"/>
      <c r="DR25" s="525"/>
      <c r="DS25" s="525"/>
      <c r="DT25" s="525"/>
      <c r="DU25" s="525"/>
      <c r="DV25" s="525"/>
      <c r="DW25" s="525"/>
      <c r="DX25" s="525"/>
      <c r="DY25" s="525"/>
      <c r="DZ25" s="525"/>
      <c r="EA25" s="525"/>
      <c r="EB25" s="525"/>
      <c r="EC25" s="525"/>
      <c r="ED25" s="525"/>
      <c r="EE25" s="525"/>
      <c r="EF25" s="525"/>
      <c r="EG25" s="525"/>
      <c r="EH25" s="525"/>
      <c r="EI25" s="525"/>
      <c r="EJ25" s="525"/>
      <c r="EK25" s="525"/>
      <c r="EL25" s="525"/>
      <c r="EM25" s="525"/>
      <c r="EN25" s="525"/>
      <c r="EO25" s="525"/>
      <c r="EP25" s="525"/>
      <c r="EQ25" s="525"/>
      <c r="ER25" s="525"/>
      <c r="ES25" s="525"/>
      <c r="ET25" s="525"/>
      <c r="EU25" s="525"/>
      <c r="EV25" s="525"/>
      <c r="EW25" s="525"/>
      <c r="EX25" s="525"/>
      <c r="EY25" s="525"/>
      <c r="EZ25" s="525"/>
      <c r="FA25" s="525"/>
      <c r="FB25" s="525"/>
      <c r="FC25" s="525"/>
      <c r="FD25" s="525"/>
      <c r="FE25" s="525"/>
      <c r="FF25" s="525"/>
      <c r="FG25" s="525"/>
      <c r="FH25" s="525"/>
      <c r="FI25" s="525"/>
      <c r="FJ25" s="525"/>
      <c r="FK25" s="525"/>
      <c r="FL25" s="525"/>
      <c r="FM25" s="525"/>
      <c r="FN25" s="525"/>
      <c r="FO25" s="525"/>
      <c r="FP25" s="525"/>
      <c r="FQ25" s="525"/>
      <c r="FR25" s="525"/>
      <c r="FS25" s="525"/>
      <c r="FT25" s="525"/>
      <c r="FU25" s="525"/>
      <c r="FV25" s="525"/>
      <c r="FW25" s="525"/>
      <c r="FX25" s="525"/>
      <c r="FY25" s="525"/>
      <c r="FZ25" s="525"/>
      <c r="GA25" s="525"/>
      <c r="GB25" s="525"/>
      <c r="GC25" s="525"/>
      <c r="GD25" s="525"/>
      <c r="GE25" s="525"/>
      <c r="GF25" s="525"/>
      <c r="GG25" s="525"/>
      <c r="GH25" s="525"/>
      <c r="GI25" s="525"/>
      <c r="GJ25" s="525"/>
      <c r="GK25" s="525"/>
      <c r="GL25" s="525"/>
      <c r="GM25" s="525"/>
      <c r="GN25" s="525"/>
      <c r="GO25" s="525"/>
      <c r="GP25" s="525"/>
      <c r="GQ25" s="525"/>
      <c r="GR25" s="525"/>
      <c r="GS25" s="525"/>
      <c r="GT25" s="525"/>
      <c r="GU25" s="525"/>
      <c r="GV25" s="525"/>
      <c r="GW25" s="525"/>
      <c r="GX25" s="525"/>
      <c r="GY25" s="525"/>
      <c r="GZ25" s="525"/>
      <c r="HA25" s="525"/>
      <c r="HB25" s="525"/>
      <c r="HC25" s="525"/>
      <c r="HD25" s="525"/>
      <c r="HE25" s="525"/>
      <c r="HF25" s="525"/>
      <c r="HG25" s="525"/>
      <c r="HH25" s="525"/>
      <c r="HI25" s="525"/>
      <c r="HJ25" s="525"/>
      <c r="HK25" s="525"/>
      <c r="HL25" s="525"/>
      <c r="HM25" s="525"/>
      <c r="HN25" s="525"/>
      <c r="HO25" s="525"/>
      <c r="HP25" s="525"/>
      <c r="HQ25" s="525"/>
      <c r="HR25" s="525"/>
      <c r="HS25" s="525"/>
      <c r="HT25" s="525"/>
      <c r="HU25" s="525"/>
      <c r="HV25" s="525"/>
      <c r="HW25" s="525"/>
      <c r="HX25" s="525"/>
      <c r="HY25" s="525"/>
      <c r="HZ25" s="525"/>
      <c r="IA25" s="525"/>
      <c r="IB25" s="525"/>
      <c r="IC25" s="525"/>
      <c r="ID25" s="525"/>
      <c r="IE25" s="525"/>
      <c r="IF25" s="525"/>
      <c r="IG25" s="525"/>
      <c r="IH25" s="525"/>
      <c r="II25" s="525"/>
      <c r="IJ25" s="525"/>
      <c r="IK25" s="525"/>
    </row>
    <row r="26" spans="1:245" s="976" customFormat="1" ht="20.100000000000001" customHeight="1" x14ac:dyDescent="0.25">
      <c r="A26" s="525"/>
      <c r="B26" s="985"/>
      <c r="C26" s="986"/>
      <c r="D26" s="986"/>
      <c r="E26" s="986"/>
      <c r="F26" s="986"/>
      <c r="G26" s="986"/>
      <c r="H26" s="525"/>
      <c r="I26" s="2604">
        <v>2</v>
      </c>
      <c r="J26" s="2607">
        <f t="shared" si="13"/>
        <v>0</v>
      </c>
      <c r="K26" s="2606">
        <f t="shared" si="14"/>
        <v>0</v>
      </c>
      <c r="L26" s="2608">
        <f t="shared" ref="L26:L57" si="23">ROUND(IF(J26=0,0,IF(I26=annuité_emprunt1,M25,IF(I26&gt;différé_emprunt1,-PPMT((taux_emprunt1/périodicité_emprunt1),I26-différé_emprunt1,(annuité_emprunt1-différé_emprunt1),emprunt1),0))),2)</f>
        <v>0</v>
      </c>
      <c r="M26" s="2607">
        <f>M25-L26</f>
        <v>0</v>
      </c>
      <c r="N26" s="525"/>
      <c r="O26" s="2604">
        <v>2</v>
      </c>
      <c r="P26" s="2607">
        <f t="shared" si="15"/>
        <v>0</v>
      </c>
      <c r="Q26" s="2606">
        <f t="shared" si="16"/>
        <v>0</v>
      </c>
      <c r="R26" s="2608">
        <f t="shared" ref="R26:R57" si="24">ROUND(IF(P26=0,0,IF(O26=annuité_emprunt2,S25,IF(O26&gt;différé_emprunt2,-PPMT((taux_emprunt2/périodicité_emprunt2),O26-différé_emprunt2,(annuité_emprunt2-différé_emprunt2),emprunt2),0))),2)</f>
        <v>0</v>
      </c>
      <c r="S26" s="2607">
        <f>S25-R26</f>
        <v>0</v>
      </c>
      <c r="T26" s="525"/>
      <c r="U26" s="2604">
        <v>2</v>
      </c>
      <c r="V26" s="2607">
        <f t="shared" si="17"/>
        <v>0</v>
      </c>
      <c r="W26" s="2606">
        <f t="shared" si="18"/>
        <v>0</v>
      </c>
      <c r="X26" s="2608">
        <f t="shared" ref="X26:X57" si="25">ROUND(IF(V26=0,0,IF(U26=annuité_emprunt3,Y25,IF(U26&gt;différé_emprunt3,-PPMT((taux_emprunt3/périodicité_emprunt3),U26-différé_emprunt3,(annuité_emprunt3-différé_emprunt3),emprunt3),0))),2)</f>
        <v>0</v>
      </c>
      <c r="Y26" s="2607">
        <f>Y25-X26</f>
        <v>0</v>
      </c>
      <c r="Z26" s="525"/>
      <c r="AA26" s="2604">
        <v>2</v>
      </c>
      <c r="AB26" s="2607">
        <f t="shared" si="19"/>
        <v>0</v>
      </c>
      <c r="AC26" s="2606">
        <f t="shared" si="20"/>
        <v>0</v>
      </c>
      <c r="AD26" s="2608">
        <f t="shared" ref="AD26:AD57" si="26">ROUND(IF(AB26=0,0,IF(AA26=annuité_emprunt4,AE25,IF(AA26&gt;différé_emprunt4,-PPMT((taux_emprunt4/périodicité_emprunt4),AA26-différé_emprunt4,(annuité_emprunt4-différé_emprunt4),emprunt4),0))),2)</f>
        <v>0</v>
      </c>
      <c r="AE26" s="2607">
        <f>AE25-AD26</f>
        <v>0</v>
      </c>
      <c r="AF26" s="525"/>
      <c r="AG26" s="2604">
        <v>2</v>
      </c>
      <c r="AH26" s="2607">
        <f t="shared" si="21"/>
        <v>0</v>
      </c>
      <c r="AI26" s="2606">
        <f t="shared" si="22"/>
        <v>0</v>
      </c>
      <c r="AJ26" s="2608">
        <f t="shared" ref="AJ26:AJ57" si="27">ROUND(IF(AH26=0,0,IF(AG26=annuité_emprunt5,AK25,IF(AG26&gt;différé_emprunt5,-PPMT((taux_emprunt5/périodicité_emprunt5),AG26-différé_emprunt5,(annuité_emprunt5-différé_emprunt5),emprunt5),0))),2)</f>
        <v>0</v>
      </c>
      <c r="AK26" s="2607">
        <f>AK25-AJ26</f>
        <v>0</v>
      </c>
      <c r="AL26" s="525"/>
      <c r="AM26" s="525"/>
      <c r="AN26" s="525"/>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525"/>
      <c r="BL26" s="525"/>
      <c r="BM26" s="525"/>
      <c r="BN26" s="525"/>
      <c r="BO26" s="525"/>
      <c r="BP26" s="525"/>
      <c r="BQ26" s="525"/>
      <c r="BR26" s="525"/>
      <c r="BS26" s="525"/>
      <c r="BT26" s="525"/>
      <c r="BU26" s="525"/>
      <c r="BV26" s="525"/>
      <c r="BW26" s="525"/>
      <c r="BX26" s="525"/>
      <c r="BY26" s="525"/>
      <c r="BZ26" s="525"/>
      <c r="CA26" s="525"/>
      <c r="CB26" s="525"/>
      <c r="CC26" s="525"/>
      <c r="CD26" s="525"/>
      <c r="CE26" s="525"/>
      <c r="CF26" s="525"/>
      <c r="CG26" s="525"/>
      <c r="CH26" s="525"/>
      <c r="CI26" s="525"/>
      <c r="CJ26" s="525"/>
      <c r="CK26" s="525"/>
      <c r="CL26" s="525"/>
      <c r="CM26" s="525"/>
      <c r="CN26" s="525"/>
      <c r="CO26" s="525"/>
      <c r="CP26" s="525"/>
      <c r="CQ26" s="525"/>
      <c r="CR26" s="525"/>
      <c r="CS26" s="525"/>
      <c r="CT26" s="525"/>
      <c r="CU26" s="525"/>
      <c r="CV26" s="525"/>
      <c r="CW26" s="525"/>
      <c r="CX26" s="525"/>
      <c r="CY26" s="525"/>
      <c r="CZ26" s="525"/>
      <c r="DA26" s="525"/>
      <c r="DB26" s="525"/>
      <c r="DC26" s="525"/>
      <c r="DD26" s="525"/>
      <c r="DE26" s="525"/>
      <c r="DF26" s="525"/>
      <c r="DG26" s="525"/>
      <c r="DH26" s="525"/>
      <c r="DI26" s="525"/>
      <c r="DJ26" s="525"/>
      <c r="DK26" s="525"/>
      <c r="DL26" s="525"/>
      <c r="DM26" s="525"/>
      <c r="DN26" s="525"/>
      <c r="DO26" s="525"/>
      <c r="DP26" s="525"/>
      <c r="DQ26" s="525"/>
      <c r="DR26" s="525"/>
      <c r="DS26" s="525"/>
      <c r="DT26" s="525"/>
      <c r="DU26" s="525"/>
      <c r="DV26" s="525"/>
      <c r="DW26" s="525"/>
      <c r="DX26" s="525"/>
      <c r="DY26" s="525"/>
      <c r="DZ26" s="525"/>
      <c r="EA26" s="525"/>
      <c r="EB26" s="525"/>
      <c r="EC26" s="525"/>
      <c r="ED26" s="525"/>
      <c r="EE26" s="525"/>
      <c r="EF26" s="525"/>
      <c r="EG26" s="525"/>
      <c r="EH26" s="525"/>
      <c r="EI26" s="525"/>
      <c r="EJ26" s="525"/>
      <c r="EK26" s="525"/>
      <c r="EL26" s="525"/>
      <c r="EM26" s="525"/>
      <c r="EN26" s="525"/>
      <c r="EO26" s="525"/>
      <c r="EP26" s="525"/>
      <c r="EQ26" s="525"/>
      <c r="ER26" s="525"/>
      <c r="ES26" s="525"/>
      <c r="ET26" s="525"/>
      <c r="EU26" s="525"/>
      <c r="EV26" s="525"/>
      <c r="EW26" s="525"/>
      <c r="EX26" s="525"/>
      <c r="EY26" s="525"/>
      <c r="EZ26" s="525"/>
      <c r="FA26" s="525"/>
      <c r="FB26" s="525"/>
      <c r="FC26" s="525"/>
      <c r="FD26" s="525"/>
      <c r="FE26" s="525"/>
      <c r="FF26" s="525"/>
      <c r="FG26" s="525"/>
      <c r="FH26" s="525"/>
      <c r="FI26" s="525"/>
      <c r="FJ26" s="525"/>
      <c r="FK26" s="525"/>
      <c r="FL26" s="525"/>
      <c r="FM26" s="525"/>
      <c r="FN26" s="525"/>
      <c r="FO26" s="525"/>
      <c r="FP26" s="525"/>
      <c r="FQ26" s="525"/>
      <c r="FR26" s="525"/>
      <c r="FS26" s="525"/>
      <c r="FT26" s="525"/>
      <c r="FU26" s="525"/>
      <c r="FV26" s="525"/>
      <c r="FW26" s="525"/>
      <c r="FX26" s="525"/>
      <c r="FY26" s="525"/>
      <c r="FZ26" s="525"/>
      <c r="GA26" s="525"/>
      <c r="GB26" s="525"/>
      <c r="GC26" s="525"/>
      <c r="GD26" s="525"/>
      <c r="GE26" s="525"/>
      <c r="GF26" s="525"/>
      <c r="GG26" s="525"/>
      <c r="GH26" s="525"/>
      <c r="GI26" s="525"/>
      <c r="GJ26" s="525"/>
      <c r="GK26" s="525"/>
      <c r="GL26" s="525"/>
      <c r="GM26" s="525"/>
      <c r="GN26" s="525"/>
      <c r="GO26" s="525"/>
      <c r="GP26" s="525"/>
      <c r="GQ26" s="525"/>
      <c r="GR26" s="525"/>
      <c r="GS26" s="525"/>
      <c r="GT26" s="525"/>
      <c r="GU26" s="525"/>
      <c r="GV26" s="525"/>
      <c r="GW26" s="525"/>
      <c r="GX26" s="525"/>
      <c r="GY26" s="525"/>
      <c r="GZ26" s="525"/>
      <c r="HA26" s="525"/>
      <c r="HB26" s="525"/>
      <c r="HC26" s="525"/>
      <c r="HD26" s="525"/>
      <c r="HE26" s="525"/>
      <c r="HF26" s="525"/>
      <c r="HG26" s="525"/>
      <c r="HH26" s="525"/>
      <c r="HI26" s="525"/>
      <c r="HJ26" s="525"/>
      <c r="HK26" s="525"/>
      <c r="HL26" s="525"/>
      <c r="HM26" s="525"/>
      <c r="HN26" s="525"/>
      <c r="HO26" s="525"/>
      <c r="HP26" s="525"/>
      <c r="HQ26" s="525"/>
      <c r="HR26" s="525"/>
      <c r="HS26" s="525"/>
      <c r="HT26" s="525"/>
      <c r="HU26" s="525"/>
      <c r="HV26" s="525"/>
      <c r="HW26" s="525"/>
      <c r="HX26" s="525"/>
      <c r="HY26" s="525"/>
      <c r="HZ26" s="525"/>
      <c r="IA26" s="525"/>
      <c r="IB26" s="525"/>
      <c r="IC26" s="525"/>
      <c r="ID26" s="525"/>
      <c r="IE26" s="525"/>
      <c r="IF26" s="525"/>
      <c r="IG26" s="525"/>
      <c r="IH26" s="525"/>
      <c r="II26" s="525"/>
      <c r="IJ26" s="525"/>
      <c r="IK26" s="525"/>
    </row>
    <row r="27" spans="1:245" s="976" customFormat="1" ht="20.100000000000001" customHeight="1" x14ac:dyDescent="0.25">
      <c r="A27" s="525"/>
      <c r="B27" s="985"/>
      <c r="C27" s="986"/>
      <c r="D27" s="986"/>
      <c r="E27" s="986"/>
      <c r="F27" s="986"/>
      <c r="G27" s="986"/>
      <c r="H27" s="525"/>
      <c r="I27" s="2605">
        <f t="shared" ref="I27:I90" si="28">1+I26</f>
        <v>3</v>
      </c>
      <c r="J27" s="2607">
        <f t="shared" si="13"/>
        <v>0</v>
      </c>
      <c r="K27" s="2606">
        <f>IF(J27=0,0,J27-L27)</f>
        <v>0</v>
      </c>
      <c r="L27" s="2608">
        <f t="shared" si="23"/>
        <v>0</v>
      </c>
      <c r="M27" s="2607">
        <f t="shared" ref="M27:M90" si="29">M26-L27</f>
        <v>0</v>
      </c>
      <c r="N27" s="525"/>
      <c r="O27" s="2605">
        <f t="shared" ref="O27:O90" si="30">1+O26</f>
        <v>3</v>
      </c>
      <c r="P27" s="2607">
        <f t="shared" si="15"/>
        <v>0</v>
      </c>
      <c r="Q27" s="2606">
        <f>IF(P27=0,0,P27-R27)</f>
        <v>0</v>
      </c>
      <c r="R27" s="2608">
        <f t="shared" si="24"/>
        <v>0</v>
      </c>
      <c r="S27" s="2607">
        <f t="shared" ref="S27:S90" si="31">S26-R27</f>
        <v>0</v>
      </c>
      <c r="T27" s="525"/>
      <c r="U27" s="2605">
        <f t="shared" ref="U27:U90" si="32">1+U26</f>
        <v>3</v>
      </c>
      <c r="V27" s="2607">
        <f t="shared" si="17"/>
        <v>0</v>
      </c>
      <c r="W27" s="2606">
        <f>IF(V27=0,0,V27-X27)</f>
        <v>0</v>
      </c>
      <c r="X27" s="2608">
        <f t="shared" si="25"/>
        <v>0</v>
      </c>
      <c r="Y27" s="2607">
        <f t="shared" ref="Y27:Y90" si="33">Y26-X27</f>
        <v>0</v>
      </c>
      <c r="Z27" s="525"/>
      <c r="AA27" s="2605">
        <f t="shared" ref="AA27:AA90" si="34">1+AA26</f>
        <v>3</v>
      </c>
      <c r="AB27" s="2607">
        <f t="shared" si="19"/>
        <v>0</v>
      </c>
      <c r="AC27" s="2606">
        <f>IF(AB27=0,0,AB27-AD27)</f>
        <v>0</v>
      </c>
      <c r="AD27" s="2608">
        <f t="shared" si="26"/>
        <v>0</v>
      </c>
      <c r="AE27" s="2607">
        <f t="shared" ref="AE27:AE90" si="35">AE26-AD27</f>
        <v>0</v>
      </c>
      <c r="AF27" s="525"/>
      <c r="AG27" s="2605">
        <f t="shared" ref="AG27:AG90" si="36">1+AG26</f>
        <v>3</v>
      </c>
      <c r="AH27" s="2607">
        <f t="shared" si="21"/>
        <v>0</v>
      </c>
      <c r="AI27" s="2606">
        <f>IF(AH27=0,0,AH27-AJ27)</f>
        <v>0</v>
      </c>
      <c r="AJ27" s="2608">
        <f t="shared" si="27"/>
        <v>0</v>
      </c>
      <c r="AK27" s="2607">
        <f t="shared" ref="AK27:AK90" si="37">AK26-AJ27</f>
        <v>0</v>
      </c>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c r="BM27" s="525"/>
      <c r="BN27" s="525"/>
      <c r="BO27" s="525"/>
      <c r="BP27" s="525"/>
      <c r="BQ27" s="525"/>
      <c r="BR27" s="525"/>
      <c r="BS27" s="525"/>
      <c r="BT27" s="525"/>
      <c r="BU27" s="525"/>
      <c r="BV27" s="525"/>
      <c r="BW27" s="525"/>
      <c r="BX27" s="525"/>
      <c r="BY27" s="525"/>
      <c r="BZ27" s="525"/>
      <c r="CA27" s="525"/>
      <c r="CB27" s="525"/>
      <c r="CC27" s="525"/>
      <c r="CD27" s="525"/>
      <c r="CE27" s="525"/>
      <c r="CF27" s="525"/>
      <c r="CG27" s="525"/>
      <c r="CH27" s="525"/>
      <c r="CI27" s="525"/>
      <c r="CJ27" s="525"/>
      <c r="CK27" s="525"/>
      <c r="CL27" s="525"/>
      <c r="CM27" s="525"/>
      <c r="CN27" s="525"/>
      <c r="CO27" s="525"/>
      <c r="CP27" s="525"/>
      <c r="CQ27" s="525"/>
      <c r="CR27" s="525"/>
      <c r="CS27" s="525"/>
      <c r="CT27" s="525"/>
      <c r="CU27" s="525"/>
      <c r="CV27" s="525"/>
      <c r="CW27" s="525"/>
      <c r="CX27" s="525"/>
      <c r="CY27" s="525"/>
      <c r="CZ27" s="525"/>
      <c r="DA27" s="525"/>
      <c r="DB27" s="525"/>
      <c r="DC27" s="525"/>
      <c r="DD27" s="525"/>
      <c r="DE27" s="525"/>
      <c r="DF27" s="525"/>
      <c r="DG27" s="525"/>
      <c r="DH27" s="525"/>
      <c r="DI27" s="525"/>
      <c r="DJ27" s="525"/>
      <c r="DK27" s="525"/>
      <c r="DL27" s="525"/>
      <c r="DM27" s="525"/>
      <c r="DN27" s="525"/>
      <c r="DO27" s="525"/>
      <c r="DP27" s="525"/>
      <c r="DQ27" s="525"/>
      <c r="DR27" s="525"/>
      <c r="DS27" s="525"/>
      <c r="DT27" s="525"/>
      <c r="DU27" s="525"/>
      <c r="DV27" s="525"/>
      <c r="DW27" s="525"/>
      <c r="DX27" s="525"/>
      <c r="DY27" s="525"/>
      <c r="DZ27" s="525"/>
      <c r="EA27" s="525"/>
      <c r="EB27" s="525"/>
      <c r="EC27" s="525"/>
      <c r="ED27" s="525"/>
      <c r="EE27" s="525"/>
      <c r="EF27" s="525"/>
      <c r="EG27" s="525"/>
      <c r="EH27" s="525"/>
      <c r="EI27" s="525"/>
      <c r="EJ27" s="525"/>
      <c r="EK27" s="525"/>
      <c r="EL27" s="525"/>
      <c r="EM27" s="525"/>
      <c r="EN27" s="525"/>
      <c r="EO27" s="525"/>
      <c r="EP27" s="525"/>
      <c r="EQ27" s="525"/>
      <c r="ER27" s="525"/>
      <c r="ES27" s="525"/>
      <c r="ET27" s="525"/>
      <c r="EU27" s="525"/>
      <c r="EV27" s="525"/>
      <c r="EW27" s="525"/>
      <c r="EX27" s="525"/>
      <c r="EY27" s="525"/>
      <c r="EZ27" s="525"/>
      <c r="FA27" s="525"/>
      <c r="FB27" s="525"/>
      <c r="FC27" s="525"/>
      <c r="FD27" s="525"/>
      <c r="FE27" s="525"/>
      <c r="FF27" s="525"/>
      <c r="FG27" s="525"/>
      <c r="FH27" s="525"/>
      <c r="FI27" s="525"/>
      <c r="FJ27" s="525"/>
      <c r="FK27" s="525"/>
      <c r="FL27" s="525"/>
      <c r="FM27" s="525"/>
      <c r="FN27" s="525"/>
      <c r="FO27" s="525"/>
      <c r="FP27" s="525"/>
      <c r="FQ27" s="525"/>
      <c r="FR27" s="525"/>
      <c r="FS27" s="525"/>
      <c r="FT27" s="525"/>
      <c r="FU27" s="525"/>
      <c r="FV27" s="525"/>
      <c r="FW27" s="525"/>
      <c r="FX27" s="525"/>
      <c r="FY27" s="525"/>
      <c r="FZ27" s="525"/>
      <c r="GA27" s="525"/>
      <c r="GB27" s="525"/>
      <c r="GC27" s="525"/>
      <c r="GD27" s="525"/>
      <c r="GE27" s="525"/>
      <c r="GF27" s="525"/>
      <c r="GG27" s="525"/>
      <c r="GH27" s="525"/>
      <c r="GI27" s="525"/>
      <c r="GJ27" s="525"/>
      <c r="GK27" s="525"/>
      <c r="GL27" s="525"/>
      <c r="GM27" s="525"/>
      <c r="GN27" s="525"/>
      <c r="GO27" s="525"/>
      <c r="GP27" s="525"/>
      <c r="GQ27" s="525"/>
      <c r="GR27" s="525"/>
      <c r="GS27" s="525"/>
      <c r="GT27" s="525"/>
      <c r="GU27" s="525"/>
      <c r="GV27" s="525"/>
      <c r="GW27" s="525"/>
      <c r="GX27" s="525"/>
      <c r="GY27" s="525"/>
      <c r="GZ27" s="525"/>
      <c r="HA27" s="525"/>
      <c r="HB27" s="525"/>
      <c r="HC27" s="525"/>
      <c r="HD27" s="525"/>
      <c r="HE27" s="525"/>
      <c r="HF27" s="525"/>
      <c r="HG27" s="525"/>
      <c r="HH27" s="525"/>
      <c r="HI27" s="525"/>
      <c r="HJ27" s="525"/>
      <c r="HK27" s="525"/>
      <c r="HL27" s="525"/>
      <c r="HM27" s="525"/>
      <c r="HN27" s="525"/>
      <c r="HO27" s="525"/>
      <c r="HP27" s="525"/>
      <c r="HQ27" s="525"/>
      <c r="HR27" s="525"/>
      <c r="HS27" s="525"/>
      <c r="HT27" s="525"/>
      <c r="HU27" s="525"/>
      <c r="HV27" s="525"/>
      <c r="HW27" s="525"/>
      <c r="HX27" s="525"/>
      <c r="HY27" s="525"/>
      <c r="HZ27" s="525"/>
      <c r="IA27" s="525"/>
      <c r="IB27" s="525"/>
      <c r="IC27" s="525"/>
      <c r="ID27" s="525"/>
      <c r="IE27" s="525"/>
      <c r="IF27" s="525"/>
      <c r="IG27" s="525"/>
      <c r="IH27" s="525"/>
      <c r="II27" s="525"/>
      <c r="IJ27" s="525"/>
      <c r="IK27" s="525"/>
    </row>
    <row r="28" spans="1:245" s="976" customFormat="1" ht="20.100000000000001" customHeight="1" x14ac:dyDescent="0.25">
      <c r="A28" s="525"/>
      <c r="B28" s="985"/>
      <c r="C28" s="986"/>
      <c r="D28" s="986"/>
      <c r="E28" s="986"/>
      <c r="F28" s="986"/>
      <c r="G28" s="986"/>
      <c r="H28" s="525"/>
      <c r="I28" s="2605">
        <f t="shared" si="28"/>
        <v>4</v>
      </c>
      <c r="J28" s="2607">
        <f t="shared" si="13"/>
        <v>0</v>
      </c>
      <c r="K28" s="2606">
        <f t="shared" ref="K28:K91" si="38">IF(J28=0,0,J28-L28)</f>
        <v>0</v>
      </c>
      <c r="L28" s="2608">
        <f t="shared" si="23"/>
        <v>0</v>
      </c>
      <c r="M28" s="2607">
        <f t="shared" si="29"/>
        <v>0</v>
      </c>
      <c r="N28" s="525"/>
      <c r="O28" s="2605">
        <f t="shared" si="30"/>
        <v>4</v>
      </c>
      <c r="P28" s="2607">
        <f t="shared" si="15"/>
        <v>0</v>
      </c>
      <c r="Q28" s="2606">
        <f t="shared" ref="Q28:Q91" si="39">IF(P28=0,0,P28-R28)</f>
        <v>0</v>
      </c>
      <c r="R28" s="2608">
        <f t="shared" si="24"/>
        <v>0</v>
      </c>
      <c r="S28" s="2607">
        <f t="shared" si="31"/>
        <v>0</v>
      </c>
      <c r="T28" s="525"/>
      <c r="U28" s="2605">
        <f t="shared" si="32"/>
        <v>4</v>
      </c>
      <c r="V28" s="2607">
        <f t="shared" si="17"/>
        <v>0</v>
      </c>
      <c r="W28" s="2606">
        <f t="shared" ref="W28:W91" si="40">IF(V28=0,0,V28-X28)</f>
        <v>0</v>
      </c>
      <c r="X28" s="2608">
        <f t="shared" si="25"/>
        <v>0</v>
      </c>
      <c r="Y28" s="2607">
        <f t="shared" si="33"/>
        <v>0</v>
      </c>
      <c r="Z28" s="525"/>
      <c r="AA28" s="2605">
        <f t="shared" si="34"/>
        <v>4</v>
      </c>
      <c r="AB28" s="2607">
        <f t="shared" si="19"/>
        <v>0</v>
      </c>
      <c r="AC28" s="2606">
        <f t="shared" ref="AC28:AC91" si="41">IF(AB28=0,0,AB28-AD28)</f>
        <v>0</v>
      </c>
      <c r="AD28" s="2608">
        <f t="shared" si="26"/>
        <v>0</v>
      </c>
      <c r="AE28" s="2607">
        <f t="shared" si="35"/>
        <v>0</v>
      </c>
      <c r="AF28" s="525"/>
      <c r="AG28" s="2605">
        <f t="shared" si="36"/>
        <v>4</v>
      </c>
      <c r="AH28" s="2607">
        <f t="shared" si="21"/>
        <v>0</v>
      </c>
      <c r="AI28" s="2606">
        <f t="shared" ref="AI28:AI91" si="42">IF(AH28=0,0,AH28-AJ28)</f>
        <v>0</v>
      </c>
      <c r="AJ28" s="2608">
        <f t="shared" si="27"/>
        <v>0</v>
      </c>
      <c r="AK28" s="2607">
        <f t="shared" si="37"/>
        <v>0</v>
      </c>
      <c r="AL28" s="525"/>
      <c r="AM28" s="525"/>
      <c r="AN28" s="525"/>
      <c r="AO28" s="525"/>
      <c r="AP28" s="525"/>
      <c r="AQ28" s="525"/>
      <c r="AR28" s="525"/>
      <c r="AS28" s="525"/>
      <c r="AT28" s="525"/>
      <c r="AU28" s="525"/>
      <c r="AV28" s="525"/>
      <c r="AW28" s="525"/>
      <c r="AX28" s="525"/>
      <c r="AY28" s="525"/>
      <c r="AZ28" s="525"/>
      <c r="BA28" s="525"/>
      <c r="BB28" s="525"/>
      <c r="BC28" s="525"/>
      <c r="BD28" s="525"/>
      <c r="BE28" s="525"/>
      <c r="BF28" s="525"/>
      <c r="BG28" s="525"/>
      <c r="BH28" s="525"/>
      <c r="BI28" s="525"/>
      <c r="BJ28" s="525"/>
      <c r="BK28" s="525"/>
      <c r="BL28" s="525"/>
      <c r="BM28" s="525"/>
      <c r="BN28" s="525"/>
      <c r="BO28" s="525"/>
      <c r="BP28" s="525"/>
      <c r="BQ28" s="525"/>
      <c r="BR28" s="525"/>
      <c r="BS28" s="525"/>
      <c r="BT28" s="525"/>
      <c r="BU28" s="525"/>
      <c r="BV28" s="525"/>
      <c r="BW28" s="525"/>
      <c r="BX28" s="525"/>
      <c r="BY28" s="525"/>
      <c r="BZ28" s="525"/>
      <c r="CA28" s="525"/>
      <c r="CB28" s="525"/>
      <c r="CC28" s="525"/>
      <c r="CD28" s="525"/>
      <c r="CE28" s="525"/>
      <c r="CF28" s="525"/>
      <c r="CG28" s="525"/>
      <c r="CH28" s="525"/>
      <c r="CI28" s="525"/>
      <c r="CJ28" s="525"/>
      <c r="CK28" s="525"/>
      <c r="CL28" s="525"/>
      <c r="CM28" s="525"/>
      <c r="CN28" s="525"/>
      <c r="CO28" s="525"/>
      <c r="CP28" s="525"/>
      <c r="CQ28" s="525"/>
      <c r="CR28" s="525"/>
      <c r="CS28" s="525"/>
      <c r="CT28" s="525"/>
      <c r="CU28" s="525"/>
      <c r="CV28" s="525"/>
      <c r="CW28" s="525"/>
      <c r="CX28" s="525"/>
      <c r="CY28" s="525"/>
      <c r="CZ28" s="525"/>
      <c r="DA28" s="525"/>
      <c r="DB28" s="525"/>
      <c r="DC28" s="525"/>
      <c r="DD28" s="525"/>
      <c r="DE28" s="525"/>
      <c r="DF28" s="525"/>
      <c r="DG28" s="525"/>
      <c r="DH28" s="525"/>
      <c r="DI28" s="525"/>
      <c r="DJ28" s="525"/>
      <c r="DK28" s="525"/>
      <c r="DL28" s="525"/>
      <c r="DM28" s="525"/>
      <c r="DN28" s="525"/>
      <c r="DO28" s="525"/>
      <c r="DP28" s="525"/>
      <c r="DQ28" s="525"/>
      <c r="DR28" s="525"/>
      <c r="DS28" s="525"/>
      <c r="DT28" s="525"/>
      <c r="DU28" s="525"/>
      <c r="DV28" s="525"/>
      <c r="DW28" s="525"/>
      <c r="DX28" s="525"/>
      <c r="DY28" s="525"/>
      <c r="DZ28" s="525"/>
      <c r="EA28" s="525"/>
      <c r="EB28" s="525"/>
      <c r="EC28" s="525"/>
      <c r="ED28" s="525"/>
      <c r="EE28" s="525"/>
      <c r="EF28" s="525"/>
      <c r="EG28" s="525"/>
      <c r="EH28" s="525"/>
      <c r="EI28" s="525"/>
      <c r="EJ28" s="525"/>
      <c r="EK28" s="525"/>
      <c r="EL28" s="525"/>
      <c r="EM28" s="525"/>
      <c r="EN28" s="525"/>
      <c r="EO28" s="525"/>
      <c r="EP28" s="525"/>
      <c r="EQ28" s="525"/>
      <c r="ER28" s="525"/>
      <c r="ES28" s="525"/>
      <c r="ET28" s="525"/>
      <c r="EU28" s="525"/>
      <c r="EV28" s="525"/>
      <c r="EW28" s="525"/>
      <c r="EX28" s="525"/>
      <c r="EY28" s="525"/>
      <c r="EZ28" s="525"/>
      <c r="FA28" s="525"/>
      <c r="FB28" s="525"/>
      <c r="FC28" s="525"/>
      <c r="FD28" s="525"/>
      <c r="FE28" s="525"/>
      <c r="FF28" s="525"/>
      <c r="FG28" s="525"/>
      <c r="FH28" s="525"/>
      <c r="FI28" s="525"/>
      <c r="FJ28" s="525"/>
      <c r="FK28" s="525"/>
      <c r="FL28" s="525"/>
      <c r="FM28" s="525"/>
      <c r="FN28" s="525"/>
      <c r="FO28" s="525"/>
      <c r="FP28" s="525"/>
      <c r="FQ28" s="525"/>
      <c r="FR28" s="525"/>
      <c r="FS28" s="525"/>
      <c r="FT28" s="525"/>
      <c r="FU28" s="525"/>
      <c r="FV28" s="525"/>
      <c r="FW28" s="525"/>
      <c r="FX28" s="525"/>
      <c r="FY28" s="525"/>
      <c r="FZ28" s="525"/>
      <c r="GA28" s="525"/>
      <c r="GB28" s="525"/>
      <c r="GC28" s="525"/>
      <c r="GD28" s="525"/>
      <c r="GE28" s="525"/>
      <c r="GF28" s="525"/>
      <c r="GG28" s="525"/>
      <c r="GH28" s="525"/>
      <c r="GI28" s="525"/>
      <c r="GJ28" s="525"/>
      <c r="GK28" s="525"/>
      <c r="GL28" s="525"/>
      <c r="GM28" s="525"/>
      <c r="GN28" s="525"/>
      <c r="GO28" s="525"/>
      <c r="GP28" s="525"/>
      <c r="GQ28" s="525"/>
      <c r="GR28" s="525"/>
      <c r="GS28" s="525"/>
      <c r="GT28" s="525"/>
      <c r="GU28" s="525"/>
      <c r="GV28" s="525"/>
      <c r="GW28" s="525"/>
      <c r="GX28" s="525"/>
      <c r="GY28" s="525"/>
      <c r="GZ28" s="525"/>
      <c r="HA28" s="525"/>
      <c r="HB28" s="525"/>
      <c r="HC28" s="525"/>
      <c r="HD28" s="525"/>
      <c r="HE28" s="525"/>
      <c r="HF28" s="525"/>
      <c r="HG28" s="525"/>
      <c r="HH28" s="525"/>
      <c r="HI28" s="525"/>
      <c r="HJ28" s="525"/>
      <c r="HK28" s="525"/>
      <c r="HL28" s="525"/>
      <c r="HM28" s="525"/>
      <c r="HN28" s="525"/>
      <c r="HO28" s="525"/>
      <c r="HP28" s="525"/>
      <c r="HQ28" s="525"/>
      <c r="HR28" s="525"/>
      <c r="HS28" s="525"/>
      <c r="HT28" s="525"/>
      <c r="HU28" s="525"/>
      <c r="HV28" s="525"/>
      <c r="HW28" s="525"/>
      <c r="HX28" s="525"/>
      <c r="HY28" s="525"/>
      <c r="HZ28" s="525"/>
      <c r="IA28" s="525"/>
      <c r="IB28" s="525"/>
      <c r="IC28" s="525"/>
      <c r="ID28" s="525"/>
      <c r="IE28" s="525"/>
      <c r="IF28" s="525"/>
      <c r="IG28" s="525"/>
      <c r="IH28" s="525"/>
      <c r="II28" s="525"/>
      <c r="IJ28" s="525"/>
      <c r="IK28" s="525"/>
    </row>
    <row r="29" spans="1:245" s="976" customFormat="1" ht="20.100000000000001" customHeight="1" x14ac:dyDescent="0.25">
      <c r="A29" s="525"/>
      <c r="B29" s="985"/>
      <c r="C29" s="986"/>
      <c r="D29" s="986"/>
      <c r="E29" s="986"/>
      <c r="F29" s="986"/>
      <c r="G29" s="986"/>
      <c r="H29" s="525"/>
      <c r="I29" s="2605">
        <f t="shared" si="28"/>
        <v>5</v>
      </c>
      <c r="J29" s="2607">
        <f t="shared" si="13"/>
        <v>0</v>
      </c>
      <c r="K29" s="2606">
        <f t="shared" si="38"/>
        <v>0</v>
      </c>
      <c r="L29" s="2608">
        <f t="shared" si="23"/>
        <v>0</v>
      </c>
      <c r="M29" s="2607">
        <f t="shared" si="29"/>
        <v>0</v>
      </c>
      <c r="N29" s="525"/>
      <c r="O29" s="2605">
        <f t="shared" si="30"/>
        <v>5</v>
      </c>
      <c r="P29" s="2607">
        <f t="shared" si="15"/>
        <v>0</v>
      </c>
      <c r="Q29" s="2606">
        <f t="shared" si="39"/>
        <v>0</v>
      </c>
      <c r="R29" s="2608">
        <f t="shared" si="24"/>
        <v>0</v>
      </c>
      <c r="S29" s="2607">
        <f t="shared" si="31"/>
        <v>0</v>
      </c>
      <c r="T29" s="525"/>
      <c r="U29" s="2605">
        <f t="shared" si="32"/>
        <v>5</v>
      </c>
      <c r="V29" s="2607">
        <f t="shared" si="17"/>
        <v>0</v>
      </c>
      <c r="W29" s="2606">
        <f t="shared" si="40"/>
        <v>0</v>
      </c>
      <c r="X29" s="2608">
        <f t="shared" si="25"/>
        <v>0</v>
      </c>
      <c r="Y29" s="2607">
        <f t="shared" si="33"/>
        <v>0</v>
      </c>
      <c r="Z29" s="525"/>
      <c r="AA29" s="2605">
        <f t="shared" si="34"/>
        <v>5</v>
      </c>
      <c r="AB29" s="2607">
        <f t="shared" si="19"/>
        <v>0</v>
      </c>
      <c r="AC29" s="2606">
        <f t="shared" si="41"/>
        <v>0</v>
      </c>
      <c r="AD29" s="2608">
        <f t="shared" si="26"/>
        <v>0</v>
      </c>
      <c r="AE29" s="2607">
        <f t="shared" si="35"/>
        <v>0</v>
      </c>
      <c r="AF29" s="525"/>
      <c r="AG29" s="2605">
        <f t="shared" si="36"/>
        <v>5</v>
      </c>
      <c r="AH29" s="2607">
        <f t="shared" si="21"/>
        <v>0</v>
      </c>
      <c r="AI29" s="2606">
        <f t="shared" si="42"/>
        <v>0</v>
      </c>
      <c r="AJ29" s="2608">
        <f t="shared" si="27"/>
        <v>0</v>
      </c>
      <c r="AK29" s="2607">
        <f t="shared" si="37"/>
        <v>0</v>
      </c>
      <c r="AL29" s="525"/>
      <c r="AM29" s="525"/>
      <c r="AN29" s="525"/>
      <c r="AO29" s="525"/>
      <c r="AP29" s="525"/>
      <c r="AQ29" s="525"/>
      <c r="AR29" s="525"/>
      <c r="AS29" s="525"/>
      <c r="AT29" s="525"/>
      <c r="AU29" s="525"/>
      <c r="AV29" s="525"/>
      <c r="AW29" s="525"/>
      <c r="AX29" s="525"/>
      <c r="AY29" s="525"/>
      <c r="AZ29" s="525"/>
      <c r="BA29" s="525"/>
      <c r="BB29" s="525"/>
      <c r="BC29" s="525"/>
      <c r="BD29" s="525"/>
      <c r="BE29" s="525"/>
      <c r="BF29" s="525"/>
      <c r="BG29" s="525"/>
      <c r="BH29" s="525"/>
      <c r="BI29" s="525"/>
      <c r="BJ29" s="525"/>
      <c r="BK29" s="525"/>
      <c r="BL29" s="525"/>
      <c r="BM29" s="525"/>
      <c r="BN29" s="525"/>
      <c r="BO29" s="525"/>
      <c r="BP29" s="525"/>
      <c r="BQ29" s="525"/>
      <c r="BR29" s="525"/>
      <c r="BS29" s="525"/>
      <c r="BT29" s="525"/>
      <c r="BU29" s="525"/>
      <c r="BV29" s="525"/>
      <c r="BW29" s="525"/>
      <c r="BX29" s="525"/>
      <c r="BY29" s="525"/>
      <c r="BZ29" s="525"/>
      <c r="CA29" s="525"/>
      <c r="CB29" s="525"/>
      <c r="CC29" s="525"/>
      <c r="CD29" s="525"/>
      <c r="CE29" s="525"/>
      <c r="CF29" s="525"/>
      <c r="CG29" s="525"/>
      <c r="CH29" s="525"/>
      <c r="CI29" s="525"/>
      <c r="CJ29" s="525"/>
      <c r="CK29" s="525"/>
      <c r="CL29" s="525"/>
      <c r="CM29" s="525"/>
      <c r="CN29" s="525"/>
      <c r="CO29" s="525"/>
      <c r="CP29" s="525"/>
      <c r="CQ29" s="525"/>
      <c r="CR29" s="525"/>
      <c r="CS29" s="525"/>
      <c r="CT29" s="525"/>
      <c r="CU29" s="525"/>
      <c r="CV29" s="525"/>
      <c r="CW29" s="525"/>
      <c r="CX29" s="525"/>
      <c r="CY29" s="525"/>
      <c r="CZ29" s="525"/>
      <c r="DA29" s="525"/>
      <c r="DB29" s="525"/>
      <c r="DC29" s="525"/>
      <c r="DD29" s="525"/>
      <c r="DE29" s="525"/>
      <c r="DF29" s="525"/>
      <c r="DG29" s="525"/>
      <c r="DH29" s="525"/>
      <c r="DI29" s="525"/>
      <c r="DJ29" s="525"/>
      <c r="DK29" s="525"/>
      <c r="DL29" s="525"/>
      <c r="DM29" s="525"/>
      <c r="DN29" s="525"/>
      <c r="DO29" s="525"/>
      <c r="DP29" s="525"/>
      <c r="DQ29" s="525"/>
      <c r="DR29" s="525"/>
      <c r="DS29" s="525"/>
      <c r="DT29" s="525"/>
      <c r="DU29" s="525"/>
      <c r="DV29" s="525"/>
      <c r="DW29" s="525"/>
      <c r="DX29" s="525"/>
      <c r="DY29" s="525"/>
      <c r="DZ29" s="525"/>
      <c r="EA29" s="525"/>
      <c r="EB29" s="525"/>
      <c r="EC29" s="525"/>
      <c r="ED29" s="525"/>
      <c r="EE29" s="525"/>
      <c r="EF29" s="525"/>
      <c r="EG29" s="525"/>
      <c r="EH29" s="525"/>
      <c r="EI29" s="525"/>
      <c r="EJ29" s="525"/>
      <c r="EK29" s="525"/>
      <c r="EL29" s="525"/>
      <c r="EM29" s="525"/>
      <c r="EN29" s="525"/>
      <c r="EO29" s="525"/>
      <c r="EP29" s="525"/>
      <c r="EQ29" s="525"/>
      <c r="ER29" s="525"/>
      <c r="ES29" s="525"/>
      <c r="ET29" s="525"/>
      <c r="EU29" s="525"/>
      <c r="EV29" s="525"/>
      <c r="EW29" s="525"/>
      <c r="EX29" s="525"/>
      <c r="EY29" s="525"/>
      <c r="EZ29" s="525"/>
      <c r="FA29" s="525"/>
      <c r="FB29" s="525"/>
      <c r="FC29" s="525"/>
      <c r="FD29" s="525"/>
      <c r="FE29" s="525"/>
      <c r="FF29" s="525"/>
      <c r="FG29" s="525"/>
      <c r="FH29" s="525"/>
      <c r="FI29" s="525"/>
      <c r="FJ29" s="525"/>
      <c r="FK29" s="525"/>
      <c r="FL29" s="525"/>
      <c r="FM29" s="525"/>
      <c r="FN29" s="525"/>
      <c r="FO29" s="525"/>
      <c r="FP29" s="525"/>
      <c r="FQ29" s="525"/>
      <c r="FR29" s="525"/>
      <c r="FS29" s="525"/>
      <c r="FT29" s="525"/>
      <c r="FU29" s="525"/>
      <c r="FV29" s="525"/>
      <c r="FW29" s="525"/>
      <c r="FX29" s="525"/>
      <c r="FY29" s="525"/>
      <c r="FZ29" s="525"/>
      <c r="GA29" s="525"/>
      <c r="GB29" s="525"/>
      <c r="GC29" s="525"/>
      <c r="GD29" s="525"/>
      <c r="GE29" s="525"/>
      <c r="GF29" s="525"/>
      <c r="GG29" s="525"/>
      <c r="GH29" s="525"/>
      <c r="GI29" s="525"/>
      <c r="GJ29" s="525"/>
      <c r="GK29" s="525"/>
      <c r="GL29" s="525"/>
      <c r="GM29" s="525"/>
      <c r="GN29" s="525"/>
      <c r="GO29" s="525"/>
      <c r="GP29" s="525"/>
      <c r="GQ29" s="525"/>
      <c r="GR29" s="525"/>
      <c r="GS29" s="525"/>
      <c r="GT29" s="525"/>
      <c r="GU29" s="525"/>
      <c r="GV29" s="525"/>
      <c r="GW29" s="525"/>
      <c r="GX29" s="525"/>
      <c r="GY29" s="525"/>
      <c r="GZ29" s="525"/>
      <c r="HA29" s="525"/>
      <c r="HB29" s="525"/>
      <c r="HC29" s="525"/>
      <c r="HD29" s="525"/>
      <c r="HE29" s="525"/>
      <c r="HF29" s="525"/>
      <c r="HG29" s="525"/>
      <c r="HH29" s="525"/>
      <c r="HI29" s="525"/>
      <c r="HJ29" s="525"/>
      <c r="HK29" s="525"/>
      <c r="HL29" s="525"/>
      <c r="HM29" s="525"/>
      <c r="HN29" s="525"/>
      <c r="HO29" s="525"/>
      <c r="HP29" s="525"/>
      <c r="HQ29" s="525"/>
      <c r="HR29" s="525"/>
      <c r="HS29" s="525"/>
      <c r="HT29" s="525"/>
      <c r="HU29" s="525"/>
      <c r="HV29" s="525"/>
      <c r="HW29" s="525"/>
      <c r="HX29" s="525"/>
      <c r="HY29" s="525"/>
      <c r="HZ29" s="525"/>
      <c r="IA29" s="525"/>
      <c r="IB29" s="525"/>
      <c r="IC29" s="525"/>
      <c r="ID29" s="525"/>
      <c r="IE29" s="525"/>
      <c r="IF29" s="525"/>
      <c r="IG29" s="525"/>
      <c r="IH29" s="525"/>
      <c r="II29" s="525"/>
      <c r="IJ29" s="525"/>
      <c r="IK29" s="525"/>
    </row>
    <row r="30" spans="1:245" s="976" customFormat="1" ht="20.100000000000001" customHeight="1" x14ac:dyDescent="0.25">
      <c r="A30" s="525"/>
      <c r="B30" s="985"/>
      <c r="C30" s="986"/>
      <c r="D30" s="986"/>
      <c r="E30" s="986"/>
      <c r="F30" s="986"/>
      <c r="G30" s="986"/>
      <c r="H30" s="525"/>
      <c r="I30" s="2605">
        <f t="shared" si="28"/>
        <v>6</v>
      </c>
      <c r="J30" s="2607">
        <f t="shared" si="13"/>
        <v>0</v>
      </c>
      <c r="K30" s="2606">
        <f t="shared" si="38"/>
        <v>0</v>
      </c>
      <c r="L30" s="2608">
        <f t="shared" si="23"/>
        <v>0</v>
      </c>
      <c r="M30" s="2607">
        <f t="shared" si="29"/>
        <v>0</v>
      </c>
      <c r="N30" s="525"/>
      <c r="O30" s="2605">
        <f t="shared" si="30"/>
        <v>6</v>
      </c>
      <c r="P30" s="2607">
        <f t="shared" si="15"/>
        <v>0</v>
      </c>
      <c r="Q30" s="2606">
        <f t="shared" si="39"/>
        <v>0</v>
      </c>
      <c r="R30" s="2608">
        <f t="shared" si="24"/>
        <v>0</v>
      </c>
      <c r="S30" s="2607">
        <f t="shared" si="31"/>
        <v>0</v>
      </c>
      <c r="T30" s="525"/>
      <c r="U30" s="2605">
        <f t="shared" si="32"/>
        <v>6</v>
      </c>
      <c r="V30" s="2607">
        <f t="shared" si="17"/>
        <v>0</v>
      </c>
      <c r="W30" s="2606">
        <f t="shared" si="40"/>
        <v>0</v>
      </c>
      <c r="X30" s="2608">
        <f t="shared" si="25"/>
        <v>0</v>
      </c>
      <c r="Y30" s="2607">
        <f t="shared" si="33"/>
        <v>0</v>
      </c>
      <c r="Z30" s="525"/>
      <c r="AA30" s="2605">
        <f t="shared" si="34"/>
        <v>6</v>
      </c>
      <c r="AB30" s="2607">
        <f t="shared" si="19"/>
        <v>0</v>
      </c>
      <c r="AC30" s="2606">
        <f t="shared" si="41"/>
        <v>0</v>
      </c>
      <c r="AD30" s="2608">
        <f t="shared" si="26"/>
        <v>0</v>
      </c>
      <c r="AE30" s="2607">
        <f t="shared" si="35"/>
        <v>0</v>
      </c>
      <c r="AF30" s="525"/>
      <c r="AG30" s="2605">
        <f t="shared" si="36"/>
        <v>6</v>
      </c>
      <c r="AH30" s="2607">
        <f t="shared" si="21"/>
        <v>0</v>
      </c>
      <c r="AI30" s="2606">
        <f t="shared" si="42"/>
        <v>0</v>
      </c>
      <c r="AJ30" s="2608">
        <f t="shared" si="27"/>
        <v>0</v>
      </c>
      <c r="AK30" s="2607">
        <f t="shared" si="37"/>
        <v>0</v>
      </c>
      <c r="AL30" s="525"/>
      <c r="AM30" s="525"/>
      <c r="AN30" s="525"/>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525"/>
      <c r="BL30" s="525"/>
      <c r="BM30" s="525"/>
      <c r="BN30" s="525"/>
      <c r="BO30" s="525"/>
      <c r="BP30" s="525"/>
      <c r="BQ30" s="525"/>
      <c r="BR30" s="525"/>
      <c r="BS30" s="525"/>
      <c r="BT30" s="525"/>
      <c r="BU30" s="525"/>
      <c r="BV30" s="525"/>
      <c r="BW30" s="525"/>
      <c r="BX30" s="525"/>
      <c r="BY30" s="525"/>
      <c r="BZ30" s="525"/>
      <c r="CA30" s="525"/>
      <c r="CB30" s="525"/>
      <c r="CC30" s="525"/>
      <c r="CD30" s="525"/>
      <c r="CE30" s="525"/>
      <c r="CF30" s="525"/>
      <c r="CG30" s="525"/>
      <c r="CH30" s="525"/>
      <c r="CI30" s="525"/>
      <c r="CJ30" s="525"/>
      <c r="CK30" s="525"/>
      <c r="CL30" s="525"/>
      <c r="CM30" s="525"/>
      <c r="CN30" s="525"/>
      <c r="CO30" s="525"/>
      <c r="CP30" s="525"/>
      <c r="CQ30" s="525"/>
      <c r="CR30" s="525"/>
      <c r="CS30" s="525"/>
      <c r="CT30" s="525"/>
      <c r="CU30" s="525"/>
      <c r="CV30" s="525"/>
      <c r="CW30" s="525"/>
      <c r="CX30" s="525"/>
      <c r="CY30" s="525"/>
      <c r="CZ30" s="525"/>
      <c r="DA30" s="525"/>
      <c r="DB30" s="525"/>
      <c r="DC30" s="525"/>
      <c r="DD30" s="525"/>
      <c r="DE30" s="525"/>
      <c r="DF30" s="525"/>
      <c r="DG30" s="525"/>
      <c r="DH30" s="525"/>
      <c r="DI30" s="525"/>
      <c r="DJ30" s="525"/>
      <c r="DK30" s="525"/>
      <c r="DL30" s="525"/>
      <c r="DM30" s="525"/>
      <c r="DN30" s="525"/>
      <c r="DO30" s="525"/>
      <c r="DP30" s="525"/>
      <c r="DQ30" s="525"/>
      <c r="DR30" s="525"/>
      <c r="DS30" s="525"/>
      <c r="DT30" s="525"/>
      <c r="DU30" s="525"/>
      <c r="DV30" s="525"/>
      <c r="DW30" s="525"/>
      <c r="DX30" s="525"/>
      <c r="DY30" s="525"/>
      <c r="DZ30" s="525"/>
      <c r="EA30" s="525"/>
      <c r="EB30" s="525"/>
      <c r="EC30" s="525"/>
      <c r="ED30" s="525"/>
      <c r="EE30" s="525"/>
      <c r="EF30" s="525"/>
      <c r="EG30" s="525"/>
      <c r="EH30" s="525"/>
      <c r="EI30" s="525"/>
      <c r="EJ30" s="525"/>
      <c r="EK30" s="525"/>
      <c r="EL30" s="525"/>
      <c r="EM30" s="525"/>
      <c r="EN30" s="525"/>
      <c r="EO30" s="525"/>
      <c r="EP30" s="525"/>
      <c r="EQ30" s="525"/>
      <c r="ER30" s="525"/>
      <c r="ES30" s="525"/>
      <c r="ET30" s="525"/>
      <c r="EU30" s="525"/>
      <c r="EV30" s="525"/>
      <c r="EW30" s="525"/>
      <c r="EX30" s="525"/>
      <c r="EY30" s="525"/>
      <c r="EZ30" s="525"/>
      <c r="FA30" s="525"/>
      <c r="FB30" s="525"/>
      <c r="FC30" s="525"/>
      <c r="FD30" s="525"/>
      <c r="FE30" s="525"/>
      <c r="FF30" s="525"/>
      <c r="FG30" s="525"/>
      <c r="FH30" s="525"/>
      <c r="FI30" s="525"/>
      <c r="FJ30" s="525"/>
      <c r="FK30" s="525"/>
      <c r="FL30" s="525"/>
      <c r="FM30" s="525"/>
      <c r="FN30" s="525"/>
      <c r="FO30" s="525"/>
      <c r="FP30" s="525"/>
      <c r="FQ30" s="525"/>
      <c r="FR30" s="525"/>
      <c r="FS30" s="525"/>
      <c r="FT30" s="525"/>
      <c r="FU30" s="525"/>
      <c r="FV30" s="525"/>
      <c r="FW30" s="525"/>
      <c r="FX30" s="525"/>
      <c r="FY30" s="525"/>
      <c r="FZ30" s="525"/>
      <c r="GA30" s="525"/>
      <c r="GB30" s="525"/>
      <c r="GC30" s="525"/>
      <c r="GD30" s="525"/>
      <c r="GE30" s="525"/>
      <c r="GF30" s="525"/>
      <c r="GG30" s="525"/>
      <c r="GH30" s="525"/>
      <c r="GI30" s="525"/>
      <c r="GJ30" s="525"/>
      <c r="GK30" s="525"/>
      <c r="GL30" s="525"/>
      <c r="GM30" s="525"/>
      <c r="GN30" s="525"/>
      <c r="GO30" s="525"/>
      <c r="GP30" s="525"/>
      <c r="GQ30" s="525"/>
      <c r="GR30" s="525"/>
      <c r="GS30" s="525"/>
      <c r="GT30" s="525"/>
      <c r="GU30" s="525"/>
      <c r="GV30" s="525"/>
      <c r="GW30" s="525"/>
      <c r="GX30" s="525"/>
      <c r="GY30" s="525"/>
      <c r="GZ30" s="525"/>
      <c r="HA30" s="525"/>
      <c r="HB30" s="525"/>
      <c r="HC30" s="525"/>
      <c r="HD30" s="525"/>
      <c r="HE30" s="525"/>
      <c r="HF30" s="525"/>
      <c r="HG30" s="525"/>
      <c r="HH30" s="525"/>
      <c r="HI30" s="525"/>
      <c r="HJ30" s="525"/>
      <c r="HK30" s="525"/>
      <c r="HL30" s="525"/>
      <c r="HM30" s="525"/>
      <c r="HN30" s="525"/>
      <c r="HO30" s="525"/>
      <c r="HP30" s="525"/>
      <c r="HQ30" s="525"/>
      <c r="HR30" s="525"/>
      <c r="HS30" s="525"/>
      <c r="HT30" s="525"/>
      <c r="HU30" s="525"/>
      <c r="HV30" s="525"/>
      <c r="HW30" s="525"/>
      <c r="HX30" s="525"/>
      <c r="HY30" s="525"/>
      <c r="HZ30" s="525"/>
      <c r="IA30" s="525"/>
      <c r="IB30" s="525"/>
      <c r="IC30" s="525"/>
      <c r="ID30" s="525"/>
      <c r="IE30" s="525"/>
      <c r="IF30" s="525"/>
      <c r="IG30" s="525"/>
      <c r="IH30" s="525"/>
      <c r="II30" s="525"/>
      <c r="IJ30" s="525"/>
      <c r="IK30" s="525"/>
    </row>
    <row r="31" spans="1:245" s="976" customFormat="1" ht="20.100000000000001" customHeight="1" x14ac:dyDescent="0.25">
      <c r="A31" s="525"/>
      <c r="B31" s="985"/>
      <c r="C31" s="986"/>
      <c r="D31" s="986"/>
      <c r="E31" s="986"/>
      <c r="F31" s="986"/>
      <c r="G31" s="986"/>
      <c r="H31" s="525"/>
      <c r="I31" s="2605">
        <f t="shared" si="28"/>
        <v>7</v>
      </c>
      <c r="J31" s="2607">
        <f t="shared" si="13"/>
        <v>0</v>
      </c>
      <c r="K31" s="2606">
        <f t="shared" si="38"/>
        <v>0</v>
      </c>
      <c r="L31" s="2608">
        <f t="shared" si="23"/>
        <v>0</v>
      </c>
      <c r="M31" s="2607">
        <f t="shared" si="29"/>
        <v>0</v>
      </c>
      <c r="N31" s="525"/>
      <c r="O31" s="2605">
        <f t="shared" si="30"/>
        <v>7</v>
      </c>
      <c r="P31" s="2607">
        <f t="shared" si="15"/>
        <v>0</v>
      </c>
      <c r="Q31" s="2606">
        <f t="shared" si="39"/>
        <v>0</v>
      </c>
      <c r="R31" s="2608">
        <f t="shared" si="24"/>
        <v>0</v>
      </c>
      <c r="S31" s="2607">
        <f t="shared" si="31"/>
        <v>0</v>
      </c>
      <c r="T31" s="525"/>
      <c r="U31" s="2605">
        <f t="shared" si="32"/>
        <v>7</v>
      </c>
      <c r="V31" s="2607">
        <f t="shared" si="17"/>
        <v>0</v>
      </c>
      <c r="W31" s="2606">
        <f t="shared" si="40"/>
        <v>0</v>
      </c>
      <c r="X31" s="2608">
        <f t="shared" si="25"/>
        <v>0</v>
      </c>
      <c r="Y31" s="2607">
        <f t="shared" si="33"/>
        <v>0</v>
      </c>
      <c r="Z31" s="525"/>
      <c r="AA31" s="2605">
        <f t="shared" si="34"/>
        <v>7</v>
      </c>
      <c r="AB31" s="2607">
        <f t="shared" si="19"/>
        <v>0</v>
      </c>
      <c r="AC31" s="2606">
        <f t="shared" si="41"/>
        <v>0</v>
      </c>
      <c r="AD31" s="2608">
        <f t="shared" si="26"/>
        <v>0</v>
      </c>
      <c r="AE31" s="2607">
        <f t="shared" si="35"/>
        <v>0</v>
      </c>
      <c r="AF31" s="525"/>
      <c r="AG31" s="2605">
        <f t="shared" si="36"/>
        <v>7</v>
      </c>
      <c r="AH31" s="2607">
        <f t="shared" si="21"/>
        <v>0</v>
      </c>
      <c r="AI31" s="2606">
        <f t="shared" si="42"/>
        <v>0</v>
      </c>
      <c r="AJ31" s="2608">
        <f t="shared" si="27"/>
        <v>0</v>
      </c>
      <c r="AK31" s="2607">
        <f t="shared" si="37"/>
        <v>0</v>
      </c>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525"/>
      <c r="BX31" s="525"/>
      <c r="BY31" s="525"/>
      <c r="BZ31" s="525"/>
      <c r="CA31" s="525"/>
      <c r="CB31" s="525"/>
      <c r="CC31" s="525"/>
      <c r="CD31" s="525"/>
      <c r="CE31" s="525"/>
      <c r="CF31" s="525"/>
      <c r="CG31" s="525"/>
      <c r="CH31" s="525"/>
      <c r="CI31" s="525"/>
      <c r="CJ31" s="525"/>
      <c r="CK31" s="525"/>
      <c r="CL31" s="525"/>
      <c r="CM31" s="525"/>
      <c r="CN31" s="525"/>
      <c r="CO31" s="525"/>
      <c r="CP31" s="525"/>
      <c r="CQ31" s="525"/>
      <c r="CR31" s="525"/>
      <c r="CS31" s="525"/>
      <c r="CT31" s="525"/>
      <c r="CU31" s="525"/>
      <c r="CV31" s="525"/>
      <c r="CW31" s="525"/>
      <c r="CX31" s="525"/>
      <c r="CY31" s="525"/>
      <c r="CZ31" s="525"/>
      <c r="DA31" s="525"/>
      <c r="DB31" s="525"/>
      <c r="DC31" s="525"/>
      <c r="DD31" s="525"/>
      <c r="DE31" s="525"/>
      <c r="DF31" s="525"/>
      <c r="DG31" s="525"/>
      <c r="DH31" s="525"/>
      <c r="DI31" s="525"/>
      <c r="DJ31" s="525"/>
      <c r="DK31" s="525"/>
      <c r="DL31" s="525"/>
      <c r="DM31" s="525"/>
      <c r="DN31" s="525"/>
      <c r="DO31" s="525"/>
      <c r="DP31" s="525"/>
      <c r="DQ31" s="525"/>
      <c r="DR31" s="525"/>
      <c r="DS31" s="525"/>
      <c r="DT31" s="525"/>
      <c r="DU31" s="525"/>
      <c r="DV31" s="525"/>
      <c r="DW31" s="525"/>
      <c r="DX31" s="525"/>
      <c r="DY31" s="525"/>
      <c r="DZ31" s="525"/>
      <c r="EA31" s="525"/>
      <c r="EB31" s="525"/>
      <c r="EC31" s="525"/>
      <c r="ED31" s="525"/>
      <c r="EE31" s="525"/>
      <c r="EF31" s="525"/>
      <c r="EG31" s="525"/>
      <c r="EH31" s="525"/>
      <c r="EI31" s="525"/>
      <c r="EJ31" s="525"/>
      <c r="EK31" s="525"/>
      <c r="EL31" s="525"/>
      <c r="EM31" s="525"/>
      <c r="EN31" s="525"/>
      <c r="EO31" s="525"/>
      <c r="EP31" s="525"/>
      <c r="EQ31" s="525"/>
      <c r="ER31" s="525"/>
      <c r="ES31" s="525"/>
      <c r="ET31" s="525"/>
      <c r="EU31" s="525"/>
      <c r="EV31" s="525"/>
      <c r="EW31" s="525"/>
      <c r="EX31" s="525"/>
      <c r="EY31" s="525"/>
      <c r="EZ31" s="525"/>
      <c r="FA31" s="525"/>
      <c r="FB31" s="525"/>
      <c r="FC31" s="525"/>
      <c r="FD31" s="525"/>
      <c r="FE31" s="525"/>
      <c r="FF31" s="525"/>
      <c r="FG31" s="525"/>
      <c r="FH31" s="525"/>
      <c r="FI31" s="525"/>
      <c r="FJ31" s="525"/>
      <c r="FK31" s="525"/>
      <c r="FL31" s="525"/>
      <c r="FM31" s="525"/>
      <c r="FN31" s="525"/>
      <c r="FO31" s="525"/>
      <c r="FP31" s="525"/>
      <c r="FQ31" s="525"/>
      <c r="FR31" s="525"/>
      <c r="FS31" s="525"/>
      <c r="FT31" s="525"/>
      <c r="FU31" s="525"/>
      <c r="FV31" s="525"/>
      <c r="FW31" s="525"/>
      <c r="FX31" s="525"/>
      <c r="FY31" s="525"/>
      <c r="FZ31" s="525"/>
      <c r="GA31" s="525"/>
      <c r="GB31" s="525"/>
      <c r="GC31" s="525"/>
      <c r="GD31" s="525"/>
      <c r="GE31" s="525"/>
      <c r="GF31" s="525"/>
      <c r="GG31" s="525"/>
      <c r="GH31" s="525"/>
      <c r="GI31" s="525"/>
      <c r="GJ31" s="525"/>
      <c r="GK31" s="525"/>
      <c r="GL31" s="525"/>
      <c r="GM31" s="525"/>
      <c r="GN31" s="525"/>
      <c r="GO31" s="525"/>
      <c r="GP31" s="525"/>
      <c r="GQ31" s="525"/>
      <c r="GR31" s="525"/>
      <c r="GS31" s="525"/>
      <c r="GT31" s="525"/>
      <c r="GU31" s="525"/>
      <c r="GV31" s="525"/>
      <c r="GW31" s="525"/>
      <c r="GX31" s="525"/>
      <c r="GY31" s="525"/>
      <c r="GZ31" s="525"/>
      <c r="HA31" s="525"/>
      <c r="HB31" s="525"/>
      <c r="HC31" s="525"/>
      <c r="HD31" s="525"/>
      <c r="HE31" s="525"/>
      <c r="HF31" s="525"/>
      <c r="HG31" s="525"/>
      <c r="HH31" s="525"/>
      <c r="HI31" s="525"/>
      <c r="HJ31" s="525"/>
      <c r="HK31" s="525"/>
      <c r="HL31" s="525"/>
      <c r="HM31" s="525"/>
      <c r="HN31" s="525"/>
      <c r="HO31" s="525"/>
      <c r="HP31" s="525"/>
      <c r="HQ31" s="525"/>
      <c r="HR31" s="525"/>
      <c r="HS31" s="525"/>
      <c r="HT31" s="525"/>
      <c r="HU31" s="525"/>
      <c r="HV31" s="525"/>
      <c r="HW31" s="525"/>
      <c r="HX31" s="525"/>
      <c r="HY31" s="525"/>
      <c r="HZ31" s="525"/>
      <c r="IA31" s="525"/>
      <c r="IB31" s="525"/>
      <c r="IC31" s="525"/>
      <c r="ID31" s="525"/>
      <c r="IE31" s="525"/>
      <c r="IF31" s="525"/>
      <c r="IG31" s="525"/>
      <c r="IH31" s="525"/>
      <c r="II31" s="525"/>
      <c r="IJ31" s="525"/>
      <c r="IK31" s="525"/>
    </row>
    <row r="32" spans="1:245" s="976" customFormat="1" ht="20.100000000000001" customHeight="1" x14ac:dyDescent="0.25">
      <c r="A32" s="525"/>
      <c r="B32" s="985"/>
      <c r="C32" s="986"/>
      <c r="D32" s="986"/>
      <c r="E32" s="986"/>
      <c r="F32" s="986"/>
      <c r="G32" s="986"/>
      <c r="H32" s="525"/>
      <c r="I32" s="2605">
        <f t="shared" si="28"/>
        <v>8</v>
      </c>
      <c r="J32" s="2607">
        <f t="shared" si="13"/>
        <v>0</v>
      </c>
      <c r="K32" s="2606">
        <f t="shared" si="38"/>
        <v>0</v>
      </c>
      <c r="L32" s="2608">
        <f t="shared" si="23"/>
        <v>0</v>
      </c>
      <c r="M32" s="2607">
        <f t="shared" si="29"/>
        <v>0</v>
      </c>
      <c r="N32" s="525"/>
      <c r="O32" s="2605">
        <f t="shared" si="30"/>
        <v>8</v>
      </c>
      <c r="P32" s="2607">
        <f t="shared" si="15"/>
        <v>0</v>
      </c>
      <c r="Q32" s="2606">
        <f t="shared" si="39"/>
        <v>0</v>
      </c>
      <c r="R32" s="2608">
        <f t="shared" si="24"/>
        <v>0</v>
      </c>
      <c r="S32" s="2607">
        <f t="shared" si="31"/>
        <v>0</v>
      </c>
      <c r="T32" s="525"/>
      <c r="U32" s="2605">
        <f t="shared" si="32"/>
        <v>8</v>
      </c>
      <c r="V32" s="2607">
        <f t="shared" si="17"/>
        <v>0</v>
      </c>
      <c r="W32" s="2606">
        <f t="shared" si="40"/>
        <v>0</v>
      </c>
      <c r="X32" s="2608">
        <f t="shared" si="25"/>
        <v>0</v>
      </c>
      <c r="Y32" s="2607">
        <f t="shared" si="33"/>
        <v>0</v>
      </c>
      <c r="Z32" s="525"/>
      <c r="AA32" s="2605">
        <f t="shared" si="34"/>
        <v>8</v>
      </c>
      <c r="AB32" s="2607">
        <f t="shared" si="19"/>
        <v>0</v>
      </c>
      <c r="AC32" s="2606">
        <f t="shared" si="41"/>
        <v>0</v>
      </c>
      <c r="AD32" s="2608">
        <f t="shared" si="26"/>
        <v>0</v>
      </c>
      <c r="AE32" s="2607">
        <f t="shared" si="35"/>
        <v>0</v>
      </c>
      <c r="AF32" s="525"/>
      <c r="AG32" s="2605">
        <f t="shared" si="36"/>
        <v>8</v>
      </c>
      <c r="AH32" s="2607">
        <f t="shared" si="21"/>
        <v>0</v>
      </c>
      <c r="AI32" s="2606">
        <f t="shared" si="42"/>
        <v>0</v>
      </c>
      <c r="AJ32" s="2608">
        <f t="shared" si="27"/>
        <v>0</v>
      </c>
      <c r="AK32" s="2607">
        <f t="shared" si="37"/>
        <v>0</v>
      </c>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25"/>
      <c r="BM32" s="525"/>
      <c r="BN32" s="525"/>
      <c r="BO32" s="525"/>
      <c r="BP32" s="525"/>
      <c r="BQ32" s="525"/>
      <c r="BR32" s="525"/>
      <c r="BS32" s="525"/>
      <c r="BT32" s="525"/>
      <c r="BU32" s="525"/>
      <c r="BV32" s="525"/>
      <c r="BW32" s="525"/>
      <c r="BX32" s="525"/>
      <c r="BY32" s="525"/>
      <c r="BZ32" s="525"/>
      <c r="CA32" s="525"/>
      <c r="CB32" s="525"/>
      <c r="CC32" s="525"/>
      <c r="CD32" s="525"/>
      <c r="CE32" s="525"/>
      <c r="CF32" s="525"/>
      <c r="CG32" s="525"/>
      <c r="CH32" s="525"/>
      <c r="CI32" s="525"/>
      <c r="CJ32" s="525"/>
      <c r="CK32" s="525"/>
      <c r="CL32" s="525"/>
      <c r="CM32" s="525"/>
      <c r="CN32" s="525"/>
      <c r="CO32" s="525"/>
      <c r="CP32" s="525"/>
      <c r="CQ32" s="525"/>
      <c r="CR32" s="525"/>
      <c r="CS32" s="525"/>
      <c r="CT32" s="525"/>
      <c r="CU32" s="525"/>
      <c r="CV32" s="525"/>
      <c r="CW32" s="525"/>
      <c r="CX32" s="525"/>
      <c r="CY32" s="525"/>
      <c r="CZ32" s="525"/>
      <c r="DA32" s="525"/>
      <c r="DB32" s="525"/>
      <c r="DC32" s="525"/>
      <c r="DD32" s="525"/>
      <c r="DE32" s="525"/>
      <c r="DF32" s="525"/>
      <c r="DG32" s="525"/>
      <c r="DH32" s="525"/>
      <c r="DI32" s="525"/>
      <c r="DJ32" s="525"/>
      <c r="DK32" s="525"/>
      <c r="DL32" s="525"/>
      <c r="DM32" s="525"/>
      <c r="DN32" s="525"/>
      <c r="DO32" s="525"/>
      <c r="DP32" s="525"/>
      <c r="DQ32" s="525"/>
      <c r="DR32" s="525"/>
      <c r="DS32" s="525"/>
      <c r="DT32" s="525"/>
      <c r="DU32" s="525"/>
      <c r="DV32" s="525"/>
      <c r="DW32" s="525"/>
      <c r="DX32" s="525"/>
      <c r="DY32" s="525"/>
      <c r="DZ32" s="525"/>
      <c r="EA32" s="525"/>
      <c r="EB32" s="525"/>
      <c r="EC32" s="525"/>
      <c r="ED32" s="525"/>
      <c r="EE32" s="525"/>
      <c r="EF32" s="525"/>
      <c r="EG32" s="525"/>
      <c r="EH32" s="525"/>
      <c r="EI32" s="525"/>
      <c r="EJ32" s="525"/>
      <c r="EK32" s="525"/>
      <c r="EL32" s="525"/>
      <c r="EM32" s="525"/>
      <c r="EN32" s="525"/>
      <c r="EO32" s="525"/>
      <c r="EP32" s="525"/>
      <c r="EQ32" s="525"/>
      <c r="ER32" s="525"/>
      <c r="ES32" s="525"/>
      <c r="ET32" s="525"/>
      <c r="EU32" s="525"/>
      <c r="EV32" s="525"/>
      <c r="EW32" s="525"/>
      <c r="EX32" s="525"/>
      <c r="EY32" s="525"/>
      <c r="EZ32" s="525"/>
      <c r="FA32" s="525"/>
      <c r="FB32" s="525"/>
      <c r="FC32" s="525"/>
      <c r="FD32" s="525"/>
      <c r="FE32" s="525"/>
      <c r="FF32" s="525"/>
      <c r="FG32" s="525"/>
      <c r="FH32" s="525"/>
      <c r="FI32" s="525"/>
      <c r="FJ32" s="525"/>
      <c r="FK32" s="525"/>
      <c r="FL32" s="525"/>
      <c r="FM32" s="525"/>
      <c r="FN32" s="525"/>
      <c r="FO32" s="525"/>
      <c r="FP32" s="525"/>
      <c r="FQ32" s="525"/>
      <c r="FR32" s="525"/>
      <c r="FS32" s="525"/>
      <c r="FT32" s="525"/>
      <c r="FU32" s="525"/>
      <c r="FV32" s="525"/>
      <c r="FW32" s="525"/>
      <c r="FX32" s="525"/>
      <c r="FY32" s="525"/>
      <c r="FZ32" s="525"/>
      <c r="GA32" s="525"/>
      <c r="GB32" s="525"/>
      <c r="GC32" s="525"/>
      <c r="GD32" s="525"/>
      <c r="GE32" s="525"/>
      <c r="GF32" s="525"/>
      <c r="GG32" s="525"/>
      <c r="GH32" s="525"/>
      <c r="GI32" s="525"/>
      <c r="GJ32" s="525"/>
      <c r="GK32" s="525"/>
      <c r="GL32" s="525"/>
      <c r="GM32" s="525"/>
      <c r="GN32" s="525"/>
      <c r="GO32" s="525"/>
      <c r="GP32" s="525"/>
      <c r="GQ32" s="525"/>
      <c r="GR32" s="525"/>
      <c r="GS32" s="525"/>
      <c r="GT32" s="525"/>
      <c r="GU32" s="525"/>
      <c r="GV32" s="525"/>
      <c r="GW32" s="525"/>
      <c r="GX32" s="525"/>
      <c r="GY32" s="525"/>
      <c r="GZ32" s="525"/>
      <c r="HA32" s="525"/>
      <c r="HB32" s="525"/>
      <c r="HC32" s="525"/>
      <c r="HD32" s="525"/>
      <c r="HE32" s="525"/>
      <c r="HF32" s="525"/>
      <c r="HG32" s="525"/>
      <c r="HH32" s="525"/>
      <c r="HI32" s="525"/>
      <c r="HJ32" s="525"/>
      <c r="HK32" s="525"/>
      <c r="HL32" s="525"/>
      <c r="HM32" s="525"/>
      <c r="HN32" s="525"/>
      <c r="HO32" s="525"/>
      <c r="HP32" s="525"/>
      <c r="HQ32" s="525"/>
      <c r="HR32" s="525"/>
      <c r="HS32" s="525"/>
      <c r="HT32" s="525"/>
      <c r="HU32" s="525"/>
      <c r="HV32" s="525"/>
      <c r="HW32" s="525"/>
      <c r="HX32" s="525"/>
      <c r="HY32" s="525"/>
      <c r="HZ32" s="525"/>
      <c r="IA32" s="525"/>
      <c r="IB32" s="525"/>
      <c r="IC32" s="525"/>
      <c r="ID32" s="525"/>
      <c r="IE32" s="525"/>
      <c r="IF32" s="525"/>
      <c r="IG32" s="525"/>
      <c r="IH32" s="525"/>
      <c r="II32" s="525"/>
      <c r="IJ32" s="525"/>
      <c r="IK32" s="525"/>
    </row>
    <row r="33" spans="1:245" s="976" customFormat="1" ht="20.100000000000001" customHeight="1" x14ac:dyDescent="0.25">
      <c r="A33" s="525"/>
      <c r="B33" s="985"/>
      <c r="C33" s="986"/>
      <c r="D33" s="986"/>
      <c r="E33" s="986"/>
      <c r="F33" s="986"/>
      <c r="G33" s="986"/>
      <c r="H33" s="525"/>
      <c r="I33" s="2605">
        <f t="shared" si="28"/>
        <v>9</v>
      </c>
      <c r="J33" s="2607">
        <f t="shared" si="13"/>
        <v>0</v>
      </c>
      <c r="K33" s="2606">
        <f t="shared" si="38"/>
        <v>0</v>
      </c>
      <c r="L33" s="2608">
        <f t="shared" si="23"/>
        <v>0</v>
      </c>
      <c r="M33" s="2607">
        <f t="shared" si="29"/>
        <v>0</v>
      </c>
      <c r="N33" s="525"/>
      <c r="O33" s="2605">
        <f t="shared" si="30"/>
        <v>9</v>
      </c>
      <c r="P33" s="2607">
        <f t="shared" si="15"/>
        <v>0</v>
      </c>
      <c r="Q33" s="2606">
        <f t="shared" si="39"/>
        <v>0</v>
      </c>
      <c r="R33" s="2608">
        <f t="shared" si="24"/>
        <v>0</v>
      </c>
      <c r="S33" s="2607">
        <f t="shared" si="31"/>
        <v>0</v>
      </c>
      <c r="T33" s="525"/>
      <c r="U33" s="2605">
        <f t="shared" si="32"/>
        <v>9</v>
      </c>
      <c r="V33" s="2607">
        <f t="shared" si="17"/>
        <v>0</v>
      </c>
      <c r="W33" s="2606">
        <f t="shared" si="40"/>
        <v>0</v>
      </c>
      <c r="X33" s="2608">
        <f t="shared" si="25"/>
        <v>0</v>
      </c>
      <c r="Y33" s="2607">
        <f t="shared" si="33"/>
        <v>0</v>
      </c>
      <c r="Z33" s="525"/>
      <c r="AA33" s="2605">
        <f t="shared" si="34"/>
        <v>9</v>
      </c>
      <c r="AB33" s="2607">
        <f t="shared" si="19"/>
        <v>0</v>
      </c>
      <c r="AC33" s="2606">
        <f t="shared" si="41"/>
        <v>0</v>
      </c>
      <c r="AD33" s="2608">
        <f t="shared" si="26"/>
        <v>0</v>
      </c>
      <c r="AE33" s="2607">
        <f t="shared" si="35"/>
        <v>0</v>
      </c>
      <c r="AF33" s="525"/>
      <c r="AG33" s="2605">
        <f t="shared" si="36"/>
        <v>9</v>
      </c>
      <c r="AH33" s="2607">
        <f t="shared" si="21"/>
        <v>0</v>
      </c>
      <c r="AI33" s="2606">
        <f t="shared" si="42"/>
        <v>0</v>
      </c>
      <c r="AJ33" s="2608">
        <f t="shared" si="27"/>
        <v>0</v>
      </c>
      <c r="AK33" s="2607">
        <f t="shared" si="37"/>
        <v>0</v>
      </c>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525"/>
      <c r="BS33" s="525"/>
      <c r="BT33" s="525"/>
      <c r="BU33" s="525"/>
      <c r="BV33" s="525"/>
      <c r="BW33" s="525"/>
      <c r="BX33" s="525"/>
      <c r="BY33" s="525"/>
      <c r="BZ33" s="525"/>
      <c r="CA33" s="525"/>
      <c r="CB33" s="525"/>
      <c r="CC33" s="525"/>
      <c r="CD33" s="525"/>
      <c r="CE33" s="525"/>
      <c r="CF33" s="525"/>
      <c r="CG33" s="525"/>
      <c r="CH33" s="525"/>
      <c r="CI33" s="525"/>
      <c r="CJ33" s="525"/>
      <c r="CK33" s="525"/>
      <c r="CL33" s="525"/>
      <c r="CM33" s="525"/>
      <c r="CN33" s="525"/>
      <c r="CO33" s="525"/>
      <c r="CP33" s="525"/>
      <c r="CQ33" s="525"/>
      <c r="CR33" s="525"/>
      <c r="CS33" s="525"/>
      <c r="CT33" s="525"/>
      <c r="CU33" s="525"/>
      <c r="CV33" s="525"/>
      <c r="CW33" s="525"/>
      <c r="CX33" s="525"/>
      <c r="CY33" s="525"/>
      <c r="CZ33" s="525"/>
      <c r="DA33" s="525"/>
      <c r="DB33" s="525"/>
      <c r="DC33" s="525"/>
      <c r="DD33" s="525"/>
      <c r="DE33" s="525"/>
      <c r="DF33" s="525"/>
      <c r="DG33" s="525"/>
      <c r="DH33" s="525"/>
      <c r="DI33" s="525"/>
      <c r="DJ33" s="525"/>
      <c r="DK33" s="525"/>
      <c r="DL33" s="525"/>
      <c r="DM33" s="525"/>
      <c r="DN33" s="525"/>
      <c r="DO33" s="525"/>
      <c r="DP33" s="525"/>
      <c r="DQ33" s="525"/>
      <c r="DR33" s="525"/>
      <c r="DS33" s="525"/>
      <c r="DT33" s="525"/>
      <c r="DU33" s="525"/>
      <c r="DV33" s="525"/>
      <c r="DW33" s="525"/>
      <c r="DX33" s="525"/>
      <c r="DY33" s="525"/>
      <c r="DZ33" s="525"/>
      <c r="EA33" s="525"/>
      <c r="EB33" s="525"/>
      <c r="EC33" s="525"/>
      <c r="ED33" s="525"/>
      <c r="EE33" s="525"/>
      <c r="EF33" s="525"/>
      <c r="EG33" s="525"/>
      <c r="EH33" s="525"/>
      <c r="EI33" s="525"/>
      <c r="EJ33" s="525"/>
      <c r="EK33" s="525"/>
      <c r="EL33" s="525"/>
      <c r="EM33" s="525"/>
      <c r="EN33" s="525"/>
      <c r="EO33" s="525"/>
      <c r="EP33" s="525"/>
      <c r="EQ33" s="525"/>
      <c r="ER33" s="525"/>
      <c r="ES33" s="525"/>
      <c r="ET33" s="525"/>
      <c r="EU33" s="525"/>
      <c r="EV33" s="525"/>
      <c r="EW33" s="525"/>
      <c r="EX33" s="525"/>
      <c r="EY33" s="525"/>
      <c r="EZ33" s="525"/>
      <c r="FA33" s="525"/>
      <c r="FB33" s="525"/>
      <c r="FC33" s="525"/>
      <c r="FD33" s="525"/>
      <c r="FE33" s="525"/>
      <c r="FF33" s="525"/>
      <c r="FG33" s="525"/>
      <c r="FH33" s="525"/>
      <c r="FI33" s="525"/>
      <c r="FJ33" s="525"/>
      <c r="FK33" s="525"/>
      <c r="FL33" s="525"/>
      <c r="FM33" s="525"/>
      <c r="FN33" s="525"/>
      <c r="FO33" s="525"/>
      <c r="FP33" s="525"/>
      <c r="FQ33" s="525"/>
      <c r="FR33" s="525"/>
      <c r="FS33" s="525"/>
      <c r="FT33" s="525"/>
      <c r="FU33" s="525"/>
      <c r="FV33" s="525"/>
      <c r="FW33" s="525"/>
      <c r="FX33" s="525"/>
      <c r="FY33" s="525"/>
      <c r="FZ33" s="525"/>
      <c r="GA33" s="525"/>
      <c r="GB33" s="525"/>
      <c r="GC33" s="525"/>
      <c r="GD33" s="525"/>
      <c r="GE33" s="525"/>
      <c r="GF33" s="525"/>
      <c r="GG33" s="525"/>
      <c r="GH33" s="525"/>
      <c r="GI33" s="525"/>
      <c r="GJ33" s="525"/>
      <c r="GK33" s="525"/>
      <c r="GL33" s="525"/>
      <c r="GM33" s="525"/>
      <c r="GN33" s="525"/>
      <c r="GO33" s="525"/>
      <c r="GP33" s="525"/>
      <c r="GQ33" s="525"/>
      <c r="GR33" s="525"/>
      <c r="GS33" s="525"/>
      <c r="GT33" s="525"/>
      <c r="GU33" s="525"/>
      <c r="GV33" s="525"/>
      <c r="GW33" s="525"/>
      <c r="GX33" s="525"/>
      <c r="GY33" s="525"/>
      <c r="GZ33" s="525"/>
      <c r="HA33" s="525"/>
      <c r="HB33" s="525"/>
      <c r="HC33" s="525"/>
      <c r="HD33" s="525"/>
      <c r="HE33" s="525"/>
      <c r="HF33" s="525"/>
      <c r="HG33" s="525"/>
      <c r="HH33" s="525"/>
      <c r="HI33" s="525"/>
      <c r="HJ33" s="525"/>
      <c r="HK33" s="525"/>
      <c r="HL33" s="525"/>
      <c r="HM33" s="525"/>
      <c r="HN33" s="525"/>
      <c r="HO33" s="525"/>
      <c r="HP33" s="525"/>
      <c r="HQ33" s="525"/>
      <c r="HR33" s="525"/>
      <c r="HS33" s="525"/>
      <c r="HT33" s="525"/>
      <c r="HU33" s="525"/>
      <c r="HV33" s="525"/>
      <c r="HW33" s="525"/>
      <c r="HX33" s="525"/>
      <c r="HY33" s="525"/>
      <c r="HZ33" s="525"/>
      <c r="IA33" s="525"/>
      <c r="IB33" s="525"/>
      <c r="IC33" s="525"/>
      <c r="ID33" s="525"/>
      <c r="IE33" s="525"/>
      <c r="IF33" s="525"/>
      <c r="IG33" s="525"/>
      <c r="IH33" s="525"/>
      <c r="II33" s="525"/>
      <c r="IJ33" s="525"/>
      <c r="IK33" s="525"/>
    </row>
    <row r="34" spans="1:245" s="976" customFormat="1" ht="20.100000000000001" customHeight="1" x14ac:dyDescent="0.25">
      <c r="A34" s="525"/>
      <c r="B34" s="985"/>
      <c r="C34" s="986"/>
      <c r="D34" s="986"/>
      <c r="E34" s="986"/>
      <c r="F34" s="986"/>
      <c r="G34" s="986"/>
      <c r="H34" s="525"/>
      <c r="I34" s="2605">
        <f t="shared" si="28"/>
        <v>10</v>
      </c>
      <c r="J34" s="2607">
        <f t="shared" si="13"/>
        <v>0</v>
      </c>
      <c r="K34" s="2606">
        <f t="shared" si="38"/>
        <v>0</v>
      </c>
      <c r="L34" s="2608">
        <f t="shared" si="23"/>
        <v>0</v>
      </c>
      <c r="M34" s="2607">
        <f t="shared" si="29"/>
        <v>0</v>
      </c>
      <c r="N34" s="525"/>
      <c r="O34" s="2605">
        <f t="shared" si="30"/>
        <v>10</v>
      </c>
      <c r="P34" s="2607">
        <f t="shared" si="15"/>
        <v>0</v>
      </c>
      <c r="Q34" s="2606">
        <f t="shared" si="39"/>
        <v>0</v>
      </c>
      <c r="R34" s="2608">
        <f t="shared" si="24"/>
        <v>0</v>
      </c>
      <c r="S34" s="2607">
        <f t="shared" si="31"/>
        <v>0</v>
      </c>
      <c r="T34" s="525"/>
      <c r="U34" s="2605">
        <f t="shared" si="32"/>
        <v>10</v>
      </c>
      <c r="V34" s="2607">
        <f t="shared" si="17"/>
        <v>0</v>
      </c>
      <c r="W34" s="2606">
        <f t="shared" si="40"/>
        <v>0</v>
      </c>
      <c r="X34" s="2608">
        <f t="shared" si="25"/>
        <v>0</v>
      </c>
      <c r="Y34" s="2607">
        <f t="shared" si="33"/>
        <v>0</v>
      </c>
      <c r="Z34" s="525"/>
      <c r="AA34" s="2605">
        <f t="shared" si="34"/>
        <v>10</v>
      </c>
      <c r="AB34" s="2607">
        <f t="shared" si="19"/>
        <v>0</v>
      </c>
      <c r="AC34" s="2606">
        <f t="shared" si="41"/>
        <v>0</v>
      </c>
      <c r="AD34" s="2608">
        <f t="shared" si="26"/>
        <v>0</v>
      </c>
      <c r="AE34" s="2607">
        <f t="shared" si="35"/>
        <v>0</v>
      </c>
      <c r="AF34" s="525"/>
      <c r="AG34" s="2605">
        <f t="shared" si="36"/>
        <v>10</v>
      </c>
      <c r="AH34" s="2607">
        <f t="shared" si="21"/>
        <v>0</v>
      </c>
      <c r="AI34" s="2606">
        <f t="shared" si="42"/>
        <v>0</v>
      </c>
      <c r="AJ34" s="2608">
        <f t="shared" si="27"/>
        <v>0</v>
      </c>
      <c r="AK34" s="2607">
        <f t="shared" si="37"/>
        <v>0</v>
      </c>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5"/>
      <c r="BN34" s="525"/>
      <c r="BO34" s="525"/>
      <c r="BP34" s="525"/>
      <c r="BQ34" s="525"/>
      <c r="BR34" s="525"/>
      <c r="BS34" s="525"/>
      <c r="BT34" s="525"/>
      <c r="BU34" s="525"/>
      <c r="BV34" s="525"/>
      <c r="BW34" s="525"/>
      <c r="BX34" s="525"/>
      <c r="BY34" s="525"/>
      <c r="BZ34" s="525"/>
      <c r="CA34" s="525"/>
      <c r="CB34" s="525"/>
      <c r="CC34" s="525"/>
      <c r="CD34" s="525"/>
      <c r="CE34" s="525"/>
      <c r="CF34" s="525"/>
      <c r="CG34" s="525"/>
      <c r="CH34" s="525"/>
      <c r="CI34" s="525"/>
      <c r="CJ34" s="525"/>
      <c r="CK34" s="525"/>
      <c r="CL34" s="525"/>
      <c r="CM34" s="525"/>
      <c r="CN34" s="525"/>
      <c r="CO34" s="525"/>
      <c r="CP34" s="525"/>
      <c r="CQ34" s="525"/>
      <c r="CR34" s="525"/>
      <c r="CS34" s="525"/>
      <c r="CT34" s="525"/>
      <c r="CU34" s="525"/>
      <c r="CV34" s="525"/>
      <c r="CW34" s="525"/>
      <c r="CX34" s="525"/>
      <c r="CY34" s="525"/>
      <c r="CZ34" s="525"/>
      <c r="DA34" s="525"/>
      <c r="DB34" s="525"/>
      <c r="DC34" s="525"/>
      <c r="DD34" s="525"/>
      <c r="DE34" s="525"/>
      <c r="DF34" s="525"/>
      <c r="DG34" s="525"/>
      <c r="DH34" s="525"/>
      <c r="DI34" s="525"/>
      <c r="DJ34" s="525"/>
      <c r="DK34" s="525"/>
      <c r="DL34" s="525"/>
      <c r="DM34" s="525"/>
      <c r="DN34" s="525"/>
      <c r="DO34" s="525"/>
      <c r="DP34" s="525"/>
      <c r="DQ34" s="525"/>
      <c r="DR34" s="525"/>
      <c r="DS34" s="525"/>
      <c r="DT34" s="525"/>
      <c r="DU34" s="525"/>
      <c r="DV34" s="525"/>
      <c r="DW34" s="525"/>
      <c r="DX34" s="525"/>
      <c r="DY34" s="525"/>
      <c r="DZ34" s="525"/>
      <c r="EA34" s="525"/>
      <c r="EB34" s="525"/>
      <c r="EC34" s="525"/>
      <c r="ED34" s="525"/>
      <c r="EE34" s="525"/>
      <c r="EF34" s="525"/>
      <c r="EG34" s="525"/>
      <c r="EH34" s="525"/>
      <c r="EI34" s="525"/>
      <c r="EJ34" s="525"/>
      <c r="EK34" s="525"/>
      <c r="EL34" s="525"/>
      <c r="EM34" s="525"/>
      <c r="EN34" s="525"/>
      <c r="EO34" s="525"/>
      <c r="EP34" s="525"/>
      <c r="EQ34" s="525"/>
      <c r="ER34" s="525"/>
      <c r="ES34" s="525"/>
      <c r="ET34" s="525"/>
      <c r="EU34" s="525"/>
      <c r="EV34" s="525"/>
      <c r="EW34" s="525"/>
      <c r="EX34" s="525"/>
      <c r="EY34" s="525"/>
      <c r="EZ34" s="525"/>
      <c r="FA34" s="525"/>
      <c r="FB34" s="525"/>
      <c r="FC34" s="525"/>
      <c r="FD34" s="525"/>
      <c r="FE34" s="525"/>
      <c r="FF34" s="525"/>
      <c r="FG34" s="525"/>
      <c r="FH34" s="525"/>
      <c r="FI34" s="525"/>
      <c r="FJ34" s="525"/>
      <c r="FK34" s="525"/>
      <c r="FL34" s="525"/>
      <c r="FM34" s="525"/>
      <c r="FN34" s="525"/>
      <c r="FO34" s="525"/>
      <c r="FP34" s="525"/>
      <c r="FQ34" s="525"/>
      <c r="FR34" s="525"/>
      <c r="FS34" s="525"/>
      <c r="FT34" s="525"/>
      <c r="FU34" s="525"/>
      <c r="FV34" s="525"/>
      <c r="FW34" s="525"/>
      <c r="FX34" s="525"/>
      <c r="FY34" s="525"/>
      <c r="FZ34" s="525"/>
      <c r="GA34" s="525"/>
      <c r="GB34" s="525"/>
      <c r="GC34" s="525"/>
      <c r="GD34" s="525"/>
      <c r="GE34" s="525"/>
      <c r="GF34" s="525"/>
      <c r="GG34" s="525"/>
      <c r="GH34" s="525"/>
      <c r="GI34" s="525"/>
      <c r="GJ34" s="525"/>
      <c r="GK34" s="525"/>
      <c r="GL34" s="525"/>
      <c r="GM34" s="525"/>
      <c r="GN34" s="525"/>
      <c r="GO34" s="525"/>
      <c r="GP34" s="525"/>
      <c r="GQ34" s="525"/>
      <c r="GR34" s="525"/>
      <c r="GS34" s="525"/>
      <c r="GT34" s="525"/>
      <c r="GU34" s="525"/>
      <c r="GV34" s="525"/>
      <c r="GW34" s="525"/>
      <c r="GX34" s="525"/>
      <c r="GY34" s="525"/>
      <c r="GZ34" s="525"/>
      <c r="HA34" s="525"/>
      <c r="HB34" s="525"/>
      <c r="HC34" s="525"/>
      <c r="HD34" s="525"/>
      <c r="HE34" s="525"/>
      <c r="HF34" s="525"/>
      <c r="HG34" s="525"/>
      <c r="HH34" s="525"/>
      <c r="HI34" s="525"/>
      <c r="HJ34" s="525"/>
      <c r="HK34" s="525"/>
      <c r="HL34" s="525"/>
      <c r="HM34" s="525"/>
      <c r="HN34" s="525"/>
      <c r="HO34" s="525"/>
      <c r="HP34" s="525"/>
      <c r="HQ34" s="525"/>
      <c r="HR34" s="525"/>
      <c r="HS34" s="525"/>
      <c r="HT34" s="525"/>
      <c r="HU34" s="525"/>
      <c r="HV34" s="525"/>
      <c r="HW34" s="525"/>
      <c r="HX34" s="525"/>
      <c r="HY34" s="525"/>
      <c r="HZ34" s="525"/>
      <c r="IA34" s="525"/>
      <c r="IB34" s="525"/>
      <c r="IC34" s="525"/>
      <c r="ID34" s="525"/>
      <c r="IE34" s="525"/>
      <c r="IF34" s="525"/>
      <c r="IG34" s="525"/>
      <c r="IH34" s="525"/>
      <c r="II34" s="525"/>
      <c r="IJ34" s="525"/>
      <c r="IK34" s="525"/>
    </row>
    <row r="35" spans="1:245" s="976" customFormat="1" ht="20.100000000000001" customHeight="1" x14ac:dyDescent="0.25">
      <c r="A35" s="525"/>
      <c r="B35" s="985"/>
      <c r="C35" s="986"/>
      <c r="D35" s="986"/>
      <c r="E35" s="986"/>
      <c r="F35" s="986"/>
      <c r="G35" s="986"/>
      <c r="H35" s="525"/>
      <c r="I35" s="2605">
        <f t="shared" si="28"/>
        <v>11</v>
      </c>
      <c r="J35" s="2607">
        <f t="shared" si="13"/>
        <v>0</v>
      </c>
      <c r="K35" s="2606">
        <f t="shared" si="38"/>
        <v>0</v>
      </c>
      <c r="L35" s="2608">
        <f t="shared" si="23"/>
        <v>0</v>
      </c>
      <c r="M35" s="2607">
        <f t="shared" si="29"/>
        <v>0</v>
      </c>
      <c r="N35" s="525"/>
      <c r="O35" s="2605">
        <f t="shared" si="30"/>
        <v>11</v>
      </c>
      <c r="P35" s="2607">
        <f t="shared" si="15"/>
        <v>0</v>
      </c>
      <c r="Q35" s="2606">
        <f t="shared" si="39"/>
        <v>0</v>
      </c>
      <c r="R35" s="2608">
        <f t="shared" si="24"/>
        <v>0</v>
      </c>
      <c r="S35" s="2607">
        <f t="shared" si="31"/>
        <v>0</v>
      </c>
      <c r="T35" s="525"/>
      <c r="U35" s="2605">
        <f t="shared" si="32"/>
        <v>11</v>
      </c>
      <c r="V35" s="2607">
        <f t="shared" si="17"/>
        <v>0</v>
      </c>
      <c r="W35" s="2606">
        <f t="shared" si="40"/>
        <v>0</v>
      </c>
      <c r="X35" s="2608">
        <f t="shared" si="25"/>
        <v>0</v>
      </c>
      <c r="Y35" s="2607">
        <f t="shared" si="33"/>
        <v>0</v>
      </c>
      <c r="Z35" s="525"/>
      <c r="AA35" s="2605">
        <f t="shared" si="34"/>
        <v>11</v>
      </c>
      <c r="AB35" s="2607">
        <f t="shared" si="19"/>
        <v>0</v>
      </c>
      <c r="AC35" s="2606">
        <f t="shared" si="41"/>
        <v>0</v>
      </c>
      <c r="AD35" s="2608">
        <f t="shared" si="26"/>
        <v>0</v>
      </c>
      <c r="AE35" s="2607">
        <f t="shared" si="35"/>
        <v>0</v>
      </c>
      <c r="AF35" s="525"/>
      <c r="AG35" s="2605">
        <f t="shared" si="36"/>
        <v>11</v>
      </c>
      <c r="AH35" s="2607">
        <f t="shared" si="21"/>
        <v>0</v>
      </c>
      <c r="AI35" s="2606">
        <f t="shared" si="42"/>
        <v>0</v>
      </c>
      <c r="AJ35" s="2608">
        <f t="shared" si="27"/>
        <v>0</v>
      </c>
      <c r="AK35" s="2607">
        <f t="shared" si="37"/>
        <v>0</v>
      </c>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25"/>
      <c r="BM35" s="525"/>
      <c r="BN35" s="525"/>
      <c r="BO35" s="525"/>
      <c r="BP35" s="525"/>
      <c r="BQ35" s="525"/>
      <c r="BR35" s="525"/>
      <c r="BS35" s="525"/>
      <c r="BT35" s="525"/>
      <c r="BU35" s="525"/>
      <c r="BV35" s="525"/>
      <c r="BW35" s="525"/>
      <c r="BX35" s="525"/>
      <c r="BY35" s="525"/>
      <c r="BZ35" s="525"/>
      <c r="CA35" s="525"/>
      <c r="CB35" s="525"/>
      <c r="CC35" s="525"/>
      <c r="CD35" s="525"/>
      <c r="CE35" s="525"/>
      <c r="CF35" s="525"/>
      <c r="CG35" s="525"/>
      <c r="CH35" s="525"/>
      <c r="CI35" s="525"/>
      <c r="CJ35" s="525"/>
      <c r="CK35" s="525"/>
      <c r="CL35" s="525"/>
      <c r="CM35" s="525"/>
      <c r="CN35" s="525"/>
      <c r="CO35" s="525"/>
      <c r="CP35" s="525"/>
      <c r="CQ35" s="525"/>
      <c r="CR35" s="525"/>
      <c r="CS35" s="525"/>
      <c r="CT35" s="525"/>
      <c r="CU35" s="525"/>
      <c r="CV35" s="525"/>
      <c r="CW35" s="525"/>
      <c r="CX35" s="525"/>
      <c r="CY35" s="525"/>
      <c r="CZ35" s="525"/>
      <c r="DA35" s="525"/>
      <c r="DB35" s="525"/>
      <c r="DC35" s="525"/>
      <c r="DD35" s="525"/>
      <c r="DE35" s="525"/>
      <c r="DF35" s="525"/>
      <c r="DG35" s="525"/>
      <c r="DH35" s="525"/>
      <c r="DI35" s="525"/>
      <c r="DJ35" s="525"/>
      <c r="DK35" s="525"/>
      <c r="DL35" s="525"/>
      <c r="DM35" s="525"/>
      <c r="DN35" s="525"/>
      <c r="DO35" s="525"/>
      <c r="DP35" s="525"/>
      <c r="DQ35" s="525"/>
      <c r="DR35" s="525"/>
      <c r="DS35" s="525"/>
      <c r="DT35" s="525"/>
      <c r="DU35" s="525"/>
      <c r="DV35" s="525"/>
      <c r="DW35" s="525"/>
      <c r="DX35" s="525"/>
      <c r="DY35" s="525"/>
      <c r="DZ35" s="525"/>
      <c r="EA35" s="525"/>
      <c r="EB35" s="525"/>
      <c r="EC35" s="525"/>
      <c r="ED35" s="525"/>
      <c r="EE35" s="525"/>
      <c r="EF35" s="525"/>
      <c r="EG35" s="525"/>
      <c r="EH35" s="525"/>
      <c r="EI35" s="525"/>
      <c r="EJ35" s="525"/>
      <c r="EK35" s="525"/>
      <c r="EL35" s="525"/>
      <c r="EM35" s="525"/>
      <c r="EN35" s="525"/>
      <c r="EO35" s="525"/>
      <c r="EP35" s="525"/>
      <c r="EQ35" s="525"/>
      <c r="ER35" s="525"/>
      <c r="ES35" s="525"/>
      <c r="ET35" s="525"/>
      <c r="EU35" s="525"/>
      <c r="EV35" s="525"/>
      <c r="EW35" s="525"/>
      <c r="EX35" s="525"/>
      <c r="EY35" s="525"/>
      <c r="EZ35" s="525"/>
      <c r="FA35" s="525"/>
      <c r="FB35" s="525"/>
      <c r="FC35" s="525"/>
      <c r="FD35" s="525"/>
      <c r="FE35" s="525"/>
      <c r="FF35" s="525"/>
      <c r="FG35" s="525"/>
      <c r="FH35" s="525"/>
      <c r="FI35" s="525"/>
      <c r="FJ35" s="525"/>
      <c r="FK35" s="525"/>
      <c r="FL35" s="525"/>
      <c r="FM35" s="525"/>
      <c r="FN35" s="525"/>
      <c r="FO35" s="525"/>
      <c r="FP35" s="525"/>
      <c r="FQ35" s="525"/>
      <c r="FR35" s="525"/>
      <c r="FS35" s="525"/>
      <c r="FT35" s="525"/>
      <c r="FU35" s="525"/>
      <c r="FV35" s="525"/>
      <c r="FW35" s="525"/>
      <c r="FX35" s="525"/>
      <c r="FY35" s="525"/>
      <c r="FZ35" s="525"/>
      <c r="GA35" s="525"/>
      <c r="GB35" s="525"/>
      <c r="GC35" s="525"/>
      <c r="GD35" s="525"/>
      <c r="GE35" s="525"/>
      <c r="GF35" s="525"/>
      <c r="GG35" s="525"/>
      <c r="GH35" s="525"/>
      <c r="GI35" s="525"/>
      <c r="GJ35" s="525"/>
      <c r="GK35" s="525"/>
      <c r="GL35" s="525"/>
      <c r="GM35" s="525"/>
      <c r="GN35" s="525"/>
      <c r="GO35" s="525"/>
      <c r="GP35" s="525"/>
      <c r="GQ35" s="525"/>
      <c r="GR35" s="525"/>
      <c r="GS35" s="525"/>
      <c r="GT35" s="525"/>
      <c r="GU35" s="525"/>
      <c r="GV35" s="525"/>
      <c r="GW35" s="525"/>
      <c r="GX35" s="525"/>
      <c r="GY35" s="525"/>
      <c r="GZ35" s="525"/>
      <c r="HA35" s="525"/>
      <c r="HB35" s="525"/>
      <c r="HC35" s="525"/>
      <c r="HD35" s="525"/>
      <c r="HE35" s="525"/>
      <c r="HF35" s="525"/>
      <c r="HG35" s="525"/>
      <c r="HH35" s="525"/>
      <c r="HI35" s="525"/>
      <c r="HJ35" s="525"/>
      <c r="HK35" s="525"/>
      <c r="HL35" s="525"/>
      <c r="HM35" s="525"/>
      <c r="HN35" s="525"/>
      <c r="HO35" s="525"/>
      <c r="HP35" s="525"/>
      <c r="HQ35" s="525"/>
      <c r="HR35" s="525"/>
      <c r="HS35" s="525"/>
      <c r="HT35" s="525"/>
      <c r="HU35" s="525"/>
      <c r="HV35" s="525"/>
      <c r="HW35" s="525"/>
      <c r="HX35" s="525"/>
      <c r="HY35" s="525"/>
      <c r="HZ35" s="525"/>
      <c r="IA35" s="525"/>
      <c r="IB35" s="525"/>
      <c r="IC35" s="525"/>
      <c r="ID35" s="525"/>
      <c r="IE35" s="525"/>
      <c r="IF35" s="525"/>
      <c r="IG35" s="525"/>
      <c r="IH35" s="525"/>
      <c r="II35" s="525"/>
      <c r="IJ35" s="525"/>
      <c r="IK35" s="525"/>
    </row>
    <row r="36" spans="1:245" s="976" customFormat="1" ht="20.100000000000001" customHeight="1" x14ac:dyDescent="0.25">
      <c r="A36" s="525"/>
      <c r="B36" s="985"/>
      <c r="C36" s="986"/>
      <c r="D36" s="986"/>
      <c r="E36" s="986"/>
      <c r="F36" s="986"/>
      <c r="G36" s="986"/>
      <c r="H36" s="525"/>
      <c r="I36" s="2605">
        <f t="shared" si="28"/>
        <v>12</v>
      </c>
      <c r="J36" s="2607">
        <f t="shared" si="13"/>
        <v>0</v>
      </c>
      <c r="K36" s="2606">
        <f t="shared" si="38"/>
        <v>0</v>
      </c>
      <c r="L36" s="2608">
        <f t="shared" si="23"/>
        <v>0</v>
      </c>
      <c r="M36" s="2607">
        <f t="shared" si="29"/>
        <v>0</v>
      </c>
      <c r="N36" s="525"/>
      <c r="O36" s="2605">
        <f t="shared" si="30"/>
        <v>12</v>
      </c>
      <c r="P36" s="2607">
        <f t="shared" si="15"/>
        <v>0</v>
      </c>
      <c r="Q36" s="2606">
        <f t="shared" si="39"/>
        <v>0</v>
      </c>
      <c r="R36" s="2608">
        <f t="shared" si="24"/>
        <v>0</v>
      </c>
      <c r="S36" s="2607">
        <f t="shared" si="31"/>
        <v>0</v>
      </c>
      <c r="T36" s="525"/>
      <c r="U36" s="2605">
        <f t="shared" si="32"/>
        <v>12</v>
      </c>
      <c r="V36" s="2607">
        <f t="shared" si="17"/>
        <v>0</v>
      </c>
      <c r="W36" s="2606">
        <f t="shared" si="40"/>
        <v>0</v>
      </c>
      <c r="X36" s="2608">
        <f t="shared" si="25"/>
        <v>0</v>
      </c>
      <c r="Y36" s="2607">
        <f t="shared" si="33"/>
        <v>0</v>
      </c>
      <c r="Z36" s="525"/>
      <c r="AA36" s="2605">
        <f t="shared" si="34"/>
        <v>12</v>
      </c>
      <c r="AB36" s="2607">
        <f t="shared" si="19"/>
        <v>0</v>
      </c>
      <c r="AC36" s="2606">
        <f t="shared" si="41"/>
        <v>0</v>
      </c>
      <c r="AD36" s="2608">
        <f t="shared" si="26"/>
        <v>0</v>
      </c>
      <c r="AE36" s="2607">
        <f t="shared" si="35"/>
        <v>0</v>
      </c>
      <c r="AF36" s="525"/>
      <c r="AG36" s="2605">
        <f t="shared" si="36"/>
        <v>12</v>
      </c>
      <c r="AH36" s="2607">
        <f t="shared" si="21"/>
        <v>0</v>
      </c>
      <c r="AI36" s="2606">
        <f t="shared" si="42"/>
        <v>0</v>
      </c>
      <c r="AJ36" s="2608">
        <f t="shared" si="27"/>
        <v>0</v>
      </c>
      <c r="AK36" s="2607">
        <f t="shared" si="37"/>
        <v>0</v>
      </c>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5"/>
      <c r="CA36" s="525"/>
      <c r="CB36" s="525"/>
      <c r="CC36" s="525"/>
      <c r="CD36" s="525"/>
      <c r="CE36" s="525"/>
      <c r="CF36" s="525"/>
      <c r="CG36" s="525"/>
      <c r="CH36" s="525"/>
      <c r="CI36" s="525"/>
      <c r="CJ36" s="525"/>
      <c r="CK36" s="525"/>
      <c r="CL36" s="525"/>
      <c r="CM36" s="525"/>
      <c r="CN36" s="525"/>
      <c r="CO36" s="525"/>
      <c r="CP36" s="525"/>
      <c r="CQ36" s="525"/>
      <c r="CR36" s="525"/>
      <c r="CS36" s="525"/>
      <c r="CT36" s="525"/>
      <c r="CU36" s="525"/>
      <c r="CV36" s="525"/>
      <c r="CW36" s="525"/>
      <c r="CX36" s="525"/>
      <c r="CY36" s="525"/>
      <c r="CZ36" s="525"/>
      <c r="DA36" s="525"/>
      <c r="DB36" s="525"/>
      <c r="DC36" s="525"/>
      <c r="DD36" s="525"/>
      <c r="DE36" s="525"/>
      <c r="DF36" s="525"/>
      <c r="DG36" s="525"/>
      <c r="DH36" s="525"/>
      <c r="DI36" s="525"/>
      <c r="DJ36" s="525"/>
      <c r="DK36" s="525"/>
      <c r="DL36" s="525"/>
      <c r="DM36" s="525"/>
      <c r="DN36" s="525"/>
      <c r="DO36" s="525"/>
      <c r="DP36" s="525"/>
      <c r="DQ36" s="525"/>
      <c r="DR36" s="525"/>
      <c r="DS36" s="525"/>
      <c r="DT36" s="525"/>
      <c r="DU36" s="525"/>
      <c r="DV36" s="525"/>
      <c r="DW36" s="525"/>
      <c r="DX36" s="525"/>
      <c r="DY36" s="525"/>
      <c r="DZ36" s="525"/>
      <c r="EA36" s="525"/>
      <c r="EB36" s="525"/>
      <c r="EC36" s="525"/>
      <c r="ED36" s="525"/>
      <c r="EE36" s="525"/>
      <c r="EF36" s="525"/>
      <c r="EG36" s="525"/>
      <c r="EH36" s="525"/>
      <c r="EI36" s="525"/>
      <c r="EJ36" s="525"/>
      <c r="EK36" s="525"/>
      <c r="EL36" s="525"/>
      <c r="EM36" s="525"/>
      <c r="EN36" s="525"/>
      <c r="EO36" s="525"/>
      <c r="EP36" s="525"/>
      <c r="EQ36" s="525"/>
      <c r="ER36" s="525"/>
      <c r="ES36" s="525"/>
      <c r="ET36" s="525"/>
      <c r="EU36" s="525"/>
      <c r="EV36" s="525"/>
      <c r="EW36" s="525"/>
      <c r="EX36" s="525"/>
      <c r="EY36" s="525"/>
      <c r="EZ36" s="525"/>
      <c r="FA36" s="525"/>
      <c r="FB36" s="525"/>
      <c r="FC36" s="525"/>
      <c r="FD36" s="525"/>
      <c r="FE36" s="525"/>
      <c r="FF36" s="525"/>
      <c r="FG36" s="525"/>
      <c r="FH36" s="525"/>
      <c r="FI36" s="525"/>
      <c r="FJ36" s="525"/>
      <c r="FK36" s="525"/>
      <c r="FL36" s="525"/>
      <c r="FM36" s="525"/>
      <c r="FN36" s="525"/>
      <c r="FO36" s="525"/>
      <c r="FP36" s="525"/>
      <c r="FQ36" s="525"/>
      <c r="FR36" s="525"/>
      <c r="FS36" s="525"/>
      <c r="FT36" s="525"/>
      <c r="FU36" s="525"/>
      <c r="FV36" s="525"/>
      <c r="FW36" s="525"/>
      <c r="FX36" s="525"/>
      <c r="FY36" s="525"/>
      <c r="FZ36" s="525"/>
      <c r="GA36" s="525"/>
      <c r="GB36" s="525"/>
      <c r="GC36" s="525"/>
      <c r="GD36" s="525"/>
      <c r="GE36" s="525"/>
      <c r="GF36" s="525"/>
      <c r="GG36" s="525"/>
      <c r="GH36" s="525"/>
      <c r="GI36" s="525"/>
      <c r="GJ36" s="525"/>
      <c r="GK36" s="525"/>
      <c r="GL36" s="525"/>
      <c r="GM36" s="525"/>
      <c r="GN36" s="525"/>
      <c r="GO36" s="525"/>
      <c r="GP36" s="525"/>
      <c r="GQ36" s="525"/>
      <c r="GR36" s="525"/>
      <c r="GS36" s="525"/>
      <c r="GT36" s="525"/>
      <c r="GU36" s="525"/>
      <c r="GV36" s="525"/>
      <c r="GW36" s="525"/>
      <c r="GX36" s="525"/>
      <c r="GY36" s="525"/>
      <c r="GZ36" s="525"/>
      <c r="HA36" s="525"/>
      <c r="HB36" s="525"/>
      <c r="HC36" s="525"/>
      <c r="HD36" s="525"/>
      <c r="HE36" s="525"/>
      <c r="HF36" s="525"/>
      <c r="HG36" s="525"/>
      <c r="HH36" s="525"/>
      <c r="HI36" s="525"/>
      <c r="HJ36" s="525"/>
      <c r="HK36" s="525"/>
      <c r="HL36" s="525"/>
      <c r="HM36" s="525"/>
      <c r="HN36" s="525"/>
      <c r="HO36" s="525"/>
      <c r="HP36" s="525"/>
      <c r="HQ36" s="525"/>
      <c r="HR36" s="525"/>
      <c r="HS36" s="525"/>
      <c r="HT36" s="525"/>
      <c r="HU36" s="525"/>
      <c r="HV36" s="525"/>
      <c r="HW36" s="525"/>
      <c r="HX36" s="525"/>
      <c r="HY36" s="525"/>
      <c r="HZ36" s="525"/>
      <c r="IA36" s="525"/>
      <c r="IB36" s="525"/>
      <c r="IC36" s="525"/>
      <c r="ID36" s="525"/>
      <c r="IE36" s="525"/>
      <c r="IF36" s="525"/>
      <c r="IG36" s="525"/>
      <c r="IH36" s="525"/>
      <c r="II36" s="525"/>
      <c r="IJ36" s="525"/>
      <c r="IK36" s="525"/>
    </row>
    <row r="37" spans="1:245" s="976" customFormat="1" ht="20.100000000000001" customHeight="1" x14ac:dyDescent="0.25">
      <c r="A37" s="525"/>
      <c r="B37" s="985"/>
      <c r="C37" s="986"/>
      <c r="D37" s="986"/>
      <c r="E37" s="986"/>
      <c r="F37" s="986"/>
      <c r="G37" s="986"/>
      <c r="H37" s="525"/>
      <c r="I37" s="2605">
        <f t="shared" si="28"/>
        <v>13</v>
      </c>
      <c r="J37" s="2607">
        <f t="shared" si="13"/>
        <v>0</v>
      </c>
      <c r="K37" s="2606">
        <f t="shared" si="38"/>
        <v>0</v>
      </c>
      <c r="L37" s="2608">
        <f t="shared" si="23"/>
        <v>0</v>
      </c>
      <c r="M37" s="2607">
        <f t="shared" si="29"/>
        <v>0</v>
      </c>
      <c r="N37" s="525"/>
      <c r="O37" s="2605">
        <f t="shared" si="30"/>
        <v>13</v>
      </c>
      <c r="P37" s="2607">
        <f t="shared" si="15"/>
        <v>0</v>
      </c>
      <c r="Q37" s="2606">
        <f t="shared" si="39"/>
        <v>0</v>
      </c>
      <c r="R37" s="2608">
        <f t="shared" si="24"/>
        <v>0</v>
      </c>
      <c r="S37" s="2607">
        <f t="shared" si="31"/>
        <v>0</v>
      </c>
      <c r="T37" s="525"/>
      <c r="U37" s="2605">
        <f t="shared" si="32"/>
        <v>13</v>
      </c>
      <c r="V37" s="2607">
        <f t="shared" si="17"/>
        <v>0</v>
      </c>
      <c r="W37" s="2606">
        <f t="shared" si="40"/>
        <v>0</v>
      </c>
      <c r="X37" s="2608">
        <f t="shared" si="25"/>
        <v>0</v>
      </c>
      <c r="Y37" s="2607">
        <f t="shared" si="33"/>
        <v>0</v>
      </c>
      <c r="Z37" s="525"/>
      <c r="AA37" s="2605">
        <f t="shared" si="34"/>
        <v>13</v>
      </c>
      <c r="AB37" s="2607">
        <f t="shared" si="19"/>
        <v>0</v>
      </c>
      <c r="AC37" s="2606">
        <f t="shared" si="41"/>
        <v>0</v>
      </c>
      <c r="AD37" s="2608">
        <f t="shared" si="26"/>
        <v>0</v>
      </c>
      <c r="AE37" s="2607">
        <f t="shared" si="35"/>
        <v>0</v>
      </c>
      <c r="AF37" s="525"/>
      <c r="AG37" s="2605">
        <f t="shared" si="36"/>
        <v>13</v>
      </c>
      <c r="AH37" s="2607">
        <f t="shared" si="21"/>
        <v>0</v>
      </c>
      <c r="AI37" s="2606">
        <f t="shared" si="42"/>
        <v>0</v>
      </c>
      <c r="AJ37" s="2608">
        <f t="shared" si="27"/>
        <v>0</v>
      </c>
      <c r="AK37" s="2607">
        <f t="shared" si="37"/>
        <v>0</v>
      </c>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25"/>
      <c r="BM37" s="525"/>
      <c r="BN37" s="525"/>
      <c r="BO37" s="525"/>
      <c r="BP37" s="525"/>
      <c r="BQ37" s="525"/>
      <c r="BR37" s="525"/>
      <c r="BS37" s="525"/>
      <c r="BT37" s="525"/>
      <c r="BU37" s="525"/>
      <c r="BV37" s="525"/>
      <c r="BW37" s="525"/>
      <c r="BX37" s="525"/>
      <c r="BY37" s="525"/>
      <c r="BZ37" s="525"/>
      <c r="CA37" s="525"/>
      <c r="CB37" s="525"/>
      <c r="CC37" s="525"/>
      <c r="CD37" s="525"/>
      <c r="CE37" s="525"/>
      <c r="CF37" s="525"/>
      <c r="CG37" s="525"/>
      <c r="CH37" s="525"/>
      <c r="CI37" s="525"/>
      <c r="CJ37" s="525"/>
      <c r="CK37" s="525"/>
      <c r="CL37" s="525"/>
      <c r="CM37" s="525"/>
      <c r="CN37" s="525"/>
      <c r="CO37" s="525"/>
      <c r="CP37" s="525"/>
      <c r="CQ37" s="525"/>
      <c r="CR37" s="525"/>
      <c r="CS37" s="525"/>
      <c r="CT37" s="525"/>
      <c r="CU37" s="525"/>
      <c r="CV37" s="525"/>
      <c r="CW37" s="525"/>
      <c r="CX37" s="525"/>
      <c r="CY37" s="525"/>
      <c r="CZ37" s="525"/>
      <c r="DA37" s="525"/>
      <c r="DB37" s="525"/>
      <c r="DC37" s="525"/>
      <c r="DD37" s="525"/>
      <c r="DE37" s="525"/>
      <c r="DF37" s="525"/>
      <c r="DG37" s="525"/>
      <c r="DH37" s="525"/>
      <c r="DI37" s="525"/>
      <c r="DJ37" s="525"/>
      <c r="DK37" s="525"/>
      <c r="DL37" s="525"/>
      <c r="DM37" s="525"/>
      <c r="DN37" s="525"/>
      <c r="DO37" s="525"/>
      <c r="DP37" s="525"/>
      <c r="DQ37" s="525"/>
      <c r="DR37" s="525"/>
      <c r="DS37" s="525"/>
      <c r="DT37" s="525"/>
      <c r="DU37" s="525"/>
      <c r="DV37" s="525"/>
      <c r="DW37" s="525"/>
      <c r="DX37" s="525"/>
      <c r="DY37" s="525"/>
      <c r="DZ37" s="525"/>
      <c r="EA37" s="525"/>
      <c r="EB37" s="525"/>
      <c r="EC37" s="525"/>
      <c r="ED37" s="525"/>
      <c r="EE37" s="525"/>
      <c r="EF37" s="525"/>
      <c r="EG37" s="525"/>
      <c r="EH37" s="525"/>
      <c r="EI37" s="525"/>
      <c r="EJ37" s="525"/>
      <c r="EK37" s="525"/>
      <c r="EL37" s="525"/>
      <c r="EM37" s="525"/>
      <c r="EN37" s="525"/>
      <c r="EO37" s="525"/>
      <c r="EP37" s="525"/>
      <c r="EQ37" s="525"/>
      <c r="ER37" s="525"/>
      <c r="ES37" s="525"/>
      <c r="ET37" s="525"/>
      <c r="EU37" s="525"/>
      <c r="EV37" s="525"/>
      <c r="EW37" s="525"/>
      <c r="EX37" s="525"/>
      <c r="EY37" s="525"/>
      <c r="EZ37" s="525"/>
      <c r="FA37" s="525"/>
      <c r="FB37" s="525"/>
      <c r="FC37" s="525"/>
      <c r="FD37" s="525"/>
      <c r="FE37" s="525"/>
      <c r="FF37" s="525"/>
      <c r="FG37" s="525"/>
      <c r="FH37" s="525"/>
      <c r="FI37" s="525"/>
      <c r="FJ37" s="525"/>
      <c r="FK37" s="525"/>
      <c r="FL37" s="525"/>
      <c r="FM37" s="525"/>
      <c r="FN37" s="525"/>
      <c r="FO37" s="525"/>
      <c r="FP37" s="525"/>
      <c r="FQ37" s="525"/>
      <c r="FR37" s="525"/>
      <c r="FS37" s="525"/>
      <c r="FT37" s="525"/>
      <c r="FU37" s="525"/>
      <c r="FV37" s="525"/>
      <c r="FW37" s="525"/>
      <c r="FX37" s="525"/>
      <c r="FY37" s="525"/>
      <c r="FZ37" s="525"/>
      <c r="GA37" s="525"/>
      <c r="GB37" s="525"/>
      <c r="GC37" s="525"/>
      <c r="GD37" s="525"/>
      <c r="GE37" s="525"/>
      <c r="GF37" s="525"/>
      <c r="GG37" s="525"/>
      <c r="GH37" s="525"/>
      <c r="GI37" s="525"/>
      <c r="GJ37" s="525"/>
      <c r="GK37" s="525"/>
      <c r="GL37" s="525"/>
      <c r="GM37" s="525"/>
      <c r="GN37" s="525"/>
      <c r="GO37" s="525"/>
      <c r="GP37" s="525"/>
      <c r="GQ37" s="525"/>
      <c r="GR37" s="525"/>
      <c r="GS37" s="525"/>
      <c r="GT37" s="525"/>
      <c r="GU37" s="525"/>
      <c r="GV37" s="525"/>
      <c r="GW37" s="525"/>
      <c r="GX37" s="525"/>
      <c r="GY37" s="525"/>
      <c r="GZ37" s="525"/>
      <c r="HA37" s="525"/>
      <c r="HB37" s="525"/>
      <c r="HC37" s="525"/>
      <c r="HD37" s="525"/>
      <c r="HE37" s="525"/>
      <c r="HF37" s="525"/>
      <c r="HG37" s="525"/>
      <c r="HH37" s="525"/>
      <c r="HI37" s="525"/>
      <c r="HJ37" s="525"/>
      <c r="HK37" s="525"/>
      <c r="HL37" s="525"/>
      <c r="HM37" s="525"/>
      <c r="HN37" s="525"/>
      <c r="HO37" s="525"/>
      <c r="HP37" s="525"/>
      <c r="HQ37" s="525"/>
      <c r="HR37" s="525"/>
      <c r="HS37" s="525"/>
      <c r="HT37" s="525"/>
      <c r="HU37" s="525"/>
      <c r="HV37" s="525"/>
      <c r="HW37" s="525"/>
      <c r="HX37" s="525"/>
      <c r="HY37" s="525"/>
      <c r="HZ37" s="525"/>
      <c r="IA37" s="525"/>
      <c r="IB37" s="525"/>
      <c r="IC37" s="525"/>
      <c r="ID37" s="525"/>
      <c r="IE37" s="525"/>
      <c r="IF37" s="525"/>
      <c r="IG37" s="525"/>
      <c r="IH37" s="525"/>
      <c r="II37" s="525"/>
      <c r="IJ37" s="525"/>
      <c r="IK37" s="525"/>
    </row>
    <row r="38" spans="1:245" s="976" customFormat="1" ht="20.100000000000001" customHeight="1" x14ac:dyDescent="0.25">
      <c r="A38" s="525"/>
      <c r="B38" s="985"/>
      <c r="C38" s="986"/>
      <c r="D38" s="986"/>
      <c r="E38" s="986"/>
      <c r="F38" s="986"/>
      <c r="G38" s="986"/>
      <c r="H38" s="525"/>
      <c r="I38" s="2605">
        <f t="shared" si="28"/>
        <v>14</v>
      </c>
      <c r="J38" s="2607">
        <f t="shared" si="13"/>
        <v>0</v>
      </c>
      <c r="K38" s="2606">
        <f t="shared" si="38"/>
        <v>0</v>
      </c>
      <c r="L38" s="2608">
        <f t="shared" si="23"/>
        <v>0</v>
      </c>
      <c r="M38" s="2607">
        <f t="shared" si="29"/>
        <v>0</v>
      </c>
      <c r="N38" s="525"/>
      <c r="O38" s="2605">
        <f t="shared" si="30"/>
        <v>14</v>
      </c>
      <c r="P38" s="2607">
        <f t="shared" si="15"/>
        <v>0</v>
      </c>
      <c r="Q38" s="2606">
        <f t="shared" si="39"/>
        <v>0</v>
      </c>
      <c r="R38" s="2608">
        <f t="shared" si="24"/>
        <v>0</v>
      </c>
      <c r="S38" s="2607">
        <f t="shared" si="31"/>
        <v>0</v>
      </c>
      <c r="T38" s="525"/>
      <c r="U38" s="2605">
        <f t="shared" si="32"/>
        <v>14</v>
      </c>
      <c r="V38" s="2607">
        <f t="shared" si="17"/>
        <v>0</v>
      </c>
      <c r="W38" s="2606">
        <f t="shared" si="40"/>
        <v>0</v>
      </c>
      <c r="X38" s="2608">
        <f t="shared" si="25"/>
        <v>0</v>
      </c>
      <c r="Y38" s="2607">
        <f t="shared" si="33"/>
        <v>0</v>
      </c>
      <c r="Z38" s="525"/>
      <c r="AA38" s="2605">
        <f t="shared" si="34"/>
        <v>14</v>
      </c>
      <c r="AB38" s="2607">
        <f t="shared" si="19"/>
        <v>0</v>
      </c>
      <c r="AC38" s="2606">
        <f t="shared" si="41"/>
        <v>0</v>
      </c>
      <c r="AD38" s="2608">
        <f t="shared" si="26"/>
        <v>0</v>
      </c>
      <c r="AE38" s="2607">
        <f t="shared" si="35"/>
        <v>0</v>
      </c>
      <c r="AF38" s="525"/>
      <c r="AG38" s="2605">
        <f t="shared" si="36"/>
        <v>14</v>
      </c>
      <c r="AH38" s="2607">
        <f t="shared" si="21"/>
        <v>0</v>
      </c>
      <c r="AI38" s="2606">
        <f t="shared" si="42"/>
        <v>0</v>
      </c>
      <c r="AJ38" s="2608">
        <f t="shared" si="27"/>
        <v>0</v>
      </c>
      <c r="AK38" s="2607">
        <f t="shared" si="37"/>
        <v>0</v>
      </c>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25"/>
      <c r="BM38" s="525"/>
      <c r="BN38" s="525"/>
      <c r="BO38" s="525"/>
      <c r="BP38" s="525"/>
      <c r="BQ38" s="525"/>
      <c r="BR38" s="525"/>
      <c r="BS38" s="525"/>
      <c r="BT38" s="525"/>
      <c r="BU38" s="525"/>
      <c r="BV38" s="525"/>
      <c r="BW38" s="525"/>
      <c r="BX38" s="525"/>
      <c r="BY38" s="525"/>
      <c r="BZ38" s="525"/>
      <c r="CA38" s="525"/>
      <c r="CB38" s="525"/>
      <c r="CC38" s="525"/>
      <c r="CD38" s="525"/>
      <c r="CE38" s="525"/>
      <c r="CF38" s="525"/>
      <c r="CG38" s="525"/>
      <c r="CH38" s="525"/>
      <c r="CI38" s="525"/>
      <c r="CJ38" s="525"/>
      <c r="CK38" s="525"/>
      <c r="CL38" s="525"/>
      <c r="CM38" s="525"/>
      <c r="CN38" s="525"/>
      <c r="CO38" s="525"/>
      <c r="CP38" s="525"/>
      <c r="CQ38" s="525"/>
      <c r="CR38" s="525"/>
      <c r="CS38" s="525"/>
      <c r="CT38" s="525"/>
      <c r="CU38" s="525"/>
      <c r="CV38" s="525"/>
      <c r="CW38" s="525"/>
      <c r="CX38" s="525"/>
      <c r="CY38" s="525"/>
      <c r="CZ38" s="525"/>
      <c r="DA38" s="525"/>
      <c r="DB38" s="525"/>
      <c r="DC38" s="525"/>
      <c r="DD38" s="525"/>
      <c r="DE38" s="525"/>
      <c r="DF38" s="525"/>
      <c r="DG38" s="525"/>
      <c r="DH38" s="525"/>
      <c r="DI38" s="525"/>
      <c r="DJ38" s="525"/>
      <c r="DK38" s="525"/>
      <c r="DL38" s="525"/>
      <c r="DM38" s="525"/>
      <c r="DN38" s="525"/>
      <c r="DO38" s="525"/>
      <c r="DP38" s="525"/>
      <c r="DQ38" s="525"/>
      <c r="DR38" s="525"/>
      <c r="DS38" s="525"/>
      <c r="DT38" s="525"/>
      <c r="DU38" s="525"/>
      <c r="DV38" s="525"/>
      <c r="DW38" s="525"/>
      <c r="DX38" s="525"/>
      <c r="DY38" s="525"/>
      <c r="DZ38" s="525"/>
      <c r="EA38" s="525"/>
      <c r="EB38" s="525"/>
      <c r="EC38" s="525"/>
      <c r="ED38" s="525"/>
      <c r="EE38" s="525"/>
      <c r="EF38" s="525"/>
      <c r="EG38" s="525"/>
      <c r="EH38" s="525"/>
      <c r="EI38" s="525"/>
      <c r="EJ38" s="525"/>
      <c r="EK38" s="525"/>
      <c r="EL38" s="525"/>
      <c r="EM38" s="525"/>
      <c r="EN38" s="525"/>
      <c r="EO38" s="525"/>
      <c r="EP38" s="525"/>
      <c r="EQ38" s="525"/>
      <c r="ER38" s="525"/>
      <c r="ES38" s="525"/>
      <c r="ET38" s="525"/>
      <c r="EU38" s="525"/>
      <c r="EV38" s="525"/>
      <c r="EW38" s="525"/>
      <c r="EX38" s="525"/>
      <c r="EY38" s="525"/>
      <c r="EZ38" s="525"/>
      <c r="FA38" s="525"/>
      <c r="FB38" s="525"/>
      <c r="FC38" s="525"/>
      <c r="FD38" s="525"/>
      <c r="FE38" s="525"/>
      <c r="FF38" s="525"/>
      <c r="FG38" s="525"/>
      <c r="FH38" s="525"/>
      <c r="FI38" s="525"/>
      <c r="FJ38" s="525"/>
      <c r="FK38" s="525"/>
      <c r="FL38" s="525"/>
      <c r="FM38" s="525"/>
      <c r="FN38" s="525"/>
      <c r="FO38" s="525"/>
      <c r="FP38" s="525"/>
      <c r="FQ38" s="525"/>
      <c r="FR38" s="525"/>
      <c r="FS38" s="525"/>
      <c r="FT38" s="525"/>
      <c r="FU38" s="525"/>
      <c r="FV38" s="525"/>
      <c r="FW38" s="525"/>
      <c r="FX38" s="525"/>
      <c r="FY38" s="525"/>
      <c r="FZ38" s="525"/>
      <c r="GA38" s="525"/>
      <c r="GB38" s="525"/>
      <c r="GC38" s="525"/>
      <c r="GD38" s="525"/>
      <c r="GE38" s="525"/>
      <c r="GF38" s="525"/>
      <c r="GG38" s="525"/>
      <c r="GH38" s="525"/>
      <c r="GI38" s="525"/>
      <c r="GJ38" s="525"/>
      <c r="GK38" s="525"/>
      <c r="GL38" s="525"/>
      <c r="GM38" s="525"/>
      <c r="GN38" s="525"/>
      <c r="GO38" s="525"/>
      <c r="GP38" s="525"/>
      <c r="GQ38" s="525"/>
      <c r="GR38" s="525"/>
      <c r="GS38" s="525"/>
      <c r="GT38" s="525"/>
      <c r="GU38" s="525"/>
      <c r="GV38" s="525"/>
      <c r="GW38" s="525"/>
      <c r="GX38" s="525"/>
      <c r="GY38" s="525"/>
      <c r="GZ38" s="525"/>
      <c r="HA38" s="525"/>
      <c r="HB38" s="525"/>
      <c r="HC38" s="525"/>
      <c r="HD38" s="525"/>
      <c r="HE38" s="525"/>
      <c r="HF38" s="525"/>
      <c r="HG38" s="525"/>
      <c r="HH38" s="525"/>
      <c r="HI38" s="525"/>
      <c r="HJ38" s="525"/>
      <c r="HK38" s="525"/>
      <c r="HL38" s="525"/>
      <c r="HM38" s="525"/>
      <c r="HN38" s="525"/>
      <c r="HO38" s="525"/>
      <c r="HP38" s="525"/>
      <c r="HQ38" s="525"/>
      <c r="HR38" s="525"/>
      <c r="HS38" s="525"/>
      <c r="HT38" s="525"/>
      <c r="HU38" s="525"/>
      <c r="HV38" s="525"/>
      <c r="HW38" s="525"/>
      <c r="HX38" s="525"/>
      <c r="HY38" s="525"/>
      <c r="HZ38" s="525"/>
      <c r="IA38" s="525"/>
      <c r="IB38" s="525"/>
      <c r="IC38" s="525"/>
      <c r="ID38" s="525"/>
      <c r="IE38" s="525"/>
      <c r="IF38" s="525"/>
      <c r="IG38" s="525"/>
      <c r="IH38" s="525"/>
      <c r="II38" s="525"/>
      <c r="IJ38" s="525"/>
      <c r="IK38" s="525"/>
    </row>
    <row r="39" spans="1:245" s="976" customFormat="1" ht="20.100000000000001" customHeight="1" x14ac:dyDescent="0.25">
      <c r="A39" s="525"/>
      <c r="B39" s="985"/>
      <c r="C39" s="986"/>
      <c r="D39" s="986"/>
      <c r="E39" s="986"/>
      <c r="F39" s="986"/>
      <c r="G39" s="986"/>
      <c r="H39" s="525"/>
      <c r="I39" s="2605">
        <f t="shared" si="28"/>
        <v>15</v>
      </c>
      <c r="J39" s="2607">
        <f t="shared" si="13"/>
        <v>0</v>
      </c>
      <c r="K39" s="2606">
        <f t="shared" si="38"/>
        <v>0</v>
      </c>
      <c r="L39" s="2608">
        <f t="shared" si="23"/>
        <v>0</v>
      </c>
      <c r="M39" s="2607">
        <f t="shared" si="29"/>
        <v>0</v>
      </c>
      <c r="N39" s="525"/>
      <c r="O39" s="2605">
        <f t="shared" si="30"/>
        <v>15</v>
      </c>
      <c r="P39" s="2607">
        <f t="shared" si="15"/>
        <v>0</v>
      </c>
      <c r="Q39" s="2606">
        <f t="shared" si="39"/>
        <v>0</v>
      </c>
      <c r="R39" s="2608">
        <f t="shared" si="24"/>
        <v>0</v>
      </c>
      <c r="S39" s="2607">
        <f t="shared" si="31"/>
        <v>0</v>
      </c>
      <c r="T39" s="525"/>
      <c r="U39" s="2605">
        <f t="shared" si="32"/>
        <v>15</v>
      </c>
      <c r="V39" s="2607">
        <f t="shared" si="17"/>
        <v>0</v>
      </c>
      <c r="W39" s="2606">
        <f t="shared" si="40"/>
        <v>0</v>
      </c>
      <c r="X39" s="2608">
        <f t="shared" si="25"/>
        <v>0</v>
      </c>
      <c r="Y39" s="2607">
        <f t="shared" si="33"/>
        <v>0</v>
      </c>
      <c r="Z39" s="525"/>
      <c r="AA39" s="2605">
        <f t="shared" si="34"/>
        <v>15</v>
      </c>
      <c r="AB39" s="2607">
        <f t="shared" si="19"/>
        <v>0</v>
      </c>
      <c r="AC39" s="2606">
        <f t="shared" si="41"/>
        <v>0</v>
      </c>
      <c r="AD39" s="2608">
        <f t="shared" si="26"/>
        <v>0</v>
      </c>
      <c r="AE39" s="2607">
        <f t="shared" si="35"/>
        <v>0</v>
      </c>
      <c r="AF39" s="525"/>
      <c r="AG39" s="2605">
        <f t="shared" si="36"/>
        <v>15</v>
      </c>
      <c r="AH39" s="2607">
        <f t="shared" si="21"/>
        <v>0</v>
      </c>
      <c r="AI39" s="2606">
        <f t="shared" si="42"/>
        <v>0</v>
      </c>
      <c r="AJ39" s="2608">
        <f t="shared" si="27"/>
        <v>0</v>
      </c>
      <c r="AK39" s="2607">
        <f t="shared" si="37"/>
        <v>0</v>
      </c>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25"/>
      <c r="DE39" s="525"/>
      <c r="DF39" s="525"/>
      <c r="DG39" s="525"/>
      <c r="DH39" s="525"/>
      <c r="DI39" s="525"/>
      <c r="DJ39" s="525"/>
      <c r="DK39" s="525"/>
      <c r="DL39" s="525"/>
      <c r="DM39" s="525"/>
      <c r="DN39" s="525"/>
      <c r="DO39" s="525"/>
      <c r="DP39" s="525"/>
      <c r="DQ39" s="525"/>
      <c r="DR39" s="525"/>
      <c r="DS39" s="525"/>
      <c r="DT39" s="525"/>
      <c r="DU39" s="525"/>
      <c r="DV39" s="525"/>
      <c r="DW39" s="525"/>
      <c r="DX39" s="525"/>
      <c r="DY39" s="525"/>
      <c r="DZ39" s="525"/>
      <c r="EA39" s="525"/>
      <c r="EB39" s="525"/>
      <c r="EC39" s="525"/>
      <c r="ED39" s="525"/>
      <c r="EE39" s="525"/>
      <c r="EF39" s="525"/>
      <c r="EG39" s="525"/>
      <c r="EH39" s="525"/>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c r="GY39" s="525"/>
      <c r="GZ39" s="525"/>
      <c r="HA39" s="525"/>
      <c r="HB39" s="525"/>
      <c r="HC39" s="525"/>
      <c r="HD39" s="525"/>
      <c r="HE39" s="525"/>
      <c r="HF39" s="525"/>
      <c r="HG39" s="525"/>
      <c r="HH39" s="525"/>
      <c r="HI39" s="525"/>
      <c r="HJ39" s="525"/>
      <c r="HK39" s="525"/>
      <c r="HL39" s="525"/>
      <c r="HM39" s="525"/>
      <c r="HN39" s="525"/>
      <c r="HO39" s="525"/>
      <c r="HP39" s="525"/>
      <c r="HQ39" s="525"/>
      <c r="HR39" s="525"/>
      <c r="HS39" s="525"/>
      <c r="HT39" s="525"/>
      <c r="HU39" s="525"/>
      <c r="HV39" s="525"/>
      <c r="HW39" s="525"/>
      <c r="HX39" s="525"/>
      <c r="HY39" s="525"/>
      <c r="HZ39" s="525"/>
      <c r="IA39" s="525"/>
      <c r="IB39" s="525"/>
      <c r="IC39" s="525"/>
      <c r="ID39" s="525"/>
      <c r="IE39" s="525"/>
      <c r="IF39" s="525"/>
      <c r="IG39" s="525"/>
      <c r="IH39" s="525"/>
      <c r="II39" s="525"/>
      <c r="IJ39" s="525"/>
      <c r="IK39" s="525"/>
    </row>
    <row r="40" spans="1:245" s="976" customFormat="1" ht="20.100000000000001" customHeight="1" x14ac:dyDescent="0.25">
      <c r="A40" s="525"/>
      <c r="B40" s="985"/>
      <c r="C40" s="986"/>
      <c r="D40" s="986"/>
      <c r="E40" s="986"/>
      <c r="F40" s="986"/>
      <c r="G40" s="986"/>
      <c r="H40" s="525"/>
      <c r="I40" s="2605">
        <f t="shared" si="28"/>
        <v>16</v>
      </c>
      <c r="J40" s="2607">
        <f t="shared" si="13"/>
        <v>0</v>
      </c>
      <c r="K40" s="2606">
        <f t="shared" si="38"/>
        <v>0</v>
      </c>
      <c r="L40" s="2608">
        <f t="shared" si="23"/>
        <v>0</v>
      </c>
      <c r="M40" s="2607">
        <f t="shared" si="29"/>
        <v>0</v>
      </c>
      <c r="N40" s="525"/>
      <c r="O40" s="2605">
        <f t="shared" si="30"/>
        <v>16</v>
      </c>
      <c r="P40" s="2607">
        <f t="shared" si="15"/>
        <v>0</v>
      </c>
      <c r="Q40" s="2606">
        <f t="shared" si="39"/>
        <v>0</v>
      </c>
      <c r="R40" s="2608">
        <f t="shared" si="24"/>
        <v>0</v>
      </c>
      <c r="S40" s="2607">
        <f t="shared" si="31"/>
        <v>0</v>
      </c>
      <c r="T40" s="525"/>
      <c r="U40" s="2605">
        <f t="shared" si="32"/>
        <v>16</v>
      </c>
      <c r="V40" s="2607">
        <f t="shared" si="17"/>
        <v>0</v>
      </c>
      <c r="W40" s="2606">
        <f t="shared" si="40"/>
        <v>0</v>
      </c>
      <c r="X40" s="2608">
        <f t="shared" si="25"/>
        <v>0</v>
      </c>
      <c r="Y40" s="2607">
        <f t="shared" si="33"/>
        <v>0</v>
      </c>
      <c r="Z40" s="525"/>
      <c r="AA40" s="2605">
        <f t="shared" si="34"/>
        <v>16</v>
      </c>
      <c r="AB40" s="2607">
        <f t="shared" si="19"/>
        <v>0</v>
      </c>
      <c r="AC40" s="2606">
        <f t="shared" si="41"/>
        <v>0</v>
      </c>
      <c r="AD40" s="2608">
        <f t="shared" si="26"/>
        <v>0</v>
      </c>
      <c r="AE40" s="2607">
        <f t="shared" si="35"/>
        <v>0</v>
      </c>
      <c r="AF40" s="525"/>
      <c r="AG40" s="2605">
        <f t="shared" si="36"/>
        <v>16</v>
      </c>
      <c r="AH40" s="2607">
        <f t="shared" si="21"/>
        <v>0</v>
      </c>
      <c r="AI40" s="2606">
        <f t="shared" si="42"/>
        <v>0</v>
      </c>
      <c r="AJ40" s="2608">
        <f t="shared" si="27"/>
        <v>0</v>
      </c>
      <c r="AK40" s="2607">
        <f t="shared" si="37"/>
        <v>0</v>
      </c>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25"/>
      <c r="BM40" s="525"/>
      <c r="BN40" s="525"/>
      <c r="BO40" s="525"/>
      <c r="BP40" s="525"/>
      <c r="BQ40" s="525"/>
      <c r="BR40" s="525"/>
      <c r="BS40" s="525"/>
      <c r="BT40" s="525"/>
      <c r="BU40" s="525"/>
      <c r="BV40" s="525"/>
      <c r="BW40" s="525"/>
      <c r="BX40" s="525"/>
      <c r="BY40" s="525"/>
      <c r="BZ40" s="525"/>
      <c r="CA40" s="525"/>
      <c r="CB40" s="525"/>
      <c r="CC40" s="525"/>
      <c r="CD40" s="525"/>
      <c r="CE40" s="525"/>
      <c r="CF40" s="525"/>
      <c r="CG40" s="525"/>
      <c r="CH40" s="525"/>
      <c r="CI40" s="525"/>
      <c r="CJ40" s="525"/>
      <c r="CK40" s="525"/>
      <c r="CL40" s="525"/>
      <c r="CM40" s="525"/>
      <c r="CN40" s="525"/>
      <c r="CO40" s="525"/>
      <c r="CP40" s="525"/>
      <c r="CQ40" s="525"/>
      <c r="CR40" s="525"/>
      <c r="CS40" s="525"/>
      <c r="CT40" s="525"/>
      <c r="CU40" s="525"/>
      <c r="CV40" s="525"/>
      <c r="CW40" s="525"/>
      <c r="CX40" s="525"/>
      <c r="CY40" s="525"/>
      <c r="CZ40" s="525"/>
      <c r="DA40" s="525"/>
      <c r="DB40" s="525"/>
      <c r="DC40" s="525"/>
      <c r="DD40" s="525"/>
      <c r="DE40" s="525"/>
      <c r="DF40" s="525"/>
      <c r="DG40" s="525"/>
      <c r="DH40" s="525"/>
      <c r="DI40" s="525"/>
      <c r="DJ40" s="525"/>
      <c r="DK40" s="525"/>
      <c r="DL40" s="525"/>
      <c r="DM40" s="525"/>
      <c r="DN40" s="525"/>
      <c r="DO40" s="525"/>
      <c r="DP40" s="525"/>
      <c r="DQ40" s="525"/>
      <c r="DR40" s="525"/>
      <c r="DS40" s="525"/>
      <c r="DT40" s="525"/>
      <c r="DU40" s="525"/>
      <c r="DV40" s="525"/>
      <c r="DW40" s="525"/>
      <c r="DX40" s="525"/>
      <c r="DY40" s="525"/>
      <c r="DZ40" s="525"/>
      <c r="EA40" s="525"/>
      <c r="EB40" s="525"/>
      <c r="EC40" s="525"/>
      <c r="ED40" s="525"/>
      <c r="EE40" s="525"/>
      <c r="EF40" s="525"/>
      <c r="EG40" s="525"/>
      <c r="EH40" s="525"/>
      <c r="EI40" s="525"/>
      <c r="EJ40" s="525"/>
      <c r="EK40" s="525"/>
      <c r="EL40" s="525"/>
      <c r="EM40" s="525"/>
      <c r="EN40" s="525"/>
      <c r="EO40" s="525"/>
      <c r="EP40" s="525"/>
      <c r="EQ40" s="525"/>
      <c r="ER40" s="525"/>
      <c r="ES40" s="525"/>
      <c r="ET40" s="525"/>
      <c r="EU40" s="525"/>
      <c r="EV40" s="525"/>
      <c r="EW40" s="525"/>
      <c r="EX40" s="525"/>
      <c r="EY40" s="525"/>
      <c r="EZ40" s="525"/>
      <c r="FA40" s="525"/>
      <c r="FB40" s="525"/>
      <c r="FC40" s="525"/>
      <c r="FD40" s="525"/>
      <c r="FE40" s="525"/>
      <c r="FF40" s="525"/>
      <c r="FG40" s="525"/>
      <c r="FH40" s="525"/>
      <c r="FI40" s="525"/>
      <c r="FJ40" s="525"/>
      <c r="FK40" s="525"/>
      <c r="FL40" s="525"/>
      <c r="FM40" s="525"/>
      <c r="FN40" s="525"/>
      <c r="FO40" s="525"/>
      <c r="FP40" s="525"/>
      <c r="FQ40" s="525"/>
      <c r="FR40" s="525"/>
      <c r="FS40" s="525"/>
      <c r="FT40" s="525"/>
      <c r="FU40" s="525"/>
      <c r="FV40" s="525"/>
      <c r="FW40" s="525"/>
      <c r="FX40" s="525"/>
      <c r="FY40" s="525"/>
      <c r="FZ40" s="525"/>
      <c r="GA40" s="525"/>
      <c r="GB40" s="525"/>
      <c r="GC40" s="525"/>
      <c r="GD40" s="525"/>
      <c r="GE40" s="525"/>
      <c r="GF40" s="525"/>
      <c r="GG40" s="525"/>
      <c r="GH40" s="525"/>
      <c r="GI40" s="525"/>
      <c r="GJ40" s="525"/>
      <c r="GK40" s="525"/>
      <c r="GL40" s="525"/>
      <c r="GM40" s="525"/>
      <c r="GN40" s="525"/>
      <c r="GO40" s="525"/>
      <c r="GP40" s="525"/>
      <c r="GQ40" s="525"/>
      <c r="GR40" s="525"/>
      <c r="GS40" s="525"/>
      <c r="GT40" s="525"/>
      <c r="GU40" s="525"/>
      <c r="GV40" s="525"/>
      <c r="GW40" s="525"/>
      <c r="GX40" s="525"/>
      <c r="GY40" s="525"/>
      <c r="GZ40" s="525"/>
      <c r="HA40" s="525"/>
      <c r="HB40" s="525"/>
      <c r="HC40" s="525"/>
      <c r="HD40" s="525"/>
      <c r="HE40" s="525"/>
      <c r="HF40" s="525"/>
      <c r="HG40" s="525"/>
      <c r="HH40" s="525"/>
      <c r="HI40" s="525"/>
      <c r="HJ40" s="525"/>
      <c r="HK40" s="525"/>
      <c r="HL40" s="525"/>
      <c r="HM40" s="525"/>
      <c r="HN40" s="525"/>
      <c r="HO40" s="525"/>
      <c r="HP40" s="525"/>
      <c r="HQ40" s="525"/>
      <c r="HR40" s="525"/>
      <c r="HS40" s="525"/>
      <c r="HT40" s="525"/>
      <c r="HU40" s="525"/>
      <c r="HV40" s="525"/>
      <c r="HW40" s="525"/>
      <c r="HX40" s="525"/>
      <c r="HY40" s="525"/>
      <c r="HZ40" s="525"/>
      <c r="IA40" s="525"/>
      <c r="IB40" s="525"/>
      <c r="IC40" s="525"/>
      <c r="ID40" s="525"/>
      <c r="IE40" s="525"/>
      <c r="IF40" s="525"/>
      <c r="IG40" s="525"/>
      <c r="IH40" s="525"/>
      <c r="II40" s="525"/>
      <c r="IJ40" s="525"/>
      <c r="IK40" s="525"/>
    </row>
    <row r="41" spans="1:245" s="976" customFormat="1" ht="20.100000000000001" customHeight="1" x14ac:dyDescent="0.25">
      <c r="A41" s="525"/>
      <c r="B41" s="985"/>
      <c r="C41" s="986"/>
      <c r="D41" s="986"/>
      <c r="E41" s="986"/>
      <c r="F41" s="986"/>
      <c r="G41" s="986"/>
      <c r="H41" s="525"/>
      <c r="I41" s="2605">
        <f t="shared" si="28"/>
        <v>17</v>
      </c>
      <c r="J41" s="2607">
        <f t="shared" si="13"/>
        <v>0</v>
      </c>
      <c r="K41" s="2606">
        <f t="shared" si="38"/>
        <v>0</v>
      </c>
      <c r="L41" s="2608">
        <f t="shared" si="23"/>
        <v>0</v>
      </c>
      <c r="M41" s="2607">
        <f t="shared" si="29"/>
        <v>0</v>
      </c>
      <c r="N41" s="525"/>
      <c r="O41" s="2605">
        <f t="shared" si="30"/>
        <v>17</v>
      </c>
      <c r="P41" s="2607">
        <f t="shared" si="15"/>
        <v>0</v>
      </c>
      <c r="Q41" s="2606">
        <f t="shared" si="39"/>
        <v>0</v>
      </c>
      <c r="R41" s="2608">
        <f t="shared" si="24"/>
        <v>0</v>
      </c>
      <c r="S41" s="2607">
        <f t="shared" si="31"/>
        <v>0</v>
      </c>
      <c r="T41" s="525"/>
      <c r="U41" s="2605">
        <f t="shared" si="32"/>
        <v>17</v>
      </c>
      <c r="V41" s="2607">
        <f t="shared" si="17"/>
        <v>0</v>
      </c>
      <c r="W41" s="2606">
        <f t="shared" si="40"/>
        <v>0</v>
      </c>
      <c r="X41" s="2608">
        <f t="shared" si="25"/>
        <v>0</v>
      </c>
      <c r="Y41" s="2607">
        <f t="shared" si="33"/>
        <v>0</v>
      </c>
      <c r="Z41" s="525"/>
      <c r="AA41" s="2605">
        <f t="shared" si="34"/>
        <v>17</v>
      </c>
      <c r="AB41" s="2607">
        <f t="shared" si="19"/>
        <v>0</v>
      </c>
      <c r="AC41" s="2606">
        <f t="shared" si="41"/>
        <v>0</v>
      </c>
      <c r="AD41" s="2608">
        <f t="shared" si="26"/>
        <v>0</v>
      </c>
      <c r="AE41" s="2607">
        <f t="shared" si="35"/>
        <v>0</v>
      </c>
      <c r="AF41" s="525"/>
      <c r="AG41" s="2605">
        <f t="shared" si="36"/>
        <v>17</v>
      </c>
      <c r="AH41" s="2607">
        <f t="shared" si="21"/>
        <v>0</v>
      </c>
      <c r="AI41" s="2606">
        <f t="shared" si="42"/>
        <v>0</v>
      </c>
      <c r="AJ41" s="2608">
        <f t="shared" si="27"/>
        <v>0</v>
      </c>
      <c r="AK41" s="2607">
        <f t="shared" si="37"/>
        <v>0</v>
      </c>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5"/>
      <c r="BH41" s="525"/>
      <c r="BI41" s="525"/>
      <c r="BJ41" s="525"/>
      <c r="BK41" s="525"/>
      <c r="BL41" s="525"/>
      <c r="BM41" s="525"/>
      <c r="BN41" s="525"/>
      <c r="BO41" s="525"/>
      <c r="BP41" s="525"/>
      <c r="BQ41" s="525"/>
      <c r="BR41" s="525"/>
      <c r="BS41" s="525"/>
      <c r="BT41" s="525"/>
      <c r="BU41" s="525"/>
      <c r="BV41" s="525"/>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525"/>
      <c r="CW41" s="525"/>
      <c r="CX41" s="525"/>
      <c r="CY41" s="525"/>
      <c r="CZ41" s="525"/>
      <c r="DA41" s="525"/>
      <c r="DB41" s="525"/>
      <c r="DC41" s="525"/>
      <c r="DD41" s="525"/>
      <c r="DE41" s="525"/>
      <c r="DF41" s="525"/>
      <c r="DG41" s="525"/>
      <c r="DH41" s="525"/>
      <c r="DI41" s="525"/>
      <c r="DJ41" s="525"/>
      <c r="DK41" s="525"/>
      <c r="DL41" s="525"/>
      <c r="DM41" s="525"/>
      <c r="DN41" s="525"/>
      <c r="DO41" s="525"/>
      <c r="DP41" s="525"/>
      <c r="DQ41" s="525"/>
      <c r="DR41" s="525"/>
      <c r="DS41" s="525"/>
      <c r="DT41" s="525"/>
      <c r="DU41" s="525"/>
      <c r="DV41" s="525"/>
      <c r="DW41" s="525"/>
      <c r="DX41" s="525"/>
      <c r="DY41" s="525"/>
      <c r="DZ41" s="525"/>
      <c r="EA41" s="525"/>
      <c r="EB41" s="525"/>
      <c r="EC41" s="525"/>
      <c r="ED41" s="525"/>
      <c r="EE41" s="525"/>
      <c r="EF41" s="525"/>
      <c r="EG41" s="525"/>
      <c r="EH41" s="525"/>
      <c r="EI41" s="525"/>
      <c r="EJ41" s="525"/>
      <c r="EK41" s="525"/>
      <c r="EL41" s="525"/>
      <c r="EM41" s="525"/>
      <c r="EN41" s="525"/>
      <c r="EO41" s="525"/>
      <c r="EP41" s="525"/>
      <c r="EQ41" s="525"/>
      <c r="ER41" s="525"/>
      <c r="ES41" s="525"/>
      <c r="ET41" s="525"/>
      <c r="EU41" s="525"/>
      <c r="EV41" s="525"/>
      <c r="EW41" s="525"/>
      <c r="EX41" s="525"/>
      <c r="EY41" s="525"/>
      <c r="EZ41" s="525"/>
      <c r="FA41" s="525"/>
      <c r="FB41" s="525"/>
      <c r="FC41" s="525"/>
      <c r="FD41" s="525"/>
      <c r="FE41" s="525"/>
      <c r="FF41" s="525"/>
      <c r="FG41" s="525"/>
      <c r="FH41" s="525"/>
      <c r="FI41" s="525"/>
      <c r="FJ41" s="525"/>
      <c r="FK41" s="525"/>
      <c r="FL41" s="525"/>
      <c r="FM41" s="525"/>
      <c r="FN41" s="525"/>
      <c r="FO41" s="525"/>
      <c r="FP41" s="525"/>
      <c r="FQ41" s="525"/>
      <c r="FR41" s="525"/>
      <c r="FS41" s="525"/>
      <c r="FT41" s="525"/>
      <c r="FU41" s="525"/>
      <c r="FV41" s="525"/>
      <c r="FW41" s="525"/>
      <c r="FX41" s="525"/>
      <c r="FY41" s="525"/>
      <c r="FZ41" s="525"/>
      <c r="GA41" s="525"/>
      <c r="GB41" s="525"/>
      <c r="GC41" s="525"/>
      <c r="GD41" s="525"/>
      <c r="GE41" s="525"/>
      <c r="GF41" s="525"/>
      <c r="GG41" s="525"/>
      <c r="GH41" s="525"/>
      <c r="GI41" s="525"/>
      <c r="GJ41" s="525"/>
      <c r="GK41" s="525"/>
      <c r="GL41" s="525"/>
      <c r="GM41" s="525"/>
      <c r="GN41" s="525"/>
      <c r="GO41" s="525"/>
      <c r="GP41" s="525"/>
      <c r="GQ41" s="525"/>
      <c r="GR41" s="525"/>
      <c r="GS41" s="525"/>
      <c r="GT41" s="525"/>
      <c r="GU41" s="525"/>
      <c r="GV41" s="525"/>
      <c r="GW41" s="525"/>
      <c r="GX41" s="525"/>
      <c r="GY41" s="525"/>
      <c r="GZ41" s="525"/>
      <c r="HA41" s="525"/>
      <c r="HB41" s="525"/>
      <c r="HC41" s="525"/>
      <c r="HD41" s="525"/>
      <c r="HE41" s="525"/>
      <c r="HF41" s="525"/>
      <c r="HG41" s="525"/>
      <c r="HH41" s="525"/>
      <c r="HI41" s="525"/>
      <c r="HJ41" s="525"/>
      <c r="HK41" s="525"/>
      <c r="HL41" s="525"/>
      <c r="HM41" s="525"/>
      <c r="HN41" s="525"/>
      <c r="HO41" s="525"/>
      <c r="HP41" s="525"/>
      <c r="HQ41" s="525"/>
      <c r="HR41" s="525"/>
      <c r="HS41" s="525"/>
      <c r="HT41" s="525"/>
      <c r="HU41" s="525"/>
      <c r="HV41" s="525"/>
      <c r="HW41" s="525"/>
      <c r="HX41" s="525"/>
      <c r="HY41" s="525"/>
      <c r="HZ41" s="525"/>
      <c r="IA41" s="525"/>
      <c r="IB41" s="525"/>
      <c r="IC41" s="525"/>
      <c r="ID41" s="525"/>
      <c r="IE41" s="525"/>
      <c r="IF41" s="525"/>
      <c r="IG41" s="525"/>
      <c r="IH41" s="525"/>
      <c r="II41" s="525"/>
      <c r="IJ41" s="525"/>
      <c r="IK41" s="525"/>
    </row>
    <row r="42" spans="1:245" s="976" customFormat="1" ht="20.100000000000001" customHeight="1" x14ac:dyDescent="0.25">
      <c r="A42" s="525"/>
      <c r="B42" s="985"/>
      <c r="C42" s="986"/>
      <c r="D42" s="986"/>
      <c r="E42" s="986"/>
      <c r="F42" s="986"/>
      <c r="G42" s="986"/>
      <c r="H42" s="525"/>
      <c r="I42" s="2605">
        <f t="shared" si="28"/>
        <v>18</v>
      </c>
      <c r="J42" s="2607">
        <f t="shared" si="13"/>
        <v>0</v>
      </c>
      <c r="K42" s="2606">
        <f t="shared" si="38"/>
        <v>0</v>
      </c>
      <c r="L42" s="2608">
        <f t="shared" si="23"/>
        <v>0</v>
      </c>
      <c r="M42" s="2607">
        <f t="shared" si="29"/>
        <v>0</v>
      </c>
      <c r="N42" s="525"/>
      <c r="O42" s="2605">
        <f t="shared" si="30"/>
        <v>18</v>
      </c>
      <c r="P42" s="2607">
        <f t="shared" si="15"/>
        <v>0</v>
      </c>
      <c r="Q42" s="2606">
        <f t="shared" si="39"/>
        <v>0</v>
      </c>
      <c r="R42" s="2608">
        <f t="shared" si="24"/>
        <v>0</v>
      </c>
      <c r="S42" s="2607">
        <f t="shared" si="31"/>
        <v>0</v>
      </c>
      <c r="T42" s="525"/>
      <c r="U42" s="2605">
        <f t="shared" si="32"/>
        <v>18</v>
      </c>
      <c r="V42" s="2607">
        <f t="shared" si="17"/>
        <v>0</v>
      </c>
      <c r="W42" s="2606">
        <f t="shared" si="40"/>
        <v>0</v>
      </c>
      <c r="X42" s="2608">
        <f t="shared" si="25"/>
        <v>0</v>
      </c>
      <c r="Y42" s="2607">
        <f t="shared" si="33"/>
        <v>0</v>
      </c>
      <c r="Z42" s="525"/>
      <c r="AA42" s="2605">
        <f t="shared" si="34"/>
        <v>18</v>
      </c>
      <c r="AB42" s="2607">
        <f t="shared" si="19"/>
        <v>0</v>
      </c>
      <c r="AC42" s="2606">
        <f t="shared" si="41"/>
        <v>0</v>
      </c>
      <c r="AD42" s="2608">
        <f t="shared" si="26"/>
        <v>0</v>
      </c>
      <c r="AE42" s="2607">
        <f t="shared" si="35"/>
        <v>0</v>
      </c>
      <c r="AF42" s="525"/>
      <c r="AG42" s="2605">
        <f t="shared" si="36"/>
        <v>18</v>
      </c>
      <c r="AH42" s="2607">
        <f t="shared" si="21"/>
        <v>0</v>
      </c>
      <c r="AI42" s="2606">
        <f t="shared" si="42"/>
        <v>0</v>
      </c>
      <c r="AJ42" s="2608">
        <f t="shared" si="27"/>
        <v>0</v>
      </c>
      <c r="AK42" s="2607">
        <f t="shared" si="37"/>
        <v>0</v>
      </c>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5"/>
      <c r="BH42" s="525"/>
      <c r="BI42" s="525"/>
      <c r="BJ42" s="525"/>
      <c r="BK42" s="525"/>
      <c r="BL42" s="525"/>
      <c r="BM42" s="525"/>
      <c r="BN42" s="525"/>
      <c r="BO42" s="525"/>
      <c r="BP42" s="525"/>
      <c r="BQ42" s="525"/>
      <c r="BR42" s="525"/>
      <c r="BS42" s="525"/>
      <c r="BT42" s="525"/>
      <c r="BU42" s="525"/>
      <c r="BV42" s="525"/>
      <c r="BW42" s="525"/>
      <c r="BX42" s="525"/>
      <c r="BY42" s="525"/>
      <c r="BZ42" s="525"/>
      <c r="CA42" s="525"/>
      <c r="CB42" s="525"/>
      <c r="CC42" s="525"/>
      <c r="CD42" s="525"/>
      <c r="CE42" s="525"/>
      <c r="CF42" s="525"/>
      <c r="CG42" s="525"/>
      <c r="CH42" s="525"/>
      <c r="CI42" s="525"/>
      <c r="CJ42" s="525"/>
      <c r="CK42" s="525"/>
      <c r="CL42" s="525"/>
      <c r="CM42" s="525"/>
      <c r="CN42" s="525"/>
      <c r="CO42" s="525"/>
      <c r="CP42" s="525"/>
      <c r="CQ42" s="525"/>
      <c r="CR42" s="525"/>
      <c r="CS42" s="525"/>
      <c r="CT42" s="525"/>
      <c r="CU42" s="525"/>
      <c r="CV42" s="525"/>
      <c r="CW42" s="525"/>
      <c r="CX42" s="525"/>
      <c r="CY42" s="525"/>
      <c r="CZ42" s="525"/>
      <c r="DA42" s="525"/>
      <c r="DB42" s="525"/>
      <c r="DC42" s="525"/>
      <c r="DD42" s="525"/>
      <c r="DE42" s="525"/>
      <c r="DF42" s="525"/>
      <c r="DG42" s="525"/>
      <c r="DH42" s="525"/>
      <c r="DI42" s="525"/>
      <c r="DJ42" s="525"/>
      <c r="DK42" s="525"/>
      <c r="DL42" s="525"/>
      <c r="DM42" s="525"/>
      <c r="DN42" s="525"/>
      <c r="DO42" s="525"/>
      <c r="DP42" s="525"/>
      <c r="DQ42" s="525"/>
      <c r="DR42" s="525"/>
      <c r="DS42" s="525"/>
      <c r="DT42" s="525"/>
      <c r="DU42" s="525"/>
      <c r="DV42" s="525"/>
      <c r="DW42" s="525"/>
      <c r="DX42" s="525"/>
      <c r="DY42" s="525"/>
      <c r="DZ42" s="525"/>
      <c r="EA42" s="525"/>
      <c r="EB42" s="525"/>
      <c r="EC42" s="525"/>
      <c r="ED42" s="525"/>
      <c r="EE42" s="525"/>
      <c r="EF42" s="525"/>
      <c r="EG42" s="525"/>
      <c r="EH42" s="525"/>
      <c r="EI42" s="525"/>
      <c r="EJ42" s="525"/>
      <c r="EK42" s="525"/>
      <c r="EL42" s="525"/>
      <c r="EM42" s="525"/>
      <c r="EN42" s="525"/>
      <c r="EO42" s="525"/>
      <c r="EP42" s="525"/>
      <c r="EQ42" s="525"/>
      <c r="ER42" s="525"/>
      <c r="ES42" s="525"/>
      <c r="ET42" s="525"/>
      <c r="EU42" s="525"/>
      <c r="EV42" s="525"/>
      <c r="EW42" s="525"/>
      <c r="EX42" s="525"/>
      <c r="EY42" s="525"/>
      <c r="EZ42" s="525"/>
      <c r="FA42" s="525"/>
      <c r="FB42" s="525"/>
      <c r="FC42" s="525"/>
      <c r="FD42" s="525"/>
      <c r="FE42" s="525"/>
      <c r="FF42" s="525"/>
      <c r="FG42" s="525"/>
      <c r="FH42" s="525"/>
      <c r="FI42" s="525"/>
      <c r="FJ42" s="525"/>
      <c r="FK42" s="525"/>
      <c r="FL42" s="525"/>
      <c r="FM42" s="525"/>
      <c r="FN42" s="525"/>
      <c r="FO42" s="525"/>
      <c r="FP42" s="525"/>
      <c r="FQ42" s="525"/>
      <c r="FR42" s="525"/>
      <c r="FS42" s="525"/>
      <c r="FT42" s="525"/>
      <c r="FU42" s="525"/>
      <c r="FV42" s="525"/>
      <c r="FW42" s="525"/>
      <c r="FX42" s="525"/>
      <c r="FY42" s="525"/>
      <c r="FZ42" s="525"/>
      <c r="GA42" s="525"/>
      <c r="GB42" s="525"/>
      <c r="GC42" s="525"/>
      <c r="GD42" s="525"/>
      <c r="GE42" s="525"/>
      <c r="GF42" s="525"/>
      <c r="GG42" s="525"/>
      <c r="GH42" s="525"/>
      <c r="GI42" s="525"/>
      <c r="GJ42" s="525"/>
      <c r="GK42" s="525"/>
      <c r="GL42" s="525"/>
      <c r="GM42" s="525"/>
      <c r="GN42" s="525"/>
      <c r="GO42" s="525"/>
      <c r="GP42" s="525"/>
      <c r="GQ42" s="525"/>
      <c r="GR42" s="525"/>
      <c r="GS42" s="525"/>
      <c r="GT42" s="525"/>
      <c r="GU42" s="525"/>
      <c r="GV42" s="525"/>
      <c r="GW42" s="525"/>
      <c r="GX42" s="525"/>
      <c r="GY42" s="525"/>
      <c r="GZ42" s="525"/>
      <c r="HA42" s="525"/>
      <c r="HB42" s="525"/>
      <c r="HC42" s="525"/>
      <c r="HD42" s="525"/>
      <c r="HE42" s="525"/>
      <c r="HF42" s="525"/>
      <c r="HG42" s="525"/>
      <c r="HH42" s="525"/>
      <c r="HI42" s="525"/>
      <c r="HJ42" s="525"/>
      <c r="HK42" s="525"/>
      <c r="HL42" s="525"/>
      <c r="HM42" s="525"/>
      <c r="HN42" s="525"/>
      <c r="HO42" s="525"/>
      <c r="HP42" s="525"/>
      <c r="HQ42" s="525"/>
      <c r="HR42" s="525"/>
      <c r="HS42" s="525"/>
      <c r="HT42" s="525"/>
      <c r="HU42" s="525"/>
      <c r="HV42" s="525"/>
      <c r="HW42" s="525"/>
      <c r="HX42" s="525"/>
      <c r="HY42" s="525"/>
      <c r="HZ42" s="525"/>
      <c r="IA42" s="525"/>
      <c r="IB42" s="525"/>
      <c r="IC42" s="525"/>
      <c r="ID42" s="525"/>
      <c r="IE42" s="525"/>
      <c r="IF42" s="525"/>
      <c r="IG42" s="525"/>
      <c r="IH42" s="525"/>
      <c r="II42" s="525"/>
      <c r="IJ42" s="525"/>
      <c r="IK42" s="525"/>
    </row>
    <row r="43" spans="1:245" s="976" customFormat="1" ht="20.100000000000001" customHeight="1" x14ac:dyDescent="0.25">
      <c r="A43" s="525"/>
      <c r="B43" s="985"/>
      <c r="C43" s="986"/>
      <c r="D43" s="986"/>
      <c r="E43" s="986"/>
      <c r="F43" s="986"/>
      <c r="G43" s="986"/>
      <c r="H43" s="525"/>
      <c r="I43" s="2605">
        <f t="shared" si="28"/>
        <v>19</v>
      </c>
      <c r="J43" s="2607">
        <f t="shared" si="13"/>
        <v>0</v>
      </c>
      <c r="K43" s="2606">
        <f t="shared" si="38"/>
        <v>0</v>
      </c>
      <c r="L43" s="2608">
        <f t="shared" si="23"/>
        <v>0</v>
      </c>
      <c r="M43" s="2607">
        <f t="shared" si="29"/>
        <v>0</v>
      </c>
      <c r="N43" s="525"/>
      <c r="O43" s="2605">
        <f t="shared" si="30"/>
        <v>19</v>
      </c>
      <c r="P43" s="2607">
        <f t="shared" si="15"/>
        <v>0</v>
      </c>
      <c r="Q43" s="2606">
        <f t="shared" si="39"/>
        <v>0</v>
      </c>
      <c r="R43" s="2608">
        <f t="shared" si="24"/>
        <v>0</v>
      </c>
      <c r="S43" s="2607">
        <f t="shared" si="31"/>
        <v>0</v>
      </c>
      <c r="T43" s="525"/>
      <c r="U43" s="2605">
        <f t="shared" si="32"/>
        <v>19</v>
      </c>
      <c r="V43" s="2607">
        <f t="shared" si="17"/>
        <v>0</v>
      </c>
      <c r="W43" s="2606">
        <f t="shared" si="40"/>
        <v>0</v>
      </c>
      <c r="X43" s="2608">
        <f t="shared" si="25"/>
        <v>0</v>
      </c>
      <c r="Y43" s="2607">
        <f t="shared" si="33"/>
        <v>0</v>
      </c>
      <c r="Z43" s="525"/>
      <c r="AA43" s="2605">
        <f t="shared" si="34"/>
        <v>19</v>
      </c>
      <c r="AB43" s="2607">
        <f t="shared" si="19"/>
        <v>0</v>
      </c>
      <c r="AC43" s="2606">
        <f t="shared" si="41"/>
        <v>0</v>
      </c>
      <c r="AD43" s="2608">
        <f t="shared" si="26"/>
        <v>0</v>
      </c>
      <c r="AE43" s="2607">
        <f t="shared" si="35"/>
        <v>0</v>
      </c>
      <c r="AF43" s="525"/>
      <c r="AG43" s="2605">
        <f t="shared" si="36"/>
        <v>19</v>
      </c>
      <c r="AH43" s="2607">
        <f t="shared" si="21"/>
        <v>0</v>
      </c>
      <c r="AI43" s="2606">
        <f t="shared" si="42"/>
        <v>0</v>
      </c>
      <c r="AJ43" s="2608">
        <f t="shared" si="27"/>
        <v>0</v>
      </c>
      <c r="AK43" s="2607">
        <f t="shared" si="37"/>
        <v>0</v>
      </c>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525"/>
      <c r="BV43" s="525"/>
      <c r="BW43" s="525"/>
      <c r="BX43" s="525"/>
      <c r="BY43" s="525"/>
      <c r="BZ43" s="525"/>
      <c r="CA43" s="525"/>
      <c r="CB43" s="525"/>
      <c r="CC43" s="525"/>
      <c r="CD43" s="525"/>
      <c r="CE43" s="525"/>
      <c r="CF43" s="525"/>
      <c r="CG43" s="525"/>
      <c r="CH43" s="525"/>
      <c r="CI43" s="525"/>
      <c r="CJ43" s="525"/>
      <c r="CK43" s="525"/>
      <c r="CL43" s="525"/>
      <c r="CM43" s="525"/>
      <c r="CN43" s="525"/>
      <c r="CO43" s="525"/>
      <c r="CP43" s="525"/>
      <c r="CQ43" s="525"/>
      <c r="CR43" s="525"/>
      <c r="CS43" s="525"/>
      <c r="CT43" s="525"/>
      <c r="CU43" s="525"/>
      <c r="CV43" s="525"/>
      <c r="CW43" s="525"/>
      <c r="CX43" s="525"/>
      <c r="CY43" s="525"/>
      <c r="CZ43" s="525"/>
      <c r="DA43" s="525"/>
      <c r="DB43" s="525"/>
      <c r="DC43" s="525"/>
      <c r="DD43" s="525"/>
      <c r="DE43" s="525"/>
      <c r="DF43" s="525"/>
      <c r="DG43" s="525"/>
      <c r="DH43" s="525"/>
      <c r="DI43" s="525"/>
      <c r="DJ43" s="525"/>
      <c r="DK43" s="525"/>
      <c r="DL43" s="525"/>
      <c r="DM43" s="525"/>
      <c r="DN43" s="525"/>
      <c r="DO43" s="525"/>
      <c r="DP43" s="525"/>
      <c r="DQ43" s="525"/>
      <c r="DR43" s="525"/>
      <c r="DS43" s="525"/>
      <c r="DT43" s="525"/>
      <c r="DU43" s="525"/>
      <c r="DV43" s="525"/>
      <c r="DW43" s="525"/>
      <c r="DX43" s="525"/>
      <c r="DY43" s="525"/>
      <c r="DZ43" s="525"/>
      <c r="EA43" s="525"/>
      <c r="EB43" s="525"/>
      <c r="EC43" s="525"/>
      <c r="ED43" s="525"/>
      <c r="EE43" s="525"/>
      <c r="EF43" s="525"/>
      <c r="EG43" s="525"/>
      <c r="EH43" s="525"/>
      <c r="EI43" s="525"/>
      <c r="EJ43" s="525"/>
      <c r="EK43" s="525"/>
      <c r="EL43" s="525"/>
      <c r="EM43" s="525"/>
      <c r="EN43" s="525"/>
      <c r="EO43" s="525"/>
      <c r="EP43" s="525"/>
      <c r="EQ43" s="525"/>
      <c r="ER43" s="525"/>
      <c r="ES43" s="525"/>
      <c r="ET43" s="525"/>
      <c r="EU43" s="525"/>
      <c r="EV43" s="525"/>
      <c r="EW43" s="525"/>
      <c r="EX43" s="525"/>
      <c r="EY43" s="525"/>
      <c r="EZ43" s="525"/>
      <c r="FA43" s="525"/>
      <c r="FB43" s="525"/>
      <c r="FC43" s="525"/>
      <c r="FD43" s="525"/>
      <c r="FE43" s="525"/>
      <c r="FF43" s="525"/>
      <c r="FG43" s="525"/>
      <c r="FH43" s="525"/>
      <c r="FI43" s="525"/>
      <c r="FJ43" s="525"/>
      <c r="FK43" s="525"/>
      <c r="FL43" s="525"/>
      <c r="FM43" s="525"/>
      <c r="FN43" s="525"/>
      <c r="FO43" s="525"/>
      <c r="FP43" s="525"/>
      <c r="FQ43" s="525"/>
      <c r="FR43" s="525"/>
      <c r="FS43" s="525"/>
      <c r="FT43" s="525"/>
      <c r="FU43" s="525"/>
      <c r="FV43" s="525"/>
      <c r="FW43" s="525"/>
      <c r="FX43" s="525"/>
      <c r="FY43" s="525"/>
      <c r="FZ43" s="525"/>
      <c r="GA43" s="525"/>
      <c r="GB43" s="525"/>
      <c r="GC43" s="525"/>
      <c r="GD43" s="525"/>
      <c r="GE43" s="525"/>
      <c r="GF43" s="525"/>
      <c r="GG43" s="525"/>
      <c r="GH43" s="525"/>
      <c r="GI43" s="525"/>
      <c r="GJ43" s="525"/>
      <c r="GK43" s="525"/>
      <c r="GL43" s="525"/>
      <c r="GM43" s="525"/>
      <c r="GN43" s="525"/>
      <c r="GO43" s="525"/>
      <c r="GP43" s="525"/>
      <c r="GQ43" s="525"/>
      <c r="GR43" s="525"/>
      <c r="GS43" s="525"/>
      <c r="GT43" s="525"/>
      <c r="GU43" s="525"/>
      <c r="GV43" s="525"/>
      <c r="GW43" s="525"/>
      <c r="GX43" s="525"/>
      <c r="GY43" s="525"/>
      <c r="GZ43" s="525"/>
      <c r="HA43" s="525"/>
      <c r="HB43" s="525"/>
      <c r="HC43" s="525"/>
      <c r="HD43" s="525"/>
      <c r="HE43" s="525"/>
      <c r="HF43" s="525"/>
      <c r="HG43" s="525"/>
      <c r="HH43" s="525"/>
      <c r="HI43" s="525"/>
      <c r="HJ43" s="525"/>
      <c r="HK43" s="525"/>
      <c r="HL43" s="525"/>
      <c r="HM43" s="525"/>
      <c r="HN43" s="525"/>
      <c r="HO43" s="525"/>
      <c r="HP43" s="525"/>
      <c r="HQ43" s="525"/>
      <c r="HR43" s="525"/>
      <c r="HS43" s="525"/>
      <c r="HT43" s="525"/>
      <c r="HU43" s="525"/>
      <c r="HV43" s="525"/>
      <c r="HW43" s="525"/>
      <c r="HX43" s="525"/>
      <c r="HY43" s="525"/>
      <c r="HZ43" s="525"/>
      <c r="IA43" s="525"/>
      <c r="IB43" s="525"/>
      <c r="IC43" s="525"/>
      <c r="ID43" s="525"/>
      <c r="IE43" s="525"/>
      <c r="IF43" s="525"/>
      <c r="IG43" s="525"/>
      <c r="IH43" s="525"/>
      <c r="II43" s="525"/>
      <c r="IJ43" s="525"/>
      <c r="IK43" s="525"/>
    </row>
    <row r="44" spans="1:245" s="976" customFormat="1" ht="20.100000000000001" customHeight="1" x14ac:dyDescent="0.25">
      <c r="A44" s="525"/>
      <c r="B44" s="985"/>
      <c r="C44" s="986"/>
      <c r="D44" s="986"/>
      <c r="E44" s="986"/>
      <c r="F44" s="986"/>
      <c r="G44" s="986"/>
      <c r="H44" s="525"/>
      <c r="I44" s="2605">
        <f t="shared" si="28"/>
        <v>20</v>
      </c>
      <c r="J44" s="2607">
        <f t="shared" si="13"/>
        <v>0</v>
      </c>
      <c r="K44" s="2606">
        <f t="shared" si="38"/>
        <v>0</v>
      </c>
      <c r="L44" s="2608">
        <f t="shared" si="23"/>
        <v>0</v>
      </c>
      <c r="M44" s="2607">
        <f t="shared" si="29"/>
        <v>0</v>
      </c>
      <c r="N44" s="525"/>
      <c r="O44" s="2605">
        <f t="shared" si="30"/>
        <v>20</v>
      </c>
      <c r="P44" s="2607">
        <f t="shared" si="15"/>
        <v>0</v>
      </c>
      <c r="Q44" s="2606">
        <f t="shared" si="39"/>
        <v>0</v>
      </c>
      <c r="R44" s="2608">
        <f t="shared" si="24"/>
        <v>0</v>
      </c>
      <c r="S44" s="2607">
        <f t="shared" si="31"/>
        <v>0</v>
      </c>
      <c r="T44" s="525"/>
      <c r="U44" s="2605">
        <f t="shared" si="32"/>
        <v>20</v>
      </c>
      <c r="V44" s="2607">
        <f t="shared" si="17"/>
        <v>0</v>
      </c>
      <c r="W44" s="2606">
        <f t="shared" si="40"/>
        <v>0</v>
      </c>
      <c r="X44" s="2608">
        <f t="shared" si="25"/>
        <v>0</v>
      </c>
      <c r="Y44" s="2607">
        <f t="shared" si="33"/>
        <v>0</v>
      </c>
      <c r="Z44" s="525"/>
      <c r="AA44" s="2605">
        <f t="shared" si="34"/>
        <v>20</v>
      </c>
      <c r="AB44" s="2607">
        <f t="shared" si="19"/>
        <v>0</v>
      </c>
      <c r="AC44" s="2606">
        <f t="shared" si="41"/>
        <v>0</v>
      </c>
      <c r="AD44" s="2608">
        <f t="shared" si="26"/>
        <v>0</v>
      </c>
      <c r="AE44" s="2607">
        <f t="shared" si="35"/>
        <v>0</v>
      </c>
      <c r="AF44" s="525"/>
      <c r="AG44" s="2605">
        <f t="shared" si="36"/>
        <v>20</v>
      </c>
      <c r="AH44" s="2607">
        <f t="shared" si="21"/>
        <v>0</v>
      </c>
      <c r="AI44" s="2606">
        <f t="shared" si="42"/>
        <v>0</v>
      </c>
      <c r="AJ44" s="2608">
        <f t="shared" si="27"/>
        <v>0</v>
      </c>
      <c r="AK44" s="2607">
        <f t="shared" si="37"/>
        <v>0</v>
      </c>
      <c r="AL44" s="525"/>
      <c r="AM44" s="525"/>
      <c r="AN44" s="525"/>
      <c r="AO44" s="525"/>
      <c r="AP44" s="525"/>
      <c r="AQ44" s="525"/>
      <c r="AR44" s="525"/>
      <c r="AS44" s="525"/>
      <c r="AT44" s="525"/>
      <c r="AU44" s="525"/>
      <c r="AV44" s="525"/>
      <c r="AW44" s="525"/>
      <c r="AX44" s="525"/>
      <c r="AY44" s="525"/>
      <c r="AZ44" s="525"/>
      <c r="BA44" s="525"/>
      <c r="BB44" s="525"/>
      <c r="BC44" s="525"/>
      <c r="BD44" s="525"/>
      <c r="BE44" s="525"/>
      <c r="BF44" s="525"/>
      <c r="BG44" s="525"/>
      <c r="BH44" s="525"/>
      <c r="BI44" s="525"/>
      <c r="BJ44" s="525"/>
      <c r="BK44" s="525"/>
      <c r="BL44" s="525"/>
      <c r="BM44" s="525"/>
      <c r="BN44" s="525"/>
      <c r="BO44" s="525"/>
      <c r="BP44" s="525"/>
      <c r="BQ44" s="525"/>
      <c r="BR44" s="525"/>
      <c r="BS44" s="525"/>
      <c r="BT44" s="525"/>
      <c r="BU44" s="525"/>
      <c r="BV44" s="525"/>
      <c r="BW44" s="525"/>
      <c r="BX44" s="525"/>
      <c r="BY44" s="525"/>
      <c r="BZ44" s="525"/>
      <c r="CA44" s="525"/>
      <c r="CB44" s="525"/>
      <c r="CC44" s="525"/>
      <c r="CD44" s="525"/>
      <c r="CE44" s="525"/>
      <c r="CF44" s="525"/>
      <c r="CG44" s="525"/>
      <c r="CH44" s="525"/>
      <c r="CI44" s="525"/>
      <c r="CJ44" s="525"/>
      <c r="CK44" s="525"/>
      <c r="CL44" s="525"/>
      <c r="CM44" s="525"/>
      <c r="CN44" s="525"/>
      <c r="CO44" s="525"/>
      <c r="CP44" s="525"/>
      <c r="CQ44" s="525"/>
      <c r="CR44" s="525"/>
      <c r="CS44" s="525"/>
      <c r="CT44" s="525"/>
      <c r="CU44" s="525"/>
      <c r="CV44" s="525"/>
      <c r="CW44" s="525"/>
      <c r="CX44" s="525"/>
      <c r="CY44" s="525"/>
      <c r="CZ44" s="525"/>
      <c r="DA44" s="525"/>
      <c r="DB44" s="525"/>
      <c r="DC44" s="525"/>
      <c r="DD44" s="525"/>
      <c r="DE44" s="525"/>
      <c r="DF44" s="525"/>
      <c r="DG44" s="525"/>
      <c r="DH44" s="525"/>
      <c r="DI44" s="525"/>
      <c r="DJ44" s="525"/>
      <c r="DK44" s="525"/>
      <c r="DL44" s="525"/>
      <c r="DM44" s="525"/>
      <c r="DN44" s="525"/>
      <c r="DO44" s="525"/>
      <c r="DP44" s="525"/>
      <c r="DQ44" s="525"/>
      <c r="DR44" s="525"/>
      <c r="DS44" s="525"/>
      <c r="DT44" s="525"/>
      <c r="DU44" s="525"/>
      <c r="DV44" s="525"/>
      <c r="DW44" s="525"/>
      <c r="DX44" s="525"/>
      <c r="DY44" s="525"/>
      <c r="DZ44" s="525"/>
      <c r="EA44" s="525"/>
      <c r="EB44" s="525"/>
      <c r="EC44" s="525"/>
      <c r="ED44" s="525"/>
      <c r="EE44" s="525"/>
      <c r="EF44" s="525"/>
      <c r="EG44" s="525"/>
      <c r="EH44" s="525"/>
      <c r="EI44" s="525"/>
      <c r="EJ44" s="525"/>
      <c r="EK44" s="525"/>
      <c r="EL44" s="525"/>
      <c r="EM44" s="525"/>
      <c r="EN44" s="525"/>
      <c r="EO44" s="525"/>
      <c r="EP44" s="525"/>
      <c r="EQ44" s="525"/>
      <c r="ER44" s="525"/>
      <c r="ES44" s="525"/>
      <c r="ET44" s="525"/>
      <c r="EU44" s="525"/>
      <c r="EV44" s="525"/>
      <c r="EW44" s="525"/>
      <c r="EX44" s="525"/>
      <c r="EY44" s="525"/>
      <c r="EZ44" s="525"/>
      <c r="FA44" s="525"/>
      <c r="FB44" s="525"/>
      <c r="FC44" s="525"/>
      <c r="FD44" s="525"/>
      <c r="FE44" s="525"/>
      <c r="FF44" s="525"/>
      <c r="FG44" s="525"/>
      <c r="FH44" s="525"/>
      <c r="FI44" s="525"/>
      <c r="FJ44" s="525"/>
      <c r="FK44" s="525"/>
      <c r="FL44" s="525"/>
      <c r="FM44" s="525"/>
      <c r="FN44" s="525"/>
      <c r="FO44" s="525"/>
      <c r="FP44" s="525"/>
      <c r="FQ44" s="525"/>
      <c r="FR44" s="525"/>
      <c r="FS44" s="525"/>
      <c r="FT44" s="525"/>
      <c r="FU44" s="525"/>
      <c r="FV44" s="525"/>
      <c r="FW44" s="525"/>
      <c r="FX44" s="525"/>
      <c r="FY44" s="525"/>
      <c r="FZ44" s="525"/>
      <c r="GA44" s="525"/>
      <c r="GB44" s="525"/>
      <c r="GC44" s="525"/>
      <c r="GD44" s="525"/>
      <c r="GE44" s="525"/>
      <c r="GF44" s="525"/>
      <c r="GG44" s="525"/>
      <c r="GH44" s="525"/>
      <c r="GI44" s="525"/>
      <c r="GJ44" s="525"/>
      <c r="GK44" s="525"/>
      <c r="GL44" s="525"/>
      <c r="GM44" s="525"/>
      <c r="GN44" s="525"/>
      <c r="GO44" s="525"/>
      <c r="GP44" s="525"/>
      <c r="GQ44" s="525"/>
      <c r="GR44" s="525"/>
      <c r="GS44" s="525"/>
      <c r="GT44" s="525"/>
      <c r="GU44" s="525"/>
      <c r="GV44" s="525"/>
      <c r="GW44" s="525"/>
      <c r="GX44" s="525"/>
      <c r="GY44" s="525"/>
      <c r="GZ44" s="525"/>
      <c r="HA44" s="525"/>
      <c r="HB44" s="525"/>
      <c r="HC44" s="525"/>
      <c r="HD44" s="525"/>
      <c r="HE44" s="525"/>
      <c r="HF44" s="525"/>
      <c r="HG44" s="525"/>
      <c r="HH44" s="525"/>
      <c r="HI44" s="525"/>
      <c r="HJ44" s="525"/>
      <c r="HK44" s="525"/>
      <c r="HL44" s="525"/>
      <c r="HM44" s="525"/>
      <c r="HN44" s="525"/>
      <c r="HO44" s="525"/>
      <c r="HP44" s="525"/>
      <c r="HQ44" s="525"/>
      <c r="HR44" s="525"/>
      <c r="HS44" s="525"/>
      <c r="HT44" s="525"/>
      <c r="HU44" s="525"/>
      <c r="HV44" s="525"/>
      <c r="HW44" s="525"/>
      <c r="HX44" s="525"/>
      <c r="HY44" s="525"/>
      <c r="HZ44" s="525"/>
      <c r="IA44" s="525"/>
      <c r="IB44" s="525"/>
      <c r="IC44" s="525"/>
      <c r="ID44" s="525"/>
      <c r="IE44" s="525"/>
      <c r="IF44" s="525"/>
      <c r="IG44" s="525"/>
      <c r="IH44" s="525"/>
      <c r="II44" s="525"/>
      <c r="IJ44" s="525"/>
      <c r="IK44" s="525"/>
    </row>
    <row r="45" spans="1:245" s="976" customFormat="1" ht="20.100000000000001" customHeight="1" x14ac:dyDescent="0.25">
      <c r="A45" s="525"/>
      <c r="B45" s="985"/>
      <c r="C45" s="986"/>
      <c r="D45" s="986"/>
      <c r="E45" s="986"/>
      <c r="F45" s="986"/>
      <c r="G45" s="986"/>
      <c r="H45" s="525"/>
      <c r="I45" s="2605">
        <f t="shared" si="28"/>
        <v>21</v>
      </c>
      <c r="J45" s="2607">
        <f t="shared" si="13"/>
        <v>0</v>
      </c>
      <c r="K45" s="2606">
        <f t="shared" si="38"/>
        <v>0</v>
      </c>
      <c r="L45" s="2608">
        <f t="shared" si="23"/>
        <v>0</v>
      </c>
      <c r="M45" s="2607">
        <f t="shared" si="29"/>
        <v>0</v>
      </c>
      <c r="N45" s="525"/>
      <c r="O45" s="2605">
        <f t="shared" si="30"/>
        <v>21</v>
      </c>
      <c r="P45" s="2607">
        <f t="shared" si="15"/>
        <v>0</v>
      </c>
      <c r="Q45" s="2606">
        <f t="shared" si="39"/>
        <v>0</v>
      </c>
      <c r="R45" s="2608">
        <f t="shared" si="24"/>
        <v>0</v>
      </c>
      <c r="S45" s="2607">
        <f t="shared" si="31"/>
        <v>0</v>
      </c>
      <c r="T45" s="525"/>
      <c r="U45" s="2605">
        <f t="shared" si="32"/>
        <v>21</v>
      </c>
      <c r="V45" s="2607">
        <f t="shared" si="17"/>
        <v>0</v>
      </c>
      <c r="W45" s="2606">
        <f t="shared" si="40"/>
        <v>0</v>
      </c>
      <c r="X45" s="2608">
        <f t="shared" si="25"/>
        <v>0</v>
      </c>
      <c r="Y45" s="2607">
        <f t="shared" si="33"/>
        <v>0</v>
      </c>
      <c r="Z45" s="525"/>
      <c r="AA45" s="2605">
        <f t="shared" si="34"/>
        <v>21</v>
      </c>
      <c r="AB45" s="2607">
        <f t="shared" si="19"/>
        <v>0</v>
      </c>
      <c r="AC45" s="2606">
        <f t="shared" si="41"/>
        <v>0</v>
      </c>
      <c r="AD45" s="2608">
        <f t="shared" si="26"/>
        <v>0</v>
      </c>
      <c r="AE45" s="2607">
        <f t="shared" si="35"/>
        <v>0</v>
      </c>
      <c r="AF45" s="525"/>
      <c r="AG45" s="2605">
        <f t="shared" si="36"/>
        <v>21</v>
      </c>
      <c r="AH45" s="2607">
        <f t="shared" si="21"/>
        <v>0</v>
      </c>
      <c r="AI45" s="2606">
        <f t="shared" si="42"/>
        <v>0</v>
      </c>
      <c r="AJ45" s="2608">
        <f t="shared" si="27"/>
        <v>0</v>
      </c>
      <c r="AK45" s="2607">
        <f t="shared" si="37"/>
        <v>0</v>
      </c>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5"/>
      <c r="BI45" s="525"/>
      <c r="BJ45" s="525"/>
      <c r="BK45" s="525"/>
      <c r="BL45" s="525"/>
      <c r="BM45" s="525"/>
      <c r="BN45" s="525"/>
      <c r="BO45" s="525"/>
      <c r="BP45" s="525"/>
      <c r="BQ45" s="525"/>
      <c r="BR45" s="525"/>
      <c r="BS45" s="525"/>
      <c r="BT45" s="525"/>
      <c r="BU45" s="525"/>
      <c r="BV45" s="525"/>
      <c r="BW45" s="525"/>
      <c r="BX45" s="525"/>
      <c r="BY45" s="525"/>
      <c r="BZ45" s="525"/>
      <c r="CA45" s="525"/>
      <c r="CB45" s="525"/>
      <c r="CC45" s="525"/>
      <c r="CD45" s="525"/>
      <c r="CE45" s="525"/>
      <c r="CF45" s="525"/>
      <c r="CG45" s="525"/>
      <c r="CH45" s="525"/>
      <c r="CI45" s="525"/>
      <c r="CJ45" s="525"/>
      <c r="CK45" s="525"/>
      <c r="CL45" s="525"/>
      <c r="CM45" s="525"/>
      <c r="CN45" s="525"/>
      <c r="CO45" s="525"/>
      <c r="CP45" s="525"/>
      <c r="CQ45" s="525"/>
      <c r="CR45" s="525"/>
      <c r="CS45" s="525"/>
      <c r="CT45" s="525"/>
      <c r="CU45" s="525"/>
      <c r="CV45" s="525"/>
      <c r="CW45" s="525"/>
      <c r="CX45" s="525"/>
      <c r="CY45" s="525"/>
      <c r="CZ45" s="525"/>
      <c r="DA45" s="525"/>
      <c r="DB45" s="525"/>
      <c r="DC45" s="525"/>
      <c r="DD45" s="525"/>
      <c r="DE45" s="525"/>
      <c r="DF45" s="525"/>
      <c r="DG45" s="525"/>
      <c r="DH45" s="525"/>
      <c r="DI45" s="525"/>
      <c r="DJ45" s="525"/>
      <c r="DK45" s="525"/>
      <c r="DL45" s="525"/>
      <c r="DM45" s="525"/>
      <c r="DN45" s="525"/>
      <c r="DO45" s="525"/>
      <c r="DP45" s="525"/>
      <c r="DQ45" s="525"/>
      <c r="DR45" s="525"/>
      <c r="DS45" s="525"/>
      <c r="DT45" s="525"/>
      <c r="DU45" s="525"/>
      <c r="DV45" s="525"/>
      <c r="DW45" s="525"/>
      <c r="DX45" s="525"/>
      <c r="DY45" s="525"/>
      <c r="DZ45" s="525"/>
      <c r="EA45" s="525"/>
      <c r="EB45" s="525"/>
      <c r="EC45" s="525"/>
      <c r="ED45" s="525"/>
      <c r="EE45" s="525"/>
      <c r="EF45" s="525"/>
      <c r="EG45" s="525"/>
      <c r="EH45" s="525"/>
      <c r="EI45" s="525"/>
      <c r="EJ45" s="525"/>
      <c r="EK45" s="525"/>
      <c r="EL45" s="525"/>
      <c r="EM45" s="525"/>
      <c r="EN45" s="525"/>
      <c r="EO45" s="525"/>
      <c r="EP45" s="525"/>
      <c r="EQ45" s="525"/>
      <c r="ER45" s="525"/>
      <c r="ES45" s="525"/>
      <c r="ET45" s="525"/>
      <c r="EU45" s="525"/>
      <c r="EV45" s="525"/>
      <c r="EW45" s="525"/>
      <c r="EX45" s="525"/>
      <c r="EY45" s="525"/>
      <c r="EZ45" s="525"/>
      <c r="FA45" s="525"/>
      <c r="FB45" s="525"/>
      <c r="FC45" s="525"/>
      <c r="FD45" s="525"/>
      <c r="FE45" s="525"/>
      <c r="FF45" s="525"/>
      <c r="FG45" s="525"/>
      <c r="FH45" s="525"/>
      <c r="FI45" s="525"/>
      <c r="FJ45" s="525"/>
      <c r="FK45" s="525"/>
      <c r="FL45" s="525"/>
      <c r="FM45" s="525"/>
      <c r="FN45" s="525"/>
      <c r="FO45" s="525"/>
      <c r="FP45" s="525"/>
      <c r="FQ45" s="525"/>
      <c r="FR45" s="525"/>
      <c r="FS45" s="525"/>
      <c r="FT45" s="525"/>
      <c r="FU45" s="525"/>
      <c r="FV45" s="525"/>
      <c r="FW45" s="525"/>
      <c r="FX45" s="525"/>
      <c r="FY45" s="525"/>
      <c r="FZ45" s="525"/>
      <c r="GA45" s="525"/>
      <c r="GB45" s="525"/>
      <c r="GC45" s="525"/>
      <c r="GD45" s="525"/>
      <c r="GE45" s="525"/>
      <c r="GF45" s="525"/>
      <c r="GG45" s="525"/>
      <c r="GH45" s="525"/>
      <c r="GI45" s="525"/>
      <c r="GJ45" s="525"/>
      <c r="GK45" s="525"/>
      <c r="GL45" s="525"/>
      <c r="GM45" s="525"/>
      <c r="GN45" s="525"/>
      <c r="GO45" s="525"/>
      <c r="GP45" s="525"/>
      <c r="GQ45" s="525"/>
      <c r="GR45" s="525"/>
      <c r="GS45" s="525"/>
      <c r="GT45" s="525"/>
      <c r="GU45" s="525"/>
      <c r="GV45" s="525"/>
      <c r="GW45" s="525"/>
      <c r="GX45" s="525"/>
      <c r="GY45" s="525"/>
      <c r="GZ45" s="525"/>
      <c r="HA45" s="525"/>
      <c r="HB45" s="525"/>
      <c r="HC45" s="525"/>
      <c r="HD45" s="525"/>
      <c r="HE45" s="525"/>
      <c r="HF45" s="525"/>
      <c r="HG45" s="525"/>
      <c r="HH45" s="525"/>
      <c r="HI45" s="525"/>
      <c r="HJ45" s="525"/>
      <c r="HK45" s="525"/>
      <c r="HL45" s="525"/>
      <c r="HM45" s="525"/>
      <c r="HN45" s="525"/>
      <c r="HO45" s="525"/>
      <c r="HP45" s="525"/>
      <c r="HQ45" s="525"/>
      <c r="HR45" s="525"/>
      <c r="HS45" s="525"/>
      <c r="HT45" s="525"/>
      <c r="HU45" s="525"/>
      <c r="HV45" s="525"/>
      <c r="HW45" s="525"/>
      <c r="HX45" s="525"/>
      <c r="HY45" s="525"/>
      <c r="HZ45" s="525"/>
      <c r="IA45" s="525"/>
      <c r="IB45" s="525"/>
      <c r="IC45" s="525"/>
      <c r="ID45" s="525"/>
      <c r="IE45" s="525"/>
      <c r="IF45" s="525"/>
      <c r="IG45" s="525"/>
      <c r="IH45" s="525"/>
      <c r="II45" s="525"/>
      <c r="IJ45" s="525"/>
      <c r="IK45" s="525"/>
    </row>
    <row r="46" spans="1:245" s="976" customFormat="1" ht="20.100000000000001" customHeight="1" x14ac:dyDescent="0.25">
      <c r="A46" s="525"/>
      <c r="B46" s="985"/>
      <c r="C46" s="986"/>
      <c r="D46" s="986"/>
      <c r="E46" s="986"/>
      <c r="F46" s="986"/>
      <c r="G46" s="986"/>
      <c r="H46" s="525"/>
      <c r="I46" s="2605">
        <f t="shared" si="28"/>
        <v>22</v>
      </c>
      <c r="J46" s="2607">
        <f t="shared" si="13"/>
        <v>0</v>
      </c>
      <c r="K46" s="2606">
        <f t="shared" si="38"/>
        <v>0</v>
      </c>
      <c r="L46" s="2608">
        <f t="shared" si="23"/>
        <v>0</v>
      </c>
      <c r="M46" s="2607">
        <f t="shared" si="29"/>
        <v>0</v>
      </c>
      <c r="N46" s="525"/>
      <c r="O46" s="2605">
        <f t="shared" si="30"/>
        <v>22</v>
      </c>
      <c r="P46" s="2607">
        <f t="shared" si="15"/>
        <v>0</v>
      </c>
      <c r="Q46" s="2606">
        <f t="shared" si="39"/>
        <v>0</v>
      </c>
      <c r="R46" s="2608">
        <f t="shared" si="24"/>
        <v>0</v>
      </c>
      <c r="S46" s="2607">
        <f t="shared" si="31"/>
        <v>0</v>
      </c>
      <c r="T46" s="525"/>
      <c r="U46" s="2605">
        <f t="shared" si="32"/>
        <v>22</v>
      </c>
      <c r="V46" s="2607">
        <f t="shared" si="17"/>
        <v>0</v>
      </c>
      <c r="W46" s="2606">
        <f t="shared" si="40"/>
        <v>0</v>
      </c>
      <c r="X46" s="2608">
        <f t="shared" si="25"/>
        <v>0</v>
      </c>
      <c r="Y46" s="2607">
        <f t="shared" si="33"/>
        <v>0</v>
      </c>
      <c r="Z46" s="525"/>
      <c r="AA46" s="2605">
        <f t="shared" si="34"/>
        <v>22</v>
      </c>
      <c r="AB46" s="2607">
        <f t="shared" si="19"/>
        <v>0</v>
      </c>
      <c r="AC46" s="2606">
        <f t="shared" si="41"/>
        <v>0</v>
      </c>
      <c r="AD46" s="2608">
        <f t="shared" si="26"/>
        <v>0</v>
      </c>
      <c r="AE46" s="2607">
        <f t="shared" si="35"/>
        <v>0</v>
      </c>
      <c r="AF46" s="525"/>
      <c r="AG46" s="2605">
        <f t="shared" si="36"/>
        <v>22</v>
      </c>
      <c r="AH46" s="2607">
        <f t="shared" si="21"/>
        <v>0</v>
      </c>
      <c r="AI46" s="2606">
        <f t="shared" si="42"/>
        <v>0</v>
      </c>
      <c r="AJ46" s="2608">
        <f t="shared" si="27"/>
        <v>0</v>
      </c>
      <c r="AK46" s="2607">
        <f t="shared" si="37"/>
        <v>0</v>
      </c>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5"/>
      <c r="BS46" s="525"/>
      <c r="BT46" s="525"/>
      <c r="BU46" s="525"/>
      <c r="BV46" s="525"/>
      <c r="BW46" s="525"/>
      <c r="BX46" s="525"/>
      <c r="BY46" s="525"/>
      <c r="BZ46" s="525"/>
      <c r="CA46" s="525"/>
      <c r="CB46" s="525"/>
      <c r="CC46" s="525"/>
      <c r="CD46" s="525"/>
      <c r="CE46" s="525"/>
      <c r="CF46" s="525"/>
      <c r="CG46" s="525"/>
      <c r="CH46" s="525"/>
      <c r="CI46" s="525"/>
      <c r="CJ46" s="525"/>
      <c r="CK46" s="525"/>
      <c r="CL46" s="525"/>
      <c r="CM46" s="525"/>
      <c r="CN46" s="525"/>
      <c r="CO46" s="525"/>
      <c r="CP46" s="525"/>
      <c r="CQ46" s="525"/>
      <c r="CR46" s="525"/>
      <c r="CS46" s="525"/>
      <c r="CT46" s="525"/>
      <c r="CU46" s="525"/>
      <c r="CV46" s="525"/>
      <c r="CW46" s="525"/>
      <c r="CX46" s="525"/>
      <c r="CY46" s="525"/>
      <c r="CZ46" s="525"/>
      <c r="DA46" s="525"/>
      <c r="DB46" s="525"/>
      <c r="DC46" s="525"/>
      <c r="DD46" s="525"/>
      <c r="DE46" s="525"/>
      <c r="DF46" s="525"/>
      <c r="DG46" s="525"/>
      <c r="DH46" s="525"/>
      <c r="DI46" s="525"/>
      <c r="DJ46" s="525"/>
      <c r="DK46" s="525"/>
      <c r="DL46" s="525"/>
      <c r="DM46" s="525"/>
      <c r="DN46" s="525"/>
      <c r="DO46" s="525"/>
      <c r="DP46" s="525"/>
      <c r="DQ46" s="525"/>
      <c r="DR46" s="525"/>
      <c r="DS46" s="525"/>
      <c r="DT46" s="525"/>
      <c r="DU46" s="525"/>
      <c r="DV46" s="525"/>
      <c r="DW46" s="525"/>
      <c r="DX46" s="525"/>
      <c r="DY46" s="525"/>
      <c r="DZ46" s="525"/>
      <c r="EA46" s="525"/>
      <c r="EB46" s="525"/>
      <c r="EC46" s="525"/>
      <c r="ED46" s="525"/>
      <c r="EE46" s="525"/>
      <c r="EF46" s="525"/>
      <c r="EG46" s="525"/>
      <c r="EH46" s="525"/>
      <c r="EI46" s="525"/>
      <c r="EJ46" s="525"/>
      <c r="EK46" s="525"/>
      <c r="EL46" s="525"/>
      <c r="EM46" s="525"/>
      <c r="EN46" s="525"/>
      <c r="EO46" s="525"/>
      <c r="EP46" s="525"/>
      <c r="EQ46" s="525"/>
      <c r="ER46" s="525"/>
      <c r="ES46" s="525"/>
      <c r="ET46" s="525"/>
      <c r="EU46" s="525"/>
      <c r="EV46" s="525"/>
      <c r="EW46" s="525"/>
      <c r="EX46" s="525"/>
      <c r="EY46" s="525"/>
      <c r="EZ46" s="525"/>
      <c r="FA46" s="525"/>
      <c r="FB46" s="525"/>
      <c r="FC46" s="525"/>
      <c r="FD46" s="525"/>
      <c r="FE46" s="525"/>
      <c r="FF46" s="525"/>
      <c r="FG46" s="525"/>
      <c r="FH46" s="525"/>
      <c r="FI46" s="525"/>
      <c r="FJ46" s="525"/>
      <c r="FK46" s="525"/>
      <c r="FL46" s="525"/>
      <c r="FM46" s="525"/>
      <c r="FN46" s="525"/>
      <c r="FO46" s="525"/>
      <c r="FP46" s="525"/>
      <c r="FQ46" s="525"/>
      <c r="FR46" s="525"/>
      <c r="FS46" s="525"/>
      <c r="FT46" s="525"/>
      <c r="FU46" s="525"/>
      <c r="FV46" s="525"/>
      <c r="FW46" s="525"/>
      <c r="FX46" s="525"/>
      <c r="FY46" s="525"/>
      <c r="FZ46" s="525"/>
      <c r="GA46" s="525"/>
      <c r="GB46" s="525"/>
      <c r="GC46" s="525"/>
      <c r="GD46" s="525"/>
      <c r="GE46" s="525"/>
      <c r="GF46" s="525"/>
      <c r="GG46" s="525"/>
      <c r="GH46" s="525"/>
      <c r="GI46" s="525"/>
      <c r="GJ46" s="525"/>
      <c r="GK46" s="525"/>
      <c r="GL46" s="525"/>
      <c r="GM46" s="525"/>
      <c r="GN46" s="525"/>
      <c r="GO46" s="525"/>
      <c r="GP46" s="525"/>
      <c r="GQ46" s="525"/>
      <c r="GR46" s="525"/>
      <c r="GS46" s="525"/>
      <c r="GT46" s="525"/>
      <c r="GU46" s="525"/>
      <c r="GV46" s="525"/>
      <c r="GW46" s="525"/>
      <c r="GX46" s="525"/>
      <c r="GY46" s="525"/>
      <c r="GZ46" s="525"/>
      <c r="HA46" s="525"/>
      <c r="HB46" s="525"/>
      <c r="HC46" s="525"/>
      <c r="HD46" s="525"/>
      <c r="HE46" s="525"/>
      <c r="HF46" s="525"/>
      <c r="HG46" s="525"/>
      <c r="HH46" s="525"/>
      <c r="HI46" s="525"/>
      <c r="HJ46" s="525"/>
      <c r="HK46" s="525"/>
      <c r="HL46" s="525"/>
      <c r="HM46" s="525"/>
      <c r="HN46" s="525"/>
      <c r="HO46" s="525"/>
      <c r="HP46" s="525"/>
      <c r="HQ46" s="525"/>
      <c r="HR46" s="525"/>
      <c r="HS46" s="525"/>
      <c r="HT46" s="525"/>
      <c r="HU46" s="525"/>
      <c r="HV46" s="525"/>
      <c r="HW46" s="525"/>
      <c r="HX46" s="525"/>
      <c r="HY46" s="525"/>
      <c r="HZ46" s="525"/>
      <c r="IA46" s="525"/>
      <c r="IB46" s="525"/>
      <c r="IC46" s="525"/>
      <c r="ID46" s="525"/>
      <c r="IE46" s="525"/>
      <c r="IF46" s="525"/>
      <c r="IG46" s="525"/>
      <c r="IH46" s="525"/>
      <c r="II46" s="525"/>
      <c r="IJ46" s="525"/>
      <c r="IK46" s="525"/>
    </row>
    <row r="47" spans="1:245" s="976" customFormat="1" ht="20.100000000000001" customHeight="1" x14ac:dyDescent="0.25">
      <c r="A47" s="525"/>
      <c r="B47" s="985"/>
      <c r="C47" s="986"/>
      <c r="D47" s="986"/>
      <c r="E47" s="986"/>
      <c r="F47" s="986"/>
      <c r="G47" s="986"/>
      <c r="H47" s="525"/>
      <c r="I47" s="2605">
        <f t="shared" si="28"/>
        <v>23</v>
      </c>
      <c r="J47" s="2607">
        <f t="shared" si="13"/>
        <v>0</v>
      </c>
      <c r="K47" s="2606">
        <f t="shared" si="38"/>
        <v>0</v>
      </c>
      <c r="L47" s="2608">
        <f t="shared" si="23"/>
        <v>0</v>
      </c>
      <c r="M47" s="2607">
        <f t="shared" si="29"/>
        <v>0</v>
      </c>
      <c r="N47" s="525"/>
      <c r="O47" s="2605">
        <f t="shared" si="30"/>
        <v>23</v>
      </c>
      <c r="P47" s="2607">
        <f t="shared" si="15"/>
        <v>0</v>
      </c>
      <c r="Q47" s="2606">
        <f t="shared" si="39"/>
        <v>0</v>
      </c>
      <c r="R47" s="2608">
        <f t="shared" si="24"/>
        <v>0</v>
      </c>
      <c r="S47" s="2607">
        <f t="shared" si="31"/>
        <v>0</v>
      </c>
      <c r="T47" s="525"/>
      <c r="U47" s="2605">
        <f t="shared" si="32"/>
        <v>23</v>
      </c>
      <c r="V47" s="2607">
        <f t="shared" si="17"/>
        <v>0</v>
      </c>
      <c r="W47" s="2606">
        <f t="shared" si="40"/>
        <v>0</v>
      </c>
      <c r="X47" s="2608">
        <f t="shared" si="25"/>
        <v>0</v>
      </c>
      <c r="Y47" s="2607">
        <f t="shared" si="33"/>
        <v>0</v>
      </c>
      <c r="Z47" s="525"/>
      <c r="AA47" s="2605">
        <f t="shared" si="34"/>
        <v>23</v>
      </c>
      <c r="AB47" s="2607">
        <f t="shared" si="19"/>
        <v>0</v>
      </c>
      <c r="AC47" s="2606">
        <f t="shared" si="41"/>
        <v>0</v>
      </c>
      <c r="AD47" s="2608">
        <f t="shared" si="26"/>
        <v>0</v>
      </c>
      <c r="AE47" s="2607">
        <f t="shared" si="35"/>
        <v>0</v>
      </c>
      <c r="AF47" s="525"/>
      <c r="AG47" s="2605">
        <f t="shared" si="36"/>
        <v>23</v>
      </c>
      <c r="AH47" s="2607">
        <f t="shared" si="21"/>
        <v>0</v>
      </c>
      <c r="AI47" s="2606">
        <f t="shared" si="42"/>
        <v>0</v>
      </c>
      <c r="AJ47" s="2608">
        <f t="shared" si="27"/>
        <v>0</v>
      </c>
      <c r="AK47" s="2607">
        <f t="shared" si="37"/>
        <v>0</v>
      </c>
      <c r="AL47" s="525"/>
      <c r="AM47" s="525"/>
      <c r="AN47" s="525"/>
      <c r="AO47" s="525"/>
      <c r="AP47" s="525"/>
      <c r="AQ47" s="525"/>
      <c r="AR47" s="525"/>
      <c r="AS47" s="525"/>
      <c r="AT47" s="525"/>
      <c r="AU47" s="525"/>
      <c r="AV47" s="525"/>
      <c r="AW47" s="525"/>
      <c r="AX47" s="525"/>
      <c r="AY47" s="525"/>
      <c r="AZ47" s="525"/>
      <c r="BA47" s="525"/>
      <c r="BB47" s="525"/>
      <c r="BC47" s="525"/>
      <c r="BD47" s="525"/>
      <c r="BE47" s="525"/>
      <c r="BF47" s="525"/>
      <c r="BG47" s="525"/>
      <c r="BH47" s="525"/>
      <c r="BI47" s="525"/>
      <c r="BJ47" s="525"/>
      <c r="BK47" s="525"/>
      <c r="BL47" s="525"/>
      <c r="BM47" s="525"/>
      <c r="BN47" s="525"/>
      <c r="BO47" s="525"/>
      <c r="BP47" s="525"/>
      <c r="BQ47" s="525"/>
      <c r="BR47" s="525"/>
      <c r="BS47" s="525"/>
      <c r="BT47" s="525"/>
      <c r="BU47" s="525"/>
      <c r="BV47" s="525"/>
      <c r="BW47" s="525"/>
      <c r="BX47" s="525"/>
      <c r="BY47" s="525"/>
      <c r="BZ47" s="525"/>
      <c r="CA47" s="525"/>
      <c r="CB47" s="525"/>
      <c r="CC47" s="525"/>
      <c r="CD47" s="525"/>
      <c r="CE47" s="525"/>
      <c r="CF47" s="525"/>
      <c r="CG47" s="525"/>
      <c r="CH47" s="525"/>
      <c r="CI47" s="525"/>
      <c r="CJ47" s="525"/>
      <c r="CK47" s="525"/>
      <c r="CL47" s="525"/>
      <c r="CM47" s="525"/>
      <c r="CN47" s="525"/>
      <c r="CO47" s="525"/>
      <c r="CP47" s="525"/>
      <c r="CQ47" s="525"/>
      <c r="CR47" s="525"/>
      <c r="CS47" s="525"/>
      <c r="CT47" s="525"/>
      <c r="CU47" s="525"/>
      <c r="CV47" s="525"/>
      <c r="CW47" s="525"/>
      <c r="CX47" s="525"/>
      <c r="CY47" s="525"/>
      <c r="CZ47" s="525"/>
      <c r="DA47" s="525"/>
      <c r="DB47" s="525"/>
      <c r="DC47" s="525"/>
      <c r="DD47" s="525"/>
      <c r="DE47" s="525"/>
      <c r="DF47" s="525"/>
      <c r="DG47" s="525"/>
      <c r="DH47" s="525"/>
      <c r="DI47" s="525"/>
      <c r="DJ47" s="525"/>
      <c r="DK47" s="525"/>
      <c r="DL47" s="525"/>
      <c r="DM47" s="525"/>
      <c r="DN47" s="525"/>
      <c r="DO47" s="525"/>
      <c r="DP47" s="525"/>
      <c r="DQ47" s="525"/>
      <c r="DR47" s="525"/>
      <c r="DS47" s="525"/>
      <c r="DT47" s="525"/>
      <c r="DU47" s="525"/>
      <c r="DV47" s="525"/>
      <c r="DW47" s="525"/>
      <c r="DX47" s="525"/>
      <c r="DY47" s="525"/>
      <c r="DZ47" s="525"/>
      <c r="EA47" s="525"/>
      <c r="EB47" s="525"/>
      <c r="EC47" s="525"/>
      <c r="ED47" s="525"/>
      <c r="EE47" s="525"/>
      <c r="EF47" s="525"/>
      <c r="EG47" s="525"/>
      <c r="EH47" s="525"/>
      <c r="EI47" s="525"/>
      <c r="EJ47" s="525"/>
      <c r="EK47" s="525"/>
      <c r="EL47" s="525"/>
      <c r="EM47" s="525"/>
      <c r="EN47" s="525"/>
      <c r="EO47" s="525"/>
      <c r="EP47" s="525"/>
      <c r="EQ47" s="525"/>
      <c r="ER47" s="525"/>
      <c r="ES47" s="525"/>
      <c r="ET47" s="525"/>
      <c r="EU47" s="525"/>
      <c r="EV47" s="525"/>
      <c r="EW47" s="525"/>
      <c r="EX47" s="525"/>
      <c r="EY47" s="525"/>
      <c r="EZ47" s="525"/>
      <c r="FA47" s="525"/>
      <c r="FB47" s="525"/>
      <c r="FC47" s="525"/>
      <c r="FD47" s="525"/>
      <c r="FE47" s="525"/>
      <c r="FF47" s="525"/>
      <c r="FG47" s="525"/>
      <c r="FH47" s="525"/>
      <c r="FI47" s="525"/>
      <c r="FJ47" s="525"/>
      <c r="FK47" s="525"/>
      <c r="FL47" s="525"/>
      <c r="FM47" s="525"/>
      <c r="FN47" s="525"/>
      <c r="FO47" s="525"/>
      <c r="FP47" s="525"/>
      <c r="FQ47" s="525"/>
      <c r="FR47" s="525"/>
      <c r="FS47" s="525"/>
      <c r="FT47" s="525"/>
      <c r="FU47" s="525"/>
      <c r="FV47" s="525"/>
      <c r="FW47" s="525"/>
      <c r="FX47" s="525"/>
      <c r="FY47" s="525"/>
      <c r="FZ47" s="525"/>
      <c r="GA47" s="525"/>
      <c r="GB47" s="525"/>
      <c r="GC47" s="525"/>
      <c r="GD47" s="525"/>
      <c r="GE47" s="525"/>
      <c r="GF47" s="525"/>
      <c r="GG47" s="525"/>
      <c r="GH47" s="525"/>
      <c r="GI47" s="525"/>
      <c r="GJ47" s="525"/>
      <c r="GK47" s="525"/>
      <c r="GL47" s="525"/>
      <c r="GM47" s="525"/>
      <c r="GN47" s="525"/>
      <c r="GO47" s="525"/>
      <c r="GP47" s="525"/>
      <c r="GQ47" s="525"/>
      <c r="GR47" s="525"/>
      <c r="GS47" s="525"/>
      <c r="GT47" s="525"/>
      <c r="GU47" s="525"/>
      <c r="GV47" s="525"/>
      <c r="GW47" s="525"/>
      <c r="GX47" s="525"/>
      <c r="GY47" s="525"/>
      <c r="GZ47" s="525"/>
      <c r="HA47" s="525"/>
      <c r="HB47" s="525"/>
      <c r="HC47" s="525"/>
      <c r="HD47" s="525"/>
      <c r="HE47" s="525"/>
      <c r="HF47" s="525"/>
      <c r="HG47" s="525"/>
      <c r="HH47" s="525"/>
      <c r="HI47" s="525"/>
      <c r="HJ47" s="525"/>
      <c r="HK47" s="525"/>
      <c r="HL47" s="525"/>
      <c r="HM47" s="525"/>
      <c r="HN47" s="525"/>
      <c r="HO47" s="525"/>
      <c r="HP47" s="525"/>
      <c r="HQ47" s="525"/>
      <c r="HR47" s="525"/>
      <c r="HS47" s="525"/>
      <c r="HT47" s="525"/>
      <c r="HU47" s="525"/>
      <c r="HV47" s="525"/>
      <c r="HW47" s="525"/>
      <c r="HX47" s="525"/>
      <c r="HY47" s="525"/>
      <c r="HZ47" s="525"/>
      <c r="IA47" s="525"/>
      <c r="IB47" s="525"/>
      <c r="IC47" s="525"/>
      <c r="ID47" s="525"/>
      <c r="IE47" s="525"/>
      <c r="IF47" s="525"/>
      <c r="IG47" s="525"/>
      <c r="IH47" s="525"/>
      <c r="II47" s="525"/>
      <c r="IJ47" s="525"/>
      <c r="IK47" s="525"/>
    </row>
    <row r="48" spans="1:245" s="976" customFormat="1" ht="20.100000000000001" customHeight="1" x14ac:dyDescent="0.25">
      <c r="A48" s="525"/>
      <c r="B48" s="985"/>
      <c r="C48" s="986"/>
      <c r="D48" s="986"/>
      <c r="E48" s="986"/>
      <c r="F48" s="986"/>
      <c r="G48" s="986"/>
      <c r="H48" s="525"/>
      <c r="I48" s="2605">
        <f t="shared" si="28"/>
        <v>24</v>
      </c>
      <c r="J48" s="2607">
        <f t="shared" si="13"/>
        <v>0</v>
      </c>
      <c r="K48" s="2606">
        <f t="shared" si="38"/>
        <v>0</v>
      </c>
      <c r="L48" s="2608">
        <f t="shared" si="23"/>
        <v>0</v>
      </c>
      <c r="M48" s="2607">
        <f t="shared" si="29"/>
        <v>0</v>
      </c>
      <c r="N48" s="525"/>
      <c r="O48" s="2605">
        <f t="shared" si="30"/>
        <v>24</v>
      </c>
      <c r="P48" s="2607">
        <f t="shared" si="15"/>
        <v>0</v>
      </c>
      <c r="Q48" s="2606">
        <f t="shared" si="39"/>
        <v>0</v>
      </c>
      <c r="R48" s="2608">
        <f t="shared" si="24"/>
        <v>0</v>
      </c>
      <c r="S48" s="2607">
        <f t="shared" si="31"/>
        <v>0</v>
      </c>
      <c r="T48" s="525"/>
      <c r="U48" s="2605">
        <f t="shared" si="32"/>
        <v>24</v>
      </c>
      <c r="V48" s="2607">
        <f t="shared" si="17"/>
        <v>0</v>
      </c>
      <c r="W48" s="2606">
        <f t="shared" si="40"/>
        <v>0</v>
      </c>
      <c r="X48" s="2608">
        <f t="shared" si="25"/>
        <v>0</v>
      </c>
      <c r="Y48" s="2607">
        <f t="shared" si="33"/>
        <v>0</v>
      </c>
      <c r="Z48" s="525"/>
      <c r="AA48" s="2605">
        <f t="shared" si="34"/>
        <v>24</v>
      </c>
      <c r="AB48" s="2607">
        <f t="shared" si="19"/>
        <v>0</v>
      </c>
      <c r="AC48" s="2606">
        <f t="shared" si="41"/>
        <v>0</v>
      </c>
      <c r="AD48" s="2608">
        <f t="shared" si="26"/>
        <v>0</v>
      </c>
      <c r="AE48" s="2607">
        <f t="shared" si="35"/>
        <v>0</v>
      </c>
      <c r="AF48" s="525"/>
      <c r="AG48" s="2605">
        <f t="shared" si="36"/>
        <v>24</v>
      </c>
      <c r="AH48" s="2607">
        <f t="shared" si="21"/>
        <v>0</v>
      </c>
      <c r="AI48" s="2606">
        <f t="shared" si="42"/>
        <v>0</v>
      </c>
      <c r="AJ48" s="2608">
        <f t="shared" si="27"/>
        <v>0</v>
      </c>
      <c r="AK48" s="2607">
        <f t="shared" si="37"/>
        <v>0</v>
      </c>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5"/>
      <c r="BS48" s="525"/>
      <c r="BT48" s="525"/>
      <c r="BU48" s="525"/>
      <c r="BV48" s="525"/>
      <c r="BW48" s="525"/>
      <c r="BX48" s="525"/>
      <c r="BY48" s="525"/>
      <c r="BZ48" s="525"/>
      <c r="CA48" s="525"/>
      <c r="CB48" s="525"/>
      <c r="CC48" s="525"/>
      <c r="CD48" s="525"/>
      <c r="CE48" s="525"/>
      <c r="CF48" s="525"/>
      <c r="CG48" s="525"/>
      <c r="CH48" s="525"/>
      <c r="CI48" s="525"/>
      <c r="CJ48" s="525"/>
      <c r="CK48" s="525"/>
      <c r="CL48" s="525"/>
      <c r="CM48" s="525"/>
      <c r="CN48" s="525"/>
      <c r="CO48" s="525"/>
      <c r="CP48" s="525"/>
      <c r="CQ48" s="525"/>
      <c r="CR48" s="525"/>
      <c r="CS48" s="525"/>
      <c r="CT48" s="525"/>
      <c r="CU48" s="525"/>
      <c r="CV48" s="525"/>
      <c r="CW48" s="525"/>
      <c r="CX48" s="525"/>
      <c r="CY48" s="525"/>
      <c r="CZ48" s="525"/>
      <c r="DA48" s="525"/>
      <c r="DB48" s="525"/>
      <c r="DC48" s="525"/>
      <c r="DD48" s="525"/>
      <c r="DE48" s="525"/>
      <c r="DF48" s="525"/>
      <c r="DG48" s="525"/>
      <c r="DH48" s="525"/>
      <c r="DI48" s="525"/>
      <c r="DJ48" s="525"/>
      <c r="DK48" s="525"/>
      <c r="DL48" s="525"/>
      <c r="DM48" s="525"/>
      <c r="DN48" s="525"/>
      <c r="DO48" s="525"/>
      <c r="DP48" s="525"/>
      <c r="DQ48" s="525"/>
      <c r="DR48" s="525"/>
      <c r="DS48" s="525"/>
      <c r="DT48" s="525"/>
      <c r="DU48" s="525"/>
      <c r="DV48" s="525"/>
      <c r="DW48" s="525"/>
      <c r="DX48" s="525"/>
      <c r="DY48" s="525"/>
      <c r="DZ48" s="525"/>
      <c r="EA48" s="525"/>
      <c r="EB48" s="525"/>
      <c r="EC48" s="525"/>
      <c r="ED48" s="525"/>
      <c r="EE48" s="525"/>
      <c r="EF48" s="525"/>
      <c r="EG48" s="525"/>
      <c r="EH48" s="525"/>
      <c r="EI48" s="525"/>
      <c r="EJ48" s="525"/>
      <c r="EK48" s="525"/>
      <c r="EL48" s="525"/>
      <c r="EM48" s="525"/>
      <c r="EN48" s="525"/>
      <c r="EO48" s="525"/>
      <c r="EP48" s="525"/>
      <c r="EQ48" s="525"/>
      <c r="ER48" s="525"/>
      <c r="ES48" s="525"/>
      <c r="ET48" s="525"/>
      <c r="EU48" s="525"/>
      <c r="EV48" s="525"/>
      <c r="EW48" s="525"/>
      <c r="EX48" s="525"/>
      <c r="EY48" s="525"/>
      <c r="EZ48" s="525"/>
      <c r="FA48" s="525"/>
      <c r="FB48" s="525"/>
      <c r="FC48" s="525"/>
      <c r="FD48" s="525"/>
      <c r="FE48" s="525"/>
      <c r="FF48" s="525"/>
      <c r="FG48" s="525"/>
      <c r="FH48" s="525"/>
      <c r="FI48" s="525"/>
      <c r="FJ48" s="525"/>
      <c r="FK48" s="525"/>
      <c r="FL48" s="525"/>
      <c r="FM48" s="525"/>
      <c r="FN48" s="525"/>
      <c r="FO48" s="525"/>
      <c r="FP48" s="525"/>
      <c r="FQ48" s="525"/>
      <c r="FR48" s="525"/>
      <c r="FS48" s="525"/>
      <c r="FT48" s="525"/>
      <c r="FU48" s="525"/>
      <c r="FV48" s="525"/>
      <c r="FW48" s="525"/>
      <c r="FX48" s="525"/>
      <c r="FY48" s="525"/>
      <c r="FZ48" s="525"/>
      <c r="GA48" s="525"/>
      <c r="GB48" s="525"/>
      <c r="GC48" s="525"/>
      <c r="GD48" s="525"/>
      <c r="GE48" s="525"/>
      <c r="GF48" s="525"/>
      <c r="GG48" s="525"/>
      <c r="GH48" s="525"/>
      <c r="GI48" s="525"/>
      <c r="GJ48" s="525"/>
      <c r="GK48" s="525"/>
      <c r="GL48" s="525"/>
      <c r="GM48" s="525"/>
      <c r="GN48" s="525"/>
      <c r="GO48" s="525"/>
      <c r="GP48" s="525"/>
      <c r="GQ48" s="525"/>
      <c r="GR48" s="525"/>
      <c r="GS48" s="525"/>
      <c r="GT48" s="525"/>
      <c r="GU48" s="525"/>
      <c r="GV48" s="525"/>
      <c r="GW48" s="525"/>
      <c r="GX48" s="525"/>
      <c r="GY48" s="525"/>
      <c r="GZ48" s="525"/>
      <c r="HA48" s="525"/>
      <c r="HB48" s="525"/>
      <c r="HC48" s="525"/>
      <c r="HD48" s="525"/>
      <c r="HE48" s="525"/>
      <c r="HF48" s="525"/>
      <c r="HG48" s="525"/>
      <c r="HH48" s="525"/>
      <c r="HI48" s="525"/>
      <c r="HJ48" s="525"/>
      <c r="HK48" s="525"/>
      <c r="HL48" s="525"/>
      <c r="HM48" s="525"/>
      <c r="HN48" s="525"/>
      <c r="HO48" s="525"/>
      <c r="HP48" s="525"/>
      <c r="HQ48" s="525"/>
      <c r="HR48" s="525"/>
      <c r="HS48" s="525"/>
      <c r="HT48" s="525"/>
      <c r="HU48" s="525"/>
      <c r="HV48" s="525"/>
      <c r="HW48" s="525"/>
      <c r="HX48" s="525"/>
      <c r="HY48" s="525"/>
      <c r="HZ48" s="525"/>
      <c r="IA48" s="525"/>
      <c r="IB48" s="525"/>
      <c r="IC48" s="525"/>
      <c r="ID48" s="525"/>
      <c r="IE48" s="525"/>
      <c r="IF48" s="525"/>
      <c r="IG48" s="525"/>
      <c r="IH48" s="525"/>
      <c r="II48" s="525"/>
      <c r="IJ48" s="525"/>
      <c r="IK48" s="525"/>
    </row>
    <row r="49" spans="1:245" s="976" customFormat="1" ht="20.100000000000001" customHeight="1" x14ac:dyDescent="0.25">
      <c r="A49" s="525"/>
      <c r="B49" s="985"/>
      <c r="C49" s="986"/>
      <c r="D49" s="986"/>
      <c r="E49" s="986"/>
      <c r="F49" s="986"/>
      <c r="G49" s="986"/>
      <c r="H49" s="525"/>
      <c r="I49" s="2605">
        <f t="shared" si="28"/>
        <v>25</v>
      </c>
      <c r="J49" s="2607">
        <f t="shared" si="13"/>
        <v>0</v>
      </c>
      <c r="K49" s="2606">
        <f t="shared" si="38"/>
        <v>0</v>
      </c>
      <c r="L49" s="2608">
        <f t="shared" si="23"/>
        <v>0</v>
      </c>
      <c r="M49" s="2607">
        <f t="shared" si="29"/>
        <v>0</v>
      </c>
      <c r="N49" s="525"/>
      <c r="O49" s="2605">
        <f t="shared" si="30"/>
        <v>25</v>
      </c>
      <c r="P49" s="2607">
        <f t="shared" si="15"/>
        <v>0</v>
      </c>
      <c r="Q49" s="2606">
        <f t="shared" si="39"/>
        <v>0</v>
      </c>
      <c r="R49" s="2608">
        <f t="shared" si="24"/>
        <v>0</v>
      </c>
      <c r="S49" s="2607">
        <f t="shared" si="31"/>
        <v>0</v>
      </c>
      <c r="T49" s="525"/>
      <c r="U49" s="2605">
        <f t="shared" si="32"/>
        <v>25</v>
      </c>
      <c r="V49" s="2607">
        <f t="shared" si="17"/>
        <v>0</v>
      </c>
      <c r="W49" s="2606">
        <f t="shared" si="40"/>
        <v>0</v>
      </c>
      <c r="X49" s="2608">
        <f t="shared" si="25"/>
        <v>0</v>
      </c>
      <c r="Y49" s="2607">
        <f t="shared" si="33"/>
        <v>0</v>
      </c>
      <c r="Z49" s="525"/>
      <c r="AA49" s="2605">
        <f t="shared" si="34"/>
        <v>25</v>
      </c>
      <c r="AB49" s="2607">
        <f t="shared" si="19"/>
        <v>0</v>
      </c>
      <c r="AC49" s="2606">
        <f t="shared" si="41"/>
        <v>0</v>
      </c>
      <c r="AD49" s="2608">
        <f t="shared" si="26"/>
        <v>0</v>
      </c>
      <c r="AE49" s="2607">
        <f t="shared" si="35"/>
        <v>0</v>
      </c>
      <c r="AF49" s="525"/>
      <c r="AG49" s="2605">
        <f t="shared" si="36"/>
        <v>25</v>
      </c>
      <c r="AH49" s="2607">
        <f t="shared" si="21"/>
        <v>0</v>
      </c>
      <c r="AI49" s="2606">
        <f t="shared" si="42"/>
        <v>0</v>
      </c>
      <c r="AJ49" s="2608">
        <f t="shared" si="27"/>
        <v>0</v>
      </c>
      <c r="AK49" s="2607">
        <f t="shared" si="37"/>
        <v>0</v>
      </c>
      <c r="AL49" s="525"/>
      <c r="AM49" s="525"/>
      <c r="AN49" s="525"/>
      <c r="AO49" s="525"/>
      <c r="AP49" s="525"/>
      <c r="AQ49" s="525"/>
      <c r="AR49" s="525"/>
      <c r="AS49" s="525"/>
      <c r="AT49" s="525"/>
      <c r="AU49" s="525"/>
      <c r="AV49" s="525"/>
      <c r="AW49" s="525"/>
      <c r="AX49" s="525"/>
      <c r="AY49" s="525"/>
      <c r="AZ49" s="525"/>
      <c r="BA49" s="525"/>
      <c r="BB49" s="525"/>
      <c r="BC49" s="525"/>
      <c r="BD49" s="525"/>
      <c r="BE49" s="525"/>
      <c r="BF49" s="525"/>
      <c r="BG49" s="525"/>
      <c r="BH49" s="525"/>
      <c r="BI49" s="525"/>
      <c r="BJ49" s="525"/>
      <c r="BK49" s="525"/>
      <c r="BL49" s="525"/>
      <c r="BM49" s="525"/>
      <c r="BN49" s="525"/>
      <c r="BO49" s="525"/>
      <c r="BP49" s="525"/>
      <c r="BQ49" s="525"/>
      <c r="BR49" s="525"/>
      <c r="BS49" s="525"/>
      <c r="BT49" s="525"/>
      <c r="BU49" s="525"/>
      <c r="BV49" s="525"/>
      <c r="BW49" s="525"/>
      <c r="BX49" s="525"/>
      <c r="BY49" s="525"/>
      <c r="BZ49" s="525"/>
      <c r="CA49" s="525"/>
      <c r="CB49" s="525"/>
      <c r="CC49" s="525"/>
      <c r="CD49" s="525"/>
      <c r="CE49" s="525"/>
      <c r="CF49" s="525"/>
      <c r="CG49" s="525"/>
      <c r="CH49" s="525"/>
      <c r="CI49" s="525"/>
      <c r="CJ49" s="525"/>
      <c r="CK49" s="525"/>
      <c r="CL49" s="525"/>
      <c r="CM49" s="525"/>
      <c r="CN49" s="525"/>
      <c r="CO49" s="525"/>
      <c r="CP49" s="525"/>
      <c r="CQ49" s="525"/>
      <c r="CR49" s="525"/>
      <c r="CS49" s="525"/>
      <c r="CT49" s="525"/>
      <c r="CU49" s="525"/>
      <c r="CV49" s="525"/>
      <c r="CW49" s="525"/>
      <c r="CX49" s="525"/>
      <c r="CY49" s="525"/>
      <c r="CZ49" s="525"/>
      <c r="DA49" s="525"/>
      <c r="DB49" s="525"/>
      <c r="DC49" s="525"/>
      <c r="DD49" s="525"/>
      <c r="DE49" s="525"/>
      <c r="DF49" s="525"/>
      <c r="DG49" s="525"/>
      <c r="DH49" s="525"/>
      <c r="DI49" s="525"/>
      <c r="DJ49" s="525"/>
      <c r="DK49" s="525"/>
      <c r="DL49" s="525"/>
      <c r="DM49" s="525"/>
      <c r="DN49" s="525"/>
      <c r="DO49" s="525"/>
      <c r="DP49" s="525"/>
      <c r="DQ49" s="525"/>
      <c r="DR49" s="525"/>
      <c r="DS49" s="525"/>
      <c r="DT49" s="525"/>
      <c r="DU49" s="525"/>
      <c r="DV49" s="525"/>
      <c r="DW49" s="525"/>
      <c r="DX49" s="525"/>
      <c r="DY49" s="525"/>
      <c r="DZ49" s="525"/>
      <c r="EA49" s="525"/>
      <c r="EB49" s="525"/>
      <c r="EC49" s="525"/>
      <c r="ED49" s="525"/>
      <c r="EE49" s="525"/>
      <c r="EF49" s="525"/>
      <c r="EG49" s="525"/>
      <c r="EH49" s="525"/>
      <c r="EI49" s="525"/>
      <c r="EJ49" s="525"/>
      <c r="EK49" s="525"/>
      <c r="EL49" s="525"/>
      <c r="EM49" s="525"/>
      <c r="EN49" s="525"/>
      <c r="EO49" s="525"/>
      <c r="EP49" s="525"/>
      <c r="EQ49" s="525"/>
      <c r="ER49" s="525"/>
      <c r="ES49" s="525"/>
      <c r="ET49" s="525"/>
      <c r="EU49" s="525"/>
      <c r="EV49" s="525"/>
      <c r="EW49" s="525"/>
      <c r="EX49" s="525"/>
      <c r="EY49" s="525"/>
      <c r="EZ49" s="525"/>
      <c r="FA49" s="525"/>
      <c r="FB49" s="525"/>
      <c r="FC49" s="525"/>
      <c r="FD49" s="525"/>
      <c r="FE49" s="525"/>
      <c r="FF49" s="525"/>
      <c r="FG49" s="525"/>
      <c r="FH49" s="525"/>
      <c r="FI49" s="525"/>
      <c r="FJ49" s="525"/>
      <c r="FK49" s="525"/>
      <c r="FL49" s="525"/>
      <c r="FM49" s="525"/>
      <c r="FN49" s="525"/>
      <c r="FO49" s="525"/>
      <c r="FP49" s="525"/>
      <c r="FQ49" s="525"/>
      <c r="FR49" s="525"/>
      <c r="FS49" s="525"/>
      <c r="FT49" s="525"/>
      <c r="FU49" s="525"/>
      <c r="FV49" s="525"/>
      <c r="FW49" s="525"/>
      <c r="FX49" s="525"/>
      <c r="FY49" s="525"/>
      <c r="FZ49" s="525"/>
      <c r="GA49" s="525"/>
      <c r="GB49" s="525"/>
      <c r="GC49" s="525"/>
      <c r="GD49" s="525"/>
      <c r="GE49" s="525"/>
      <c r="GF49" s="525"/>
      <c r="GG49" s="525"/>
      <c r="GH49" s="525"/>
      <c r="GI49" s="525"/>
      <c r="GJ49" s="525"/>
      <c r="GK49" s="525"/>
      <c r="GL49" s="525"/>
      <c r="GM49" s="525"/>
      <c r="GN49" s="525"/>
      <c r="GO49" s="525"/>
      <c r="GP49" s="525"/>
      <c r="GQ49" s="525"/>
      <c r="GR49" s="525"/>
      <c r="GS49" s="525"/>
      <c r="GT49" s="525"/>
      <c r="GU49" s="525"/>
      <c r="GV49" s="525"/>
      <c r="GW49" s="525"/>
      <c r="GX49" s="525"/>
      <c r="GY49" s="525"/>
      <c r="GZ49" s="525"/>
      <c r="HA49" s="525"/>
      <c r="HB49" s="525"/>
      <c r="HC49" s="525"/>
      <c r="HD49" s="525"/>
      <c r="HE49" s="525"/>
      <c r="HF49" s="525"/>
      <c r="HG49" s="525"/>
      <c r="HH49" s="525"/>
      <c r="HI49" s="525"/>
      <c r="HJ49" s="525"/>
      <c r="HK49" s="525"/>
      <c r="HL49" s="525"/>
      <c r="HM49" s="525"/>
      <c r="HN49" s="525"/>
      <c r="HO49" s="525"/>
      <c r="HP49" s="525"/>
      <c r="HQ49" s="525"/>
      <c r="HR49" s="525"/>
      <c r="HS49" s="525"/>
      <c r="HT49" s="525"/>
      <c r="HU49" s="525"/>
      <c r="HV49" s="525"/>
      <c r="HW49" s="525"/>
      <c r="HX49" s="525"/>
      <c r="HY49" s="525"/>
      <c r="HZ49" s="525"/>
      <c r="IA49" s="525"/>
      <c r="IB49" s="525"/>
      <c r="IC49" s="525"/>
      <c r="ID49" s="525"/>
      <c r="IE49" s="525"/>
      <c r="IF49" s="525"/>
      <c r="IG49" s="525"/>
      <c r="IH49" s="525"/>
      <c r="II49" s="525"/>
      <c r="IJ49" s="525"/>
      <c r="IK49" s="525"/>
    </row>
    <row r="50" spans="1:245" s="976" customFormat="1" ht="20.100000000000001" customHeight="1" x14ac:dyDescent="0.25">
      <c r="A50" s="525"/>
      <c r="B50" s="985"/>
      <c r="C50" s="986"/>
      <c r="D50" s="986"/>
      <c r="E50" s="986"/>
      <c r="F50" s="986"/>
      <c r="G50" s="986"/>
      <c r="H50" s="525"/>
      <c r="I50" s="2605">
        <f t="shared" si="28"/>
        <v>26</v>
      </c>
      <c r="J50" s="2607">
        <f t="shared" si="13"/>
        <v>0</v>
      </c>
      <c r="K50" s="2606">
        <f t="shared" si="38"/>
        <v>0</v>
      </c>
      <c r="L50" s="2608">
        <f t="shared" si="23"/>
        <v>0</v>
      </c>
      <c r="M50" s="2607">
        <f t="shared" si="29"/>
        <v>0</v>
      </c>
      <c r="N50" s="525"/>
      <c r="O50" s="2605">
        <f t="shared" si="30"/>
        <v>26</v>
      </c>
      <c r="P50" s="2607">
        <f t="shared" si="15"/>
        <v>0</v>
      </c>
      <c r="Q50" s="2606">
        <f t="shared" si="39"/>
        <v>0</v>
      </c>
      <c r="R50" s="2608">
        <f t="shared" si="24"/>
        <v>0</v>
      </c>
      <c r="S50" s="2607">
        <f t="shared" si="31"/>
        <v>0</v>
      </c>
      <c r="T50" s="525"/>
      <c r="U50" s="2605">
        <f t="shared" si="32"/>
        <v>26</v>
      </c>
      <c r="V50" s="2607">
        <f t="shared" si="17"/>
        <v>0</v>
      </c>
      <c r="W50" s="2606">
        <f t="shared" si="40"/>
        <v>0</v>
      </c>
      <c r="X50" s="2608">
        <f t="shared" si="25"/>
        <v>0</v>
      </c>
      <c r="Y50" s="2607">
        <f t="shared" si="33"/>
        <v>0</v>
      </c>
      <c r="Z50" s="525"/>
      <c r="AA50" s="2605">
        <f t="shared" si="34"/>
        <v>26</v>
      </c>
      <c r="AB50" s="2607">
        <f t="shared" si="19"/>
        <v>0</v>
      </c>
      <c r="AC50" s="2606">
        <f t="shared" si="41"/>
        <v>0</v>
      </c>
      <c r="AD50" s="2608">
        <f t="shared" si="26"/>
        <v>0</v>
      </c>
      <c r="AE50" s="2607">
        <f t="shared" si="35"/>
        <v>0</v>
      </c>
      <c r="AF50" s="525"/>
      <c r="AG50" s="2605">
        <f t="shared" si="36"/>
        <v>26</v>
      </c>
      <c r="AH50" s="2607">
        <f t="shared" si="21"/>
        <v>0</v>
      </c>
      <c r="AI50" s="2606">
        <f t="shared" si="42"/>
        <v>0</v>
      </c>
      <c r="AJ50" s="2608">
        <f t="shared" si="27"/>
        <v>0</v>
      </c>
      <c r="AK50" s="2607">
        <f t="shared" si="37"/>
        <v>0</v>
      </c>
      <c r="AL50" s="525"/>
      <c r="AM50" s="525"/>
      <c r="AN50" s="525"/>
      <c r="AO50" s="525"/>
      <c r="AP50" s="525"/>
      <c r="AQ50" s="525"/>
      <c r="AR50" s="525"/>
      <c r="AS50" s="525"/>
      <c r="AT50" s="525"/>
      <c r="AU50" s="525"/>
      <c r="AV50" s="525"/>
      <c r="AW50" s="525"/>
      <c r="AX50" s="525"/>
      <c r="AY50" s="525"/>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5"/>
      <c r="BW50" s="525"/>
      <c r="BX50" s="525"/>
      <c r="BY50" s="525"/>
      <c r="BZ50" s="525"/>
      <c r="CA50" s="525"/>
      <c r="CB50" s="525"/>
      <c r="CC50" s="525"/>
      <c r="CD50" s="525"/>
      <c r="CE50" s="525"/>
      <c r="CF50" s="525"/>
      <c r="CG50" s="525"/>
      <c r="CH50" s="525"/>
      <c r="CI50" s="525"/>
      <c r="CJ50" s="525"/>
      <c r="CK50" s="525"/>
      <c r="CL50" s="525"/>
      <c r="CM50" s="525"/>
      <c r="CN50" s="525"/>
      <c r="CO50" s="525"/>
      <c r="CP50" s="525"/>
      <c r="CQ50" s="525"/>
      <c r="CR50" s="525"/>
      <c r="CS50" s="525"/>
      <c r="CT50" s="525"/>
      <c r="CU50" s="525"/>
      <c r="CV50" s="525"/>
      <c r="CW50" s="525"/>
      <c r="CX50" s="525"/>
      <c r="CY50" s="525"/>
      <c r="CZ50" s="525"/>
      <c r="DA50" s="525"/>
      <c r="DB50" s="525"/>
      <c r="DC50" s="525"/>
      <c r="DD50" s="525"/>
      <c r="DE50" s="525"/>
      <c r="DF50" s="525"/>
      <c r="DG50" s="525"/>
      <c r="DH50" s="525"/>
      <c r="DI50" s="525"/>
      <c r="DJ50" s="525"/>
      <c r="DK50" s="525"/>
      <c r="DL50" s="525"/>
      <c r="DM50" s="525"/>
      <c r="DN50" s="525"/>
      <c r="DO50" s="525"/>
      <c r="DP50" s="525"/>
      <c r="DQ50" s="525"/>
      <c r="DR50" s="525"/>
      <c r="DS50" s="525"/>
      <c r="DT50" s="525"/>
      <c r="DU50" s="525"/>
      <c r="DV50" s="525"/>
      <c r="DW50" s="525"/>
      <c r="DX50" s="525"/>
      <c r="DY50" s="525"/>
      <c r="DZ50" s="525"/>
      <c r="EA50" s="525"/>
      <c r="EB50" s="525"/>
      <c r="EC50" s="525"/>
      <c r="ED50" s="525"/>
      <c r="EE50" s="525"/>
      <c r="EF50" s="525"/>
      <c r="EG50" s="525"/>
      <c r="EH50" s="525"/>
      <c r="EI50" s="525"/>
      <c r="EJ50" s="525"/>
      <c r="EK50" s="525"/>
      <c r="EL50" s="525"/>
      <c r="EM50" s="525"/>
      <c r="EN50" s="525"/>
      <c r="EO50" s="525"/>
      <c r="EP50" s="525"/>
      <c r="EQ50" s="525"/>
      <c r="ER50" s="525"/>
      <c r="ES50" s="525"/>
      <c r="ET50" s="525"/>
      <c r="EU50" s="525"/>
      <c r="EV50" s="525"/>
      <c r="EW50" s="525"/>
      <c r="EX50" s="525"/>
      <c r="EY50" s="525"/>
      <c r="EZ50" s="525"/>
      <c r="FA50" s="525"/>
      <c r="FB50" s="525"/>
      <c r="FC50" s="525"/>
      <c r="FD50" s="525"/>
      <c r="FE50" s="525"/>
      <c r="FF50" s="525"/>
      <c r="FG50" s="525"/>
      <c r="FH50" s="525"/>
      <c r="FI50" s="525"/>
      <c r="FJ50" s="525"/>
      <c r="FK50" s="525"/>
      <c r="FL50" s="525"/>
      <c r="FM50" s="525"/>
      <c r="FN50" s="525"/>
      <c r="FO50" s="525"/>
      <c r="FP50" s="525"/>
      <c r="FQ50" s="525"/>
      <c r="FR50" s="525"/>
      <c r="FS50" s="525"/>
      <c r="FT50" s="525"/>
      <c r="FU50" s="525"/>
      <c r="FV50" s="525"/>
      <c r="FW50" s="525"/>
      <c r="FX50" s="525"/>
      <c r="FY50" s="525"/>
      <c r="FZ50" s="525"/>
      <c r="GA50" s="525"/>
      <c r="GB50" s="525"/>
      <c r="GC50" s="525"/>
      <c r="GD50" s="525"/>
      <c r="GE50" s="525"/>
      <c r="GF50" s="525"/>
      <c r="GG50" s="525"/>
      <c r="GH50" s="525"/>
      <c r="GI50" s="525"/>
      <c r="GJ50" s="525"/>
      <c r="GK50" s="525"/>
      <c r="GL50" s="525"/>
      <c r="GM50" s="525"/>
      <c r="GN50" s="525"/>
      <c r="GO50" s="525"/>
      <c r="GP50" s="525"/>
      <c r="GQ50" s="525"/>
      <c r="GR50" s="525"/>
      <c r="GS50" s="525"/>
      <c r="GT50" s="525"/>
      <c r="GU50" s="525"/>
      <c r="GV50" s="525"/>
      <c r="GW50" s="525"/>
      <c r="GX50" s="525"/>
      <c r="GY50" s="525"/>
      <c r="GZ50" s="525"/>
      <c r="HA50" s="525"/>
      <c r="HB50" s="525"/>
      <c r="HC50" s="525"/>
      <c r="HD50" s="525"/>
      <c r="HE50" s="525"/>
      <c r="HF50" s="525"/>
      <c r="HG50" s="525"/>
      <c r="HH50" s="525"/>
      <c r="HI50" s="525"/>
      <c r="HJ50" s="525"/>
      <c r="HK50" s="525"/>
      <c r="HL50" s="525"/>
      <c r="HM50" s="525"/>
      <c r="HN50" s="525"/>
      <c r="HO50" s="525"/>
      <c r="HP50" s="525"/>
      <c r="HQ50" s="525"/>
      <c r="HR50" s="525"/>
      <c r="HS50" s="525"/>
      <c r="HT50" s="525"/>
      <c r="HU50" s="525"/>
      <c r="HV50" s="525"/>
      <c r="HW50" s="525"/>
      <c r="HX50" s="525"/>
      <c r="HY50" s="525"/>
      <c r="HZ50" s="525"/>
      <c r="IA50" s="525"/>
      <c r="IB50" s="525"/>
      <c r="IC50" s="525"/>
      <c r="ID50" s="525"/>
      <c r="IE50" s="525"/>
      <c r="IF50" s="525"/>
      <c r="IG50" s="525"/>
      <c r="IH50" s="525"/>
      <c r="II50" s="525"/>
      <c r="IJ50" s="525"/>
      <c r="IK50" s="525"/>
    </row>
    <row r="51" spans="1:245" s="976" customFormat="1" ht="20.100000000000001" customHeight="1" x14ac:dyDescent="0.25">
      <c r="A51" s="525"/>
      <c r="B51" s="985"/>
      <c r="C51" s="986"/>
      <c r="D51" s="986"/>
      <c r="E51" s="986"/>
      <c r="F51" s="986"/>
      <c r="G51" s="986"/>
      <c r="H51" s="525"/>
      <c r="I51" s="2605">
        <f t="shared" si="28"/>
        <v>27</v>
      </c>
      <c r="J51" s="2607">
        <f t="shared" si="13"/>
        <v>0</v>
      </c>
      <c r="K51" s="2606">
        <f t="shared" si="38"/>
        <v>0</v>
      </c>
      <c r="L51" s="2608">
        <f t="shared" si="23"/>
        <v>0</v>
      </c>
      <c r="M51" s="2607">
        <f t="shared" si="29"/>
        <v>0</v>
      </c>
      <c r="N51" s="525"/>
      <c r="O51" s="2605">
        <f t="shared" si="30"/>
        <v>27</v>
      </c>
      <c r="P51" s="2607">
        <f t="shared" si="15"/>
        <v>0</v>
      </c>
      <c r="Q51" s="2606">
        <f t="shared" si="39"/>
        <v>0</v>
      </c>
      <c r="R51" s="2608">
        <f t="shared" si="24"/>
        <v>0</v>
      </c>
      <c r="S51" s="2607">
        <f t="shared" si="31"/>
        <v>0</v>
      </c>
      <c r="T51" s="525"/>
      <c r="U51" s="2605">
        <f t="shared" si="32"/>
        <v>27</v>
      </c>
      <c r="V51" s="2607">
        <f t="shared" si="17"/>
        <v>0</v>
      </c>
      <c r="W51" s="2606">
        <f t="shared" si="40"/>
        <v>0</v>
      </c>
      <c r="X51" s="2608">
        <f t="shared" si="25"/>
        <v>0</v>
      </c>
      <c r="Y51" s="2607">
        <f t="shared" si="33"/>
        <v>0</v>
      </c>
      <c r="Z51" s="525"/>
      <c r="AA51" s="2605">
        <f t="shared" si="34"/>
        <v>27</v>
      </c>
      <c r="AB51" s="2607">
        <f t="shared" si="19"/>
        <v>0</v>
      </c>
      <c r="AC51" s="2606">
        <f t="shared" si="41"/>
        <v>0</v>
      </c>
      <c r="AD51" s="2608">
        <f t="shared" si="26"/>
        <v>0</v>
      </c>
      <c r="AE51" s="2607">
        <f t="shared" si="35"/>
        <v>0</v>
      </c>
      <c r="AF51" s="525"/>
      <c r="AG51" s="2605">
        <f t="shared" si="36"/>
        <v>27</v>
      </c>
      <c r="AH51" s="2607">
        <f t="shared" si="21"/>
        <v>0</v>
      </c>
      <c r="AI51" s="2606">
        <f t="shared" si="42"/>
        <v>0</v>
      </c>
      <c r="AJ51" s="2608">
        <f t="shared" si="27"/>
        <v>0</v>
      </c>
      <c r="AK51" s="2607">
        <f t="shared" si="37"/>
        <v>0</v>
      </c>
      <c r="AL51" s="525"/>
      <c r="AM51" s="525"/>
      <c r="AN51" s="525"/>
      <c r="AO51" s="525"/>
      <c r="AP51" s="525"/>
      <c r="AQ51" s="525"/>
      <c r="AR51" s="525"/>
      <c r="AS51" s="525"/>
      <c r="AT51" s="525"/>
      <c r="AU51" s="525"/>
      <c r="AV51" s="525"/>
      <c r="AW51" s="525"/>
      <c r="AX51" s="525"/>
      <c r="AY51" s="525"/>
      <c r="AZ51" s="525"/>
      <c r="BA51" s="525"/>
      <c r="BB51" s="525"/>
      <c r="BC51" s="525"/>
      <c r="BD51" s="525"/>
      <c r="BE51" s="525"/>
      <c r="BF51" s="525"/>
      <c r="BG51" s="525"/>
      <c r="BH51" s="525"/>
      <c r="BI51" s="525"/>
      <c r="BJ51" s="525"/>
      <c r="BK51" s="525"/>
      <c r="BL51" s="525"/>
      <c r="BM51" s="525"/>
      <c r="BN51" s="525"/>
      <c r="BO51" s="525"/>
      <c r="BP51" s="525"/>
      <c r="BQ51" s="525"/>
      <c r="BR51" s="525"/>
      <c r="BS51" s="525"/>
      <c r="BT51" s="525"/>
      <c r="BU51" s="525"/>
      <c r="BV51" s="525"/>
      <c r="BW51" s="525"/>
      <c r="BX51" s="525"/>
      <c r="BY51" s="525"/>
      <c r="BZ51" s="525"/>
      <c r="CA51" s="525"/>
      <c r="CB51" s="525"/>
      <c r="CC51" s="525"/>
      <c r="CD51" s="525"/>
      <c r="CE51" s="525"/>
      <c r="CF51" s="525"/>
      <c r="CG51" s="525"/>
      <c r="CH51" s="525"/>
      <c r="CI51" s="525"/>
      <c r="CJ51" s="525"/>
      <c r="CK51" s="525"/>
      <c r="CL51" s="525"/>
      <c r="CM51" s="525"/>
      <c r="CN51" s="525"/>
      <c r="CO51" s="525"/>
      <c r="CP51" s="525"/>
      <c r="CQ51" s="525"/>
      <c r="CR51" s="525"/>
      <c r="CS51" s="525"/>
      <c r="CT51" s="525"/>
      <c r="CU51" s="525"/>
      <c r="CV51" s="525"/>
      <c r="CW51" s="525"/>
      <c r="CX51" s="525"/>
      <c r="CY51" s="525"/>
      <c r="CZ51" s="525"/>
      <c r="DA51" s="525"/>
      <c r="DB51" s="525"/>
      <c r="DC51" s="525"/>
      <c r="DD51" s="525"/>
      <c r="DE51" s="525"/>
      <c r="DF51" s="525"/>
      <c r="DG51" s="525"/>
      <c r="DH51" s="525"/>
      <c r="DI51" s="525"/>
      <c r="DJ51" s="525"/>
      <c r="DK51" s="525"/>
      <c r="DL51" s="525"/>
      <c r="DM51" s="525"/>
      <c r="DN51" s="525"/>
      <c r="DO51" s="525"/>
      <c r="DP51" s="525"/>
      <c r="DQ51" s="525"/>
      <c r="DR51" s="525"/>
      <c r="DS51" s="525"/>
      <c r="DT51" s="525"/>
      <c r="DU51" s="525"/>
      <c r="DV51" s="525"/>
      <c r="DW51" s="525"/>
      <c r="DX51" s="525"/>
      <c r="DY51" s="525"/>
      <c r="DZ51" s="525"/>
      <c r="EA51" s="525"/>
      <c r="EB51" s="525"/>
      <c r="EC51" s="525"/>
      <c r="ED51" s="525"/>
      <c r="EE51" s="525"/>
      <c r="EF51" s="525"/>
      <c r="EG51" s="525"/>
      <c r="EH51" s="525"/>
      <c r="EI51" s="525"/>
      <c r="EJ51" s="525"/>
      <c r="EK51" s="525"/>
      <c r="EL51" s="525"/>
      <c r="EM51" s="525"/>
      <c r="EN51" s="525"/>
      <c r="EO51" s="525"/>
      <c r="EP51" s="525"/>
      <c r="EQ51" s="525"/>
      <c r="ER51" s="525"/>
      <c r="ES51" s="525"/>
      <c r="ET51" s="525"/>
      <c r="EU51" s="525"/>
      <c r="EV51" s="525"/>
      <c r="EW51" s="525"/>
      <c r="EX51" s="525"/>
      <c r="EY51" s="525"/>
      <c r="EZ51" s="525"/>
      <c r="FA51" s="525"/>
      <c r="FB51" s="525"/>
      <c r="FC51" s="525"/>
      <c r="FD51" s="525"/>
      <c r="FE51" s="525"/>
      <c r="FF51" s="525"/>
      <c r="FG51" s="525"/>
      <c r="FH51" s="525"/>
      <c r="FI51" s="525"/>
      <c r="FJ51" s="525"/>
      <c r="FK51" s="525"/>
      <c r="FL51" s="525"/>
      <c r="FM51" s="525"/>
      <c r="FN51" s="525"/>
      <c r="FO51" s="525"/>
      <c r="FP51" s="525"/>
      <c r="FQ51" s="525"/>
      <c r="FR51" s="525"/>
      <c r="FS51" s="525"/>
      <c r="FT51" s="525"/>
      <c r="FU51" s="525"/>
      <c r="FV51" s="525"/>
      <c r="FW51" s="525"/>
      <c r="FX51" s="525"/>
      <c r="FY51" s="525"/>
      <c r="FZ51" s="525"/>
      <c r="GA51" s="525"/>
      <c r="GB51" s="525"/>
      <c r="GC51" s="525"/>
      <c r="GD51" s="525"/>
      <c r="GE51" s="525"/>
      <c r="GF51" s="525"/>
      <c r="GG51" s="525"/>
      <c r="GH51" s="525"/>
      <c r="GI51" s="525"/>
      <c r="GJ51" s="525"/>
      <c r="GK51" s="525"/>
      <c r="GL51" s="525"/>
      <c r="GM51" s="525"/>
      <c r="GN51" s="525"/>
      <c r="GO51" s="525"/>
      <c r="GP51" s="525"/>
      <c r="GQ51" s="525"/>
      <c r="GR51" s="525"/>
      <c r="GS51" s="525"/>
      <c r="GT51" s="525"/>
      <c r="GU51" s="525"/>
      <c r="GV51" s="525"/>
      <c r="GW51" s="525"/>
      <c r="GX51" s="525"/>
      <c r="GY51" s="525"/>
      <c r="GZ51" s="525"/>
      <c r="HA51" s="525"/>
      <c r="HB51" s="525"/>
      <c r="HC51" s="525"/>
      <c r="HD51" s="525"/>
      <c r="HE51" s="525"/>
      <c r="HF51" s="525"/>
      <c r="HG51" s="525"/>
      <c r="HH51" s="525"/>
      <c r="HI51" s="525"/>
      <c r="HJ51" s="525"/>
      <c r="HK51" s="525"/>
      <c r="HL51" s="525"/>
      <c r="HM51" s="525"/>
      <c r="HN51" s="525"/>
      <c r="HO51" s="525"/>
      <c r="HP51" s="525"/>
      <c r="HQ51" s="525"/>
      <c r="HR51" s="525"/>
      <c r="HS51" s="525"/>
      <c r="HT51" s="525"/>
      <c r="HU51" s="525"/>
      <c r="HV51" s="525"/>
      <c r="HW51" s="525"/>
      <c r="HX51" s="525"/>
      <c r="HY51" s="525"/>
      <c r="HZ51" s="525"/>
      <c r="IA51" s="525"/>
      <c r="IB51" s="525"/>
      <c r="IC51" s="525"/>
      <c r="ID51" s="525"/>
      <c r="IE51" s="525"/>
      <c r="IF51" s="525"/>
      <c r="IG51" s="525"/>
      <c r="IH51" s="525"/>
      <c r="II51" s="525"/>
      <c r="IJ51" s="525"/>
      <c r="IK51" s="525"/>
    </row>
    <row r="52" spans="1:245" s="976" customFormat="1" ht="20.100000000000001" customHeight="1" x14ac:dyDescent="0.25">
      <c r="A52" s="525"/>
      <c r="B52" s="985"/>
      <c r="C52" s="986"/>
      <c r="D52" s="986"/>
      <c r="E52" s="986"/>
      <c r="F52" s="986"/>
      <c r="G52" s="986"/>
      <c r="H52" s="525"/>
      <c r="I52" s="2605">
        <f t="shared" si="28"/>
        <v>28</v>
      </c>
      <c r="J52" s="2607">
        <f t="shared" si="13"/>
        <v>0</v>
      </c>
      <c r="K52" s="2606">
        <f t="shared" si="38"/>
        <v>0</v>
      </c>
      <c r="L52" s="2608">
        <f t="shared" si="23"/>
        <v>0</v>
      </c>
      <c r="M52" s="2607">
        <f t="shared" si="29"/>
        <v>0</v>
      </c>
      <c r="N52" s="525"/>
      <c r="O52" s="2605">
        <f t="shared" si="30"/>
        <v>28</v>
      </c>
      <c r="P52" s="2607">
        <f t="shared" si="15"/>
        <v>0</v>
      </c>
      <c r="Q52" s="2606">
        <f t="shared" si="39"/>
        <v>0</v>
      </c>
      <c r="R52" s="2608">
        <f t="shared" si="24"/>
        <v>0</v>
      </c>
      <c r="S52" s="2607">
        <f t="shared" si="31"/>
        <v>0</v>
      </c>
      <c r="T52" s="525"/>
      <c r="U52" s="2605">
        <f t="shared" si="32"/>
        <v>28</v>
      </c>
      <c r="V52" s="2607">
        <f t="shared" si="17"/>
        <v>0</v>
      </c>
      <c r="W52" s="2606">
        <f t="shared" si="40"/>
        <v>0</v>
      </c>
      <c r="X52" s="2608">
        <f t="shared" si="25"/>
        <v>0</v>
      </c>
      <c r="Y52" s="2607">
        <f t="shared" si="33"/>
        <v>0</v>
      </c>
      <c r="Z52" s="525"/>
      <c r="AA52" s="2605">
        <f t="shared" si="34"/>
        <v>28</v>
      </c>
      <c r="AB52" s="2607">
        <f t="shared" si="19"/>
        <v>0</v>
      </c>
      <c r="AC52" s="2606">
        <f t="shared" si="41"/>
        <v>0</v>
      </c>
      <c r="AD52" s="2608">
        <f t="shared" si="26"/>
        <v>0</v>
      </c>
      <c r="AE52" s="2607">
        <f t="shared" si="35"/>
        <v>0</v>
      </c>
      <c r="AF52" s="525"/>
      <c r="AG52" s="2605">
        <f t="shared" si="36"/>
        <v>28</v>
      </c>
      <c r="AH52" s="2607">
        <f t="shared" si="21"/>
        <v>0</v>
      </c>
      <c r="AI52" s="2606">
        <f t="shared" si="42"/>
        <v>0</v>
      </c>
      <c r="AJ52" s="2608">
        <f t="shared" si="27"/>
        <v>0</v>
      </c>
      <c r="AK52" s="2607">
        <f t="shared" si="37"/>
        <v>0</v>
      </c>
      <c r="AL52" s="525"/>
      <c r="AM52" s="525"/>
      <c r="AN52" s="525"/>
      <c r="AO52" s="525"/>
      <c r="AP52" s="525"/>
      <c r="AQ52" s="525"/>
      <c r="AR52" s="525"/>
      <c r="AS52" s="525"/>
      <c r="AT52" s="525"/>
      <c r="AU52" s="525"/>
      <c r="AV52" s="525"/>
      <c r="AW52" s="525"/>
      <c r="AX52" s="525"/>
      <c r="AY52" s="525"/>
      <c r="AZ52" s="525"/>
      <c r="BA52" s="525"/>
      <c r="BB52" s="525"/>
      <c r="BC52" s="525"/>
      <c r="BD52" s="525"/>
      <c r="BE52" s="525"/>
      <c r="BF52" s="525"/>
      <c r="BG52" s="525"/>
      <c r="BH52" s="525"/>
      <c r="BI52" s="525"/>
      <c r="BJ52" s="525"/>
      <c r="BK52" s="525"/>
      <c r="BL52" s="525"/>
      <c r="BM52" s="525"/>
      <c r="BN52" s="525"/>
      <c r="BO52" s="525"/>
      <c r="BP52" s="525"/>
      <c r="BQ52" s="525"/>
      <c r="BR52" s="525"/>
      <c r="BS52" s="525"/>
      <c r="BT52" s="525"/>
      <c r="BU52" s="525"/>
      <c r="BV52" s="525"/>
      <c r="BW52" s="525"/>
      <c r="BX52" s="525"/>
      <c r="BY52" s="525"/>
      <c r="BZ52" s="525"/>
      <c r="CA52" s="525"/>
      <c r="CB52" s="525"/>
      <c r="CC52" s="525"/>
      <c r="CD52" s="525"/>
      <c r="CE52" s="525"/>
      <c r="CF52" s="525"/>
      <c r="CG52" s="525"/>
      <c r="CH52" s="525"/>
      <c r="CI52" s="525"/>
      <c r="CJ52" s="525"/>
      <c r="CK52" s="525"/>
      <c r="CL52" s="525"/>
      <c r="CM52" s="525"/>
      <c r="CN52" s="525"/>
      <c r="CO52" s="525"/>
      <c r="CP52" s="525"/>
      <c r="CQ52" s="525"/>
      <c r="CR52" s="525"/>
      <c r="CS52" s="525"/>
      <c r="CT52" s="525"/>
      <c r="CU52" s="525"/>
      <c r="CV52" s="525"/>
      <c r="CW52" s="525"/>
      <c r="CX52" s="525"/>
      <c r="CY52" s="525"/>
      <c r="CZ52" s="525"/>
      <c r="DA52" s="525"/>
      <c r="DB52" s="525"/>
      <c r="DC52" s="525"/>
      <c r="DD52" s="525"/>
      <c r="DE52" s="525"/>
      <c r="DF52" s="525"/>
      <c r="DG52" s="525"/>
      <c r="DH52" s="525"/>
      <c r="DI52" s="525"/>
      <c r="DJ52" s="525"/>
      <c r="DK52" s="525"/>
      <c r="DL52" s="525"/>
      <c r="DM52" s="525"/>
      <c r="DN52" s="525"/>
      <c r="DO52" s="525"/>
      <c r="DP52" s="525"/>
      <c r="DQ52" s="525"/>
      <c r="DR52" s="525"/>
      <c r="DS52" s="525"/>
      <c r="DT52" s="525"/>
      <c r="DU52" s="525"/>
      <c r="DV52" s="525"/>
      <c r="DW52" s="525"/>
      <c r="DX52" s="525"/>
      <c r="DY52" s="525"/>
      <c r="DZ52" s="525"/>
      <c r="EA52" s="525"/>
      <c r="EB52" s="525"/>
      <c r="EC52" s="525"/>
      <c r="ED52" s="525"/>
      <c r="EE52" s="525"/>
      <c r="EF52" s="525"/>
      <c r="EG52" s="525"/>
      <c r="EH52" s="525"/>
      <c r="EI52" s="525"/>
      <c r="EJ52" s="525"/>
      <c r="EK52" s="525"/>
      <c r="EL52" s="525"/>
      <c r="EM52" s="525"/>
      <c r="EN52" s="525"/>
      <c r="EO52" s="525"/>
      <c r="EP52" s="525"/>
      <c r="EQ52" s="525"/>
      <c r="ER52" s="525"/>
      <c r="ES52" s="525"/>
      <c r="ET52" s="525"/>
      <c r="EU52" s="525"/>
      <c r="EV52" s="525"/>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c r="GH52" s="525"/>
      <c r="GI52" s="525"/>
      <c r="GJ52" s="525"/>
      <c r="GK52" s="525"/>
      <c r="GL52" s="525"/>
      <c r="GM52" s="525"/>
      <c r="GN52" s="525"/>
      <c r="GO52" s="525"/>
      <c r="GP52" s="525"/>
      <c r="GQ52" s="525"/>
      <c r="GR52" s="525"/>
      <c r="GS52" s="525"/>
      <c r="GT52" s="525"/>
      <c r="GU52" s="525"/>
      <c r="GV52" s="525"/>
      <c r="GW52" s="525"/>
      <c r="GX52" s="525"/>
      <c r="GY52" s="525"/>
      <c r="GZ52" s="525"/>
      <c r="HA52" s="525"/>
      <c r="HB52" s="525"/>
      <c r="HC52" s="525"/>
      <c r="HD52" s="525"/>
      <c r="HE52" s="525"/>
      <c r="HF52" s="525"/>
      <c r="HG52" s="525"/>
      <c r="HH52" s="525"/>
      <c r="HI52" s="525"/>
      <c r="HJ52" s="525"/>
      <c r="HK52" s="525"/>
      <c r="HL52" s="525"/>
      <c r="HM52" s="525"/>
      <c r="HN52" s="525"/>
      <c r="HO52" s="525"/>
      <c r="HP52" s="525"/>
      <c r="HQ52" s="525"/>
      <c r="HR52" s="525"/>
      <c r="HS52" s="525"/>
      <c r="HT52" s="525"/>
      <c r="HU52" s="525"/>
      <c r="HV52" s="525"/>
      <c r="HW52" s="525"/>
      <c r="HX52" s="525"/>
      <c r="HY52" s="525"/>
      <c r="HZ52" s="525"/>
      <c r="IA52" s="525"/>
      <c r="IB52" s="525"/>
      <c r="IC52" s="525"/>
      <c r="ID52" s="525"/>
      <c r="IE52" s="525"/>
      <c r="IF52" s="525"/>
      <c r="IG52" s="525"/>
      <c r="IH52" s="525"/>
      <c r="II52" s="525"/>
      <c r="IJ52" s="525"/>
      <c r="IK52" s="525"/>
    </row>
    <row r="53" spans="1:245" s="976" customFormat="1" ht="20.100000000000001" customHeight="1" x14ac:dyDescent="0.25">
      <c r="A53" s="525"/>
      <c r="B53" s="985"/>
      <c r="C53" s="986"/>
      <c r="D53" s="986"/>
      <c r="E53" s="986"/>
      <c r="F53" s="986"/>
      <c r="G53" s="986"/>
      <c r="H53" s="525"/>
      <c r="I53" s="2605">
        <f t="shared" si="28"/>
        <v>29</v>
      </c>
      <c r="J53" s="2607">
        <f t="shared" si="13"/>
        <v>0</v>
      </c>
      <c r="K53" s="2606">
        <f t="shared" si="38"/>
        <v>0</v>
      </c>
      <c r="L53" s="2608">
        <f t="shared" si="23"/>
        <v>0</v>
      </c>
      <c r="M53" s="2607">
        <f t="shared" si="29"/>
        <v>0</v>
      </c>
      <c r="N53" s="525"/>
      <c r="O53" s="2605">
        <f t="shared" si="30"/>
        <v>29</v>
      </c>
      <c r="P53" s="2607">
        <f t="shared" si="15"/>
        <v>0</v>
      </c>
      <c r="Q53" s="2606">
        <f t="shared" si="39"/>
        <v>0</v>
      </c>
      <c r="R53" s="2608">
        <f t="shared" si="24"/>
        <v>0</v>
      </c>
      <c r="S53" s="2607">
        <f t="shared" si="31"/>
        <v>0</v>
      </c>
      <c r="T53" s="525"/>
      <c r="U53" s="2605">
        <f t="shared" si="32"/>
        <v>29</v>
      </c>
      <c r="V53" s="2607">
        <f t="shared" si="17"/>
        <v>0</v>
      </c>
      <c r="W53" s="2606">
        <f t="shared" si="40"/>
        <v>0</v>
      </c>
      <c r="X53" s="2608">
        <f t="shared" si="25"/>
        <v>0</v>
      </c>
      <c r="Y53" s="2607">
        <f t="shared" si="33"/>
        <v>0</v>
      </c>
      <c r="Z53" s="525"/>
      <c r="AA53" s="2605">
        <f t="shared" si="34"/>
        <v>29</v>
      </c>
      <c r="AB53" s="2607">
        <f t="shared" si="19"/>
        <v>0</v>
      </c>
      <c r="AC53" s="2606">
        <f t="shared" si="41"/>
        <v>0</v>
      </c>
      <c r="AD53" s="2608">
        <f t="shared" si="26"/>
        <v>0</v>
      </c>
      <c r="AE53" s="2607">
        <f t="shared" si="35"/>
        <v>0</v>
      </c>
      <c r="AF53" s="525"/>
      <c r="AG53" s="2605">
        <f t="shared" si="36"/>
        <v>29</v>
      </c>
      <c r="AH53" s="2607">
        <f t="shared" si="21"/>
        <v>0</v>
      </c>
      <c r="AI53" s="2606">
        <f t="shared" si="42"/>
        <v>0</v>
      </c>
      <c r="AJ53" s="2608">
        <f t="shared" si="27"/>
        <v>0</v>
      </c>
      <c r="AK53" s="2607">
        <f t="shared" si="37"/>
        <v>0</v>
      </c>
      <c r="AL53" s="525"/>
      <c r="AM53" s="525"/>
      <c r="AN53" s="525"/>
      <c r="AO53" s="525"/>
      <c r="AP53" s="525"/>
      <c r="AQ53" s="525"/>
      <c r="AR53" s="525"/>
      <c r="AS53" s="525"/>
      <c r="AT53" s="525"/>
      <c r="AU53" s="525"/>
      <c r="AV53" s="525"/>
      <c r="AW53" s="525"/>
      <c r="AX53" s="525"/>
      <c r="AY53" s="525"/>
      <c r="AZ53" s="525"/>
      <c r="BA53" s="525"/>
      <c r="BB53" s="525"/>
      <c r="BC53" s="525"/>
      <c r="BD53" s="525"/>
      <c r="BE53" s="525"/>
      <c r="BF53" s="525"/>
      <c r="BG53" s="525"/>
      <c r="BH53" s="525"/>
      <c r="BI53" s="525"/>
      <c r="BJ53" s="525"/>
      <c r="BK53" s="525"/>
      <c r="BL53" s="525"/>
      <c r="BM53" s="525"/>
      <c r="BN53" s="525"/>
      <c r="BO53" s="525"/>
      <c r="BP53" s="525"/>
      <c r="BQ53" s="525"/>
      <c r="BR53" s="525"/>
      <c r="BS53" s="525"/>
      <c r="BT53" s="525"/>
      <c r="BU53" s="525"/>
      <c r="BV53" s="525"/>
      <c r="BW53" s="525"/>
      <c r="BX53" s="525"/>
      <c r="BY53" s="525"/>
      <c r="BZ53" s="525"/>
      <c r="CA53" s="525"/>
      <c r="CB53" s="525"/>
      <c r="CC53" s="525"/>
      <c r="CD53" s="525"/>
      <c r="CE53" s="525"/>
      <c r="CF53" s="525"/>
      <c r="CG53" s="525"/>
      <c r="CH53" s="525"/>
      <c r="CI53" s="525"/>
      <c r="CJ53" s="525"/>
      <c r="CK53" s="525"/>
      <c r="CL53" s="525"/>
      <c r="CM53" s="525"/>
      <c r="CN53" s="525"/>
      <c r="CO53" s="525"/>
      <c r="CP53" s="525"/>
      <c r="CQ53" s="525"/>
      <c r="CR53" s="525"/>
      <c r="CS53" s="525"/>
      <c r="CT53" s="525"/>
      <c r="CU53" s="525"/>
      <c r="CV53" s="525"/>
      <c r="CW53" s="525"/>
      <c r="CX53" s="525"/>
      <c r="CY53" s="525"/>
      <c r="CZ53" s="525"/>
      <c r="DA53" s="525"/>
      <c r="DB53" s="525"/>
      <c r="DC53" s="525"/>
      <c r="DD53" s="525"/>
      <c r="DE53" s="525"/>
      <c r="DF53" s="525"/>
      <c r="DG53" s="525"/>
      <c r="DH53" s="525"/>
      <c r="DI53" s="525"/>
      <c r="DJ53" s="525"/>
      <c r="DK53" s="525"/>
      <c r="DL53" s="525"/>
      <c r="DM53" s="525"/>
      <c r="DN53" s="525"/>
      <c r="DO53" s="525"/>
      <c r="DP53" s="525"/>
      <c r="DQ53" s="525"/>
      <c r="DR53" s="525"/>
      <c r="DS53" s="525"/>
      <c r="DT53" s="525"/>
      <c r="DU53" s="525"/>
      <c r="DV53" s="525"/>
      <c r="DW53" s="525"/>
      <c r="DX53" s="525"/>
      <c r="DY53" s="525"/>
      <c r="DZ53" s="525"/>
      <c r="EA53" s="525"/>
      <c r="EB53" s="525"/>
      <c r="EC53" s="525"/>
      <c r="ED53" s="525"/>
      <c r="EE53" s="525"/>
      <c r="EF53" s="525"/>
      <c r="EG53" s="525"/>
      <c r="EH53" s="525"/>
      <c r="EI53" s="525"/>
      <c r="EJ53" s="525"/>
      <c r="EK53" s="525"/>
      <c r="EL53" s="525"/>
      <c r="EM53" s="525"/>
      <c r="EN53" s="525"/>
      <c r="EO53" s="525"/>
      <c r="EP53" s="525"/>
      <c r="EQ53" s="525"/>
      <c r="ER53" s="525"/>
      <c r="ES53" s="525"/>
      <c r="ET53" s="525"/>
      <c r="EU53" s="525"/>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c r="GH53" s="525"/>
      <c r="GI53" s="525"/>
      <c r="GJ53" s="525"/>
      <c r="GK53" s="525"/>
      <c r="GL53" s="525"/>
      <c r="GM53" s="525"/>
      <c r="GN53" s="525"/>
      <c r="GO53" s="525"/>
      <c r="GP53" s="525"/>
      <c r="GQ53" s="525"/>
      <c r="GR53" s="525"/>
      <c r="GS53" s="525"/>
      <c r="GT53" s="525"/>
      <c r="GU53" s="525"/>
      <c r="GV53" s="525"/>
      <c r="GW53" s="525"/>
      <c r="GX53" s="525"/>
      <c r="GY53" s="525"/>
      <c r="GZ53" s="525"/>
      <c r="HA53" s="525"/>
      <c r="HB53" s="525"/>
      <c r="HC53" s="525"/>
      <c r="HD53" s="525"/>
      <c r="HE53" s="525"/>
      <c r="HF53" s="525"/>
      <c r="HG53" s="525"/>
      <c r="HH53" s="525"/>
      <c r="HI53" s="525"/>
      <c r="HJ53" s="525"/>
      <c r="HK53" s="525"/>
      <c r="HL53" s="525"/>
      <c r="HM53" s="525"/>
      <c r="HN53" s="525"/>
      <c r="HO53" s="525"/>
      <c r="HP53" s="525"/>
      <c r="HQ53" s="525"/>
      <c r="HR53" s="525"/>
      <c r="HS53" s="525"/>
      <c r="HT53" s="525"/>
      <c r="HU53" s="525"/>
      <c r="HV53" s="525"/>
      <c r="HW53" s="525"/>
      <c r="HX53" s="525"/>
      <c r="HY53" s="525"/>
      <c r="HZ53" s="525"/>
      <c r="IA53" s="525"/>
      <c r="IB53" s="525"/>
      <c r="IC53" s="525"/>
      <c r="ID53" s="525"/>
      <c r="IE53" s="525"/>
      <c r="IF53" s="525"/>
      <c r="IG53" s="525"/>
      <c r="IH53" s="525"/>
      <c r="II53" s="525"/>
      <c r="IJ53" s="525"/>
      <c r="IK53" s="525"/>
    </row>
    <row r="54" spans="1:245" s="976" customFormat="1" ht="20.100000000000001" customHeight="1" x14ac:dyDescent="0.25">
      <c r="A54" s="525"/>
      <c r="B54" s="985"/>
      <c r="C54" s="986"/>
      <c r="D54" s="986"/>
      <c r="E54" s="986"/>
      <c r="F54" s="986"/>
      <c r="G54" s="986"/>
      <c r="H54" s="525"/>
      <c r="I54" s="2605">
        <f t="shared" si="28"/>
        <v>30</v>
      </c>
      <c r="J54" s="2607">
        <f t="shared" si="13"/>
        <v>0</v>
      </c>
      <c r="K54" s="2606">
        <f t="shared" si="38"/>
        <v>0</v>
      </c>
      <c r="L54" s="2608">
        <f t="shared" si="23"/>
        <v>0</v>
      </c>
      <c r="M54" s="2607">
        <f t="shared" si="29"/>
        <v>0</v>
      </c>
      <c r="N54" s="525"/>
      <c r="O54" s="2605">
        <f t="shared" si="30"/>
        <v>30</v>
      </c>
      <c r="P54" s="2607">
        <f t="shared" si="15"/>
        <v>0</v>
      </c>
      <c r="Q54" s="2606">
        <f t="shared" si="39"/>
        <v>0</v>
      </c>
      <c r="R54" s="2608">
        <f t="shared" si="24"/>
        <v>0</v>
      </c>
      <c r="S54" s="2607">
        <f t="shared" si="31"/>
        <v>0</v>
      </c>
      <c r="T54" s="525"/>
      <c r="U54" s="2605">
        <f t="shared" si="32"/>
        <v>30</v>
      </c>
      <c r="V54" s="2607">
        <f t="shared" si="17"/>
        <v>0</v>
      </c>
      <c r="W54" s="2606">
        <f t="shared" si="40"/>
        <v>0</v>
      </c>
      <c r="X54" s="2608">
        <f t="shared" si="25"/>
        <v>0</v>
      </c>
      <c r="Y54" s="2607">
        <f t="shared" si="33"/>
        <v>0</v>
      </c>
      <c r="Z54" s="525"/>
      <c r="AA54" s="2605">
        <f t="shared" si="34"/>
        <v>30</v>
      </c>
      <c r="AB54" s="2607">
        <f t="shared" si="19"/>
        <v>0</v>
      </c>
      <c r="AC54" s="2606">
        <f t="shared" si="41"/>
        <v>0</v>
      </c>
      <c r="AD54" s="2608">
        <f t="shared" si="26"/>
        <v>0</v>
      </c>
      <c r="AE54" s="2607">
        <f t="shared" si="35"/>
        <v>0</v>
      </c>
      <c r="AF54" s="525"/>
      <c r="AG54" s="2605">
        <f t="shared" si="36"/>
        <v>30</v>
      </c>
      <c r="AH54" s="2607">
        <f t="shared" si="21"/>
        <v>0</v>
      </c>
      <c r="AI54" s="2606">
        <f t="shared" si="42"/>
        <v>0</v>
      </c>
      <c r="AJ54" s="2608">
        <f t="shared" si="27"/>
        <v>0</v>
      </c>
      <c r="AK54" s="2607">
        <f t="shared" si="37"/>
        <v>0</v>
      </c>
      <c r="AL54" s="525"/>
      <c r="AM54" s="525"/>
      <c r="AN54" s="525"/>
      <c r="AO54" s="525"/>
      <c r="AP54" s="525"/>
      <c r="AQ54" s="525"/>
      <c r="AR54" s="525"/>
      <c r="AS54" s="525"/>
      <c r="AT54" s="525"/>
      <c r="AU54" s="525"/>
      <c r="AV54" s="525"/>
      <c r="AW54" s="525"/>
      <c r="AX54" s="525"/>
      <c r="AY54" s="525"/>
      <c r="AZ54" s="525"/>
      <c r="BA54" s="525"/>
      <c r="BB54" s="525"/>
      <c r="BC54" s="525"/>
      <c r="BD54" s="525"/>
      <c r="BE54" s="525"/>
      <c r="BF54" s="525"/>
      <c r="BG54" s="525"/>
      <c r="BH54" s="525"/>
      <c r="BI54" s="525"/>
      <c r="BJ54" s="525"/>
      <c r="BK54" s="525"/>
      <c r="BL54" s="525"/>
      <c r="BM54" s="525"/>
      <c r="BN54" s="525"/>
      <c r="BO54" s="525"/>
      <c r="BP54" s="525"/>
      <c r="BQ54" s="525"/>
      <c r="BR54" s="525"/>
      <c r="BS54" s="525"/>
      <c r="BT54" s="525"/>
      <c r="BU54" s="525"/>
      <c r="BV54" s="525"/>
      <c r="BW54" s="525"/>
      <c r="BX54" s="525"/>
      <c r="BY54" s="525"/>
      <c r="BZ54" s="525"/>
      <c r="CA54" s="525"/>
      <c r="CB54" s="525"/>
      <c r="CC54" s="525"/>
      <c r="CD54" s="525"/>
      <c r="CE54" s="525"/>
      <c r="CF54" s="525"/>
      <c r="CG54" s="525"/>
      <c r="CH54" s="525"/>
      <c r="CI54" s="525"/>
      <c r="CJ54" s="525"/>
      <c r="CK54" s="525"/>
      <c r="CL54" s="525"/>
      <c r="CM54" s="525"/>
      <c r="CN54" s="525"/>
      <c r="CO54" s="525"/>
      <c r="CP54" s="525"/>
      <c r="CQ54" s="525"/>
      <c r="CR54" s="525"/>
      <c r="CS54" s="525"/>
      <c r="CT54" s="525"/>
      <c r="CU54" s="525"/>
      <c r="CV54" s="525"/>
      <c r="CW54" s="525"/>
      <c r="CX54" s="525"/>
      <c r="CY54" s="525"/>
      <c r="CZ54" s="525"/>
      <c r="DA54" s="525"/>
      <c r="DB54" s="525"/>
      <c r="DC54" s="525"/>
      <c r="DD54" s="525"/>
      <c r="DE54" s="525"/>
      <c r="DF54" s="525"/>
      <c r="DG54" s="525"/>
      <c r="DH54" s="525"/>
      <c r="DI54" s="525"/>
      <c r="DJ54" s="525"/>
      <c r="DK54" s="525"/>
      <c r="DL54" s="525"/>
      <c r="DM54" s="525"/>
      <c r="DN54" s="525"/>
      <c r="DO54" s="525"/>
      <c r="DP54" s="525"/>
      <c r="DQ54" s="525"/>
      <c r="DR54" s="525"/>
      <c r="DS54" s="525"/>
      <c r="DT54" s="525"/>
      <c r="DU54" s="525"/>
      <c r="DV54" s="525"/>
      <c r="DW54" s="525"/>
      <c r="DX54" s="525"/>
      <c r="DY54" s="525"/>
      <c r="DZ54" s="525"/>
      <c r="EA54" s="525"/>
      <c r="EB54" s="525"/>
      <c r="EC54" s="525"/>
      <c r="ED54" s="525"/>
      <c r="EE54" s="525"/>
      <c r="EF54" s="525"/>
      <c r="EG54" s="525"/>
      <c r="EH54" s="525"/>
      <c r="EI54" s="525"/>
      <c r="EJ54" s="525"/>
      <c r="EK54" s="525"/>
      <c r="EL54" s="525"/>
      <c r="EM54" s="525"/>
      <c r="EN54" s="525"/>
      <c r="EO54" s="525"/>
      <c r="EP54" s="525"/>
      <c r="EQ54" s="525"/>
      <c r="ER54" s="525"/>
      <c r="ES54" s="525"/>
      <c r="ET54" s="525"/>
      <c r="EU54" s="525"/>
      <c r="EV54" s="525"/>
      <c r="EW54" s="525"/>
      <c r="EX54" s="525"/>
      <c r="EY54" s="525"/>
      <c r="EZ54" s="525"/>
      <c r="FA54" s="525"/>
      <c r="FB54" s="525"/>
      <c r="FC54" s="525"/>
      <c r="FD54" s="525"/>
      <c r="FE54" s="525"/>
      <c r="FF54" s="525"/>
      <c r="FG54" s="525"/>
      <c r="FH54" s="525"/>
      <c r="FI54" s="525"/>
      <c r="FJ54" s="525"/>
      <c r="FK54" s="525"/>
      <c r="FL54" s="525"/>
      <c r="FM54" s="525"/>
      <c r="FN54" s="525"/>
      <c r="FO54" s="525"/>
      <c r="FP54" s="525"/>
      <c r="FQ54" s="525"/>
      <c r="FR54" s="525"/>
      <c r="FS54" s="525"/>
      <c r="FT54" s="525"/>
      <c r="FU54" s="525"/>
      <c r="FV54" s="525"/>
      <c r="FW54" s="525"/>
      <c r="FX54" s="525"/>
      <c r="FY54" s="525"/>
      <c r="FZ54" s="525"/>
      <c r="GA54" s="525"/>
      <c r="GB54" s="525"/>
      <c r="GC54" s="525"/>
      <c r="GD54" s="525"/>
      <c r="GE54" s="525"/>
      <c r="GF54" s="525"/>
      <c r="GG54" s="525"/>
      <c r="GH54" s="525"/>
      <c r="GI54" s="525"/>
      <c r="GJ54" s="525"/>
      <c r="GK54" s="525"/>
      <c r="GL54" s="525"/>
      <c r="GM54" s="525"/>
      <c r="GN54" s="525"/>
      <c r="GO54" s="525"/>
      <c r="GP54" s="525"/>
      <c r="GQ54" s="525"/>
      <c r="GR54" s="525"/>
      <c r="GS54" s="525"/>
      <c r="GT54" s="525"/>
      <c r="GU54" s="525"/>
      <c r="GV54" s="525"/>
      <c r="GW54" s="525"/>
      <c r="GX54" s="525"/>
      <c r="GY54" s="525"/>
      <c r="GZ54" s="525"/>
      <c r="HA54" s="525"/>
      <c r="HB54" s="525"/>
      <c r="HC54" s="525"/>
      <c r="HD54" s="525"/>
      <c r="HE54" s="525"/>
      <c r="HF54" s="525"/>
      <c r="HG54" s="525"/>
      <c r="HH54" s="525"/>
      <c r="HI54" s="525"/>
      <c r="HJ54" s="525"/>
      <c r="HK54" s="525"/>
      <c r="HL54" s="525"/>
      <c r="HM54" s="525"/>
      <c r="HN54" s="525"/>
      <c r="HO54" s="525"/>
      <c r="HP54" s="525"/>
      <c r="HQ54" s="525"/>
      <c r="HR54" s="525"/>
      <c r="HS54" s="525"/>
      <c r="HT54" s="525"/>
      <c r="HU54" s="525"/>
      <c r="HV54" s="525"/>
      <c r="HW54" s="525"/>
      <c r="HX54" s="525"/>
      <c r="HY54" s="525"/>
      <c r="HZ54" s="525"/>
      <c r="IA54" s="525"/>
      <c r="IB54" s="525"/>
      <c r="IC54" s="525"/>
      <c r="ID54" s="525"/>
      <c r="IE54" s="525"/>
      <c r="IF54" s="525"/>
      <c r="IG54" s="525"/>
      <c r="IH54" s="525"/>
      <c r="II54" s="525"/>
      <c r="IJ54" s="525"/>
      <c r="IK54" s="525"/>
    </row>
    <row r="55" spans="1:245" s="976" customFormat="1" ht="20.100000000000001" customHeight="1" x14ac:dyDescent="0.25">
      <c r="A55" s="525"/>
      <c r="B55" s="985"/>
      <c r="C55" s="986"/>
      <c r="D55" s="986"/>
      <c r="E55" s="986"/>
      <c r="F55" s="986"/>
      <c r="G55" s="986"/>
      <c r="H55" s="525"/>
      <c r="I55" s="2605">
        <f t="shared" si="28"/>
        <v>31</v>
      </c>
      <c r="J55" s="2607">
        <f t="shared" si="13"/>
        <v>0</v>
      </c>
      <c r="K55" s="2606">
        <f t="shared" si="38"/>
        <v>0</v>
      </c>
      <c r="L55" s="2608">
        <f t="shared" si="23"/>
        <v>0</v>
      </c>
      <c r="M55" s="2607">
        <f t="shared" si="29"/>
        <v>0</v>
      </c>
      <c r="N55" s="525"/>
      <c r="O55" s="2605">
        <f t="shared" si="30"/>
        <v>31</v>
      </c>
      <c r="P55" s="2607">
        <f t="shared" si="15"/>
        <v>0</v>
      </c>
      <c r="Q55" s="2606">
        <f t="shared" si="39"/>
        <v>0</v>
      </c>
      <c r="R55" s="2608">
        <f t="shared" si="24"/>
        <v>0</v>
      </c>
      <c r="S55" s="2607">
        <f t="shared" si="31"/>
        <v>0</v>
      </c>
      <c r="T55" s="525"/>
      <c r="U55" s="2605">
        <f t="shared" si="32"/>
        <v>31</v>
      </c>
      <c r="V55" s="2607">
        <f t="shared" si="17"/>
        <v>0</v>
      </c>
      <c r="W55" s="2606">
        <f t="shared" si="40"/>
        <v>0</v>
      </c>
      <c r="X55" s="2608">
        <f t="shared" si="25"/>
        <v>0</v>
      </c>
      <c r="Y55" s="2607">
        <f t="shared" si="33"/>
        <v>0</v>
      </c>
      <c r="Z55" s="525"/>
      <c r="AA55" s="2605">
        <f t="shared" si="34"/>
        <v>31</v>
      </c>
      <c r="AB55" s="2607">
        <f t="shared" si="19"/>
        <v>0</v>
      </c>
      <c r="AC55" s="2606">
        <f t="shared" si="41"/>
        <v>0</v>
      </c>
      <c r="AD55" s="2608">
        <f t="shared" si="26"/>
        <v>0</v>
      </c>
      <c r="AE55" s="2607">
        <f t="shared" si="35"/>
        <v>0</v>
      </c>
      <c r="AF55" s="525"/>
      <c r="AG55" s="2605">
        <f t="shared" si="36"/>
        <v>31</v>
      </c>
      <c r="AH55" s="2607">
        <f t="shared" si="21"/>
        <v>0</v>
      </c>
      <c r="AI55" s="2606">
        <f t="shared" si="42"/>
        <v>0</v>
      </c>
      <c r="AJ55" s="2608">
        <f t="shared" si="27"/>
        <v>0</v>
      </c>
      <c r="AK55" s="2607">
        <f t="shared" si="37"/>
        <v>0</v>
      </c>
      <c r="AL55" s="525"/>
      <c r="AM55" s="525"/>
      <c r="AN55" s="525"/>
      <c r="AO55" s="525"/>
      <c r="AP55" s="525"/>
      <c r="AQ55" s="525"/>
      <c r="AR55" s="525"/>
      <c r="AS55" s="525"/>
      <c r="AT55" s="525"/>
      <c r="AU55" s="525"/>
      <c r="AV55" s="525"/>
      <c r="AW55" s="525"/>
      <c r="AX55" s="525"/>
      <c r="AY55" s="525"/>
      <c r="AZ55" s="525"/>
      <c r="BA55" s="525"/>
      <c r="BB55" s="525"/>
      <c r="BC55" s="525"/>
      <c r="BD55" s="525"/>
      <c r="BE55" s="525"/>
      <c r="BF55" s="525"/>
      <c r="BG55" s="525"/>
      <c r="BH55" s="525"/>
      <c r="BI55" s="525"/>
      <c r="BJ55" s="525"/>
      <c r="BK55" s="525"/>
      <c r="BL55" s="525"/>
      <c r="BM55" s="525"/>
      <c r="BN55" s="525"/>
      <c r="BO55" s="525"/>
      <c r="BP55" s="525"/>
      <c r="BQ55" s="525"/>
      <c r="BR55" s="525"/>
      <c r="BS55" s="525"/>
      <c r="BT55" s="525"/>
      <c r="BU55" s="525"/>
      <c r="BV55" s="525"/>
      <c r="BW55" s="525"/>
      <c r="BX55" s="525"/>
      <c r="BY55" s="525"/>
      <c r="BZ55" s="525"/>
      <c r="CA55" s="525"/>
      <c r="CB55" s="525"/>
      <c r="CC55" s="525"/>
      <c r="CD55" s="525"/>
      <c r="CE55" s="525"/>
      <c r="CF55" s="525"/>
      <c r="CG55" s="525"/>
      <c r="CH55" s="525"/>
      <c r="CI55" s="525"/>
      <c r="CJ55" s="525"/>
      <c r="CK55" s="525"/>
      <c r="CL55" s="525"/>
      <c r="CM55" s="525"/>
      <c r="CN55" s="525"/>
      <c r="CO55" s="525"/>
      <c r="CP55" s="525"/>
      <c r="CQ55" s="525"/>
      <c r="CR55" s="525"/>
      <c r="CS55" s="525"/>
      <c r="CT55" s="525"/>
      <c r="CU55" s="525"/>
      <c r="CV55" s="525"/>
      <c r="CW55" s="525"/>
      <c r="CX55" s="525"/>
      <c r="CY55" s="525"/>
      <c r="CZ55" s="525"/>
      <c r="DA55" s="525"/>
      <c r="DB55" s="525"/>
      <c r="DC55" s="525"/>
      <c r="DD55" s="525"/>
      <c r="DE55" s="525"/>
      <c r="DF55" s="525"/>
      <c r="DG55" s="525"/>
      <c r="DH55" s="525"/>
      <c r="DI55" s="525"/>
      <c r="DJ55" s="525"/>
      <c r="DK55" s="525"/>
      <c r="DL55" s="525"/>
      <c r="DM55" s="525"/>
      <c r="DN55" s="525"/>
      <c r="DO55" s="525"/>
      <c r="DP55" s="525"/>
      <c r="DQ55" s="525"/>
      <c r="DR55" s="525"/>
      <c r="DS55" s="525"/>
      <c r="DT55" s="525"/>
      <c r="DU55" s="525"/>
      <c r="DV55" s="525"/>
      <c r="DW55" s="525"/>
      <c r="DX55" s="525"/>
      <c r="DY55" s="525"/>
      <c r="DZ55" s="525"/>
      <c r="EA55" s="525"/>
      <c r="EB55" s="525"/>
      <c r="EC55" s="525"/>
      <c r="ED55" s="525"/>
      <c r="EE55" s="525"/>
      <c r="EF55" s="525"/>
      <c r="EG55" s="525"/>
      <c r="EH55" s="525"/>
      <c r="EI55" s="525"/>
      <c r="EJ55" s="525"/>
      <c r="EK55" s="525"/>
      <c r="EL55" s="525"/>
      <c r="EM55" s="525"/>
      <c r="EN55" s="525"/>
      <c r="EO55" s="525"/>
      <c r="EP55" s="525"/>
      <c r="EQ55" s="525"/>
      <c r="ER55" s="525"/>
      <c r="ES55" s="525"/>
      <c r="ET55" s="525"/>
      <c r="EU55" s="525"/>
      <c r="EV55" s="525"/>
      <c r="EW55" s="525"/>
      <c r="EX55" s="525"/>
      <c r="EY55" s="525"/>
      <c r="EZ55" s="525"/>
      <c r="FA55" s="525"/>
      <c r="FB55" s="525"/>
      <c r="FC55" s="525"/>
      <c r="FD55" s="525"/>
      <c r="FE55" s="525"/>
      <c r="FF55" s="525"/>
      <c r="FG55" s="525"/>
      <c r="FH55" s="525"/>
      <c r="FI55" s="525"/>
      <c r="FJ55" s="525"/>
      <c r="FK55" s="525"/>
      <c r="FL55" s="525"/>
      <c r="FM55" s="525"/>
      <c r="FN55" s="525"/>
      <c r="FO55" s="525"/>
      <c r="FP55" s="525"/>
      <c r="FQ55" s="525"/>
      <c r="FR55" s="525"/>
      <c r="FS55" s="525"/>
      <c r="FT55" s="525"/>
      <c r="FU55" s="525"/>
      <c r="FV55" s="525"/>
      <c r="FW55" s="525"/>
      <c r="FX55" s="525"/>
      <c r="FY55" s="525"/>
      <c r="FZ55" s="525"/>
      <c r="GA55" s="525"/>
      <c r="GB55" s="525"/>
      <c r="GC55" s="525"/>
      <c r="GD55" s="525"/>
      <c r="GE55" s="525"/>
      <c r="GF55" s="525"/>
      <c r="GG55" s="525"/>
      <c r="GH55" s="525"/>
      <c r="GI55" s="525"/>
      <c r="GJ55" s="525"/>
      <c r="GK55" s="525"/>
      <c r="GL55" s="525"/>
      <c r="GM55" s="525"/>
      <c r="GN55" s="525"/>
      <c r="GO55" s="525"/>
      <c r="GP55" s="525"/>
      <c r="GQ55" s="525"/>
      <c r="GR55" s="525"/>
      <c r="GS55" s="525"/>
      <c r="GT55" s="525"/>
      <c r="GU55" s="525"/>
      <c r="GV55" s="525"/>
      <c r="GW55" s="525"/>
      <c r="GX55" s="525"/>
      <c r="GY55" s="525"/>
      <c r="GZ55" s="525"/>
      <c r="HA55" s="525"/>
      <c r="HB55" s="525"/>
      <c r="HC55" s="525"/>
      <c r="HD55" s="525"/>
      <c r="HE55" s="525"/>
      <c r="HF55" s="525"/>
      <c r="HG55" s="525"/>
      <c r="HH55" s="525"/>
      <c r="HI55" s="525"/>
      <c r="HJ55" s="525"/>
      <c r="HK55" s="525"/>
      <c r="HL55" s="525"/>
      <c r="HM55" s="525"/>
      <c r="HN55" s="525"/>
      <c r="HO55" s="525"/>
      <c r="HP55" s="525"/>
      <c r="HQ55" s="525"/>
      <c r="HR55" s="525"/>
      <c r="HS55" s="525"/>
      <c r="HT55" s="525"/>
      <c r="HU55" s="525"/>
      <c r="HV55" s="525"/>
      <c r="HW55" s="525"/>
      <c r="HX55" s="525"/>
      <c r="HY55" s="525"/>
      <c r="HZ55" s="525"/>
      <c r="IA55" s="525"/>
      <c r="IB55" s="525"/>
      <c r="IC55" s="525"/>
      <c r="ID55" s="525"/>
      <c r="IE55" s="525"/>
      <c r="IF55" s="525"/>
      <c r="IG55" s="525"/>
      <c r="IH55" s="525"/>
      <c r="II55" s="525"/>
      <c r="IJ55" s="525"/>
      <c r="IK55" s="525"/>
    </row>
    <row r="56" spans="1:245" s="976" customFormat="1" ht="20.100000000000001" customHeight="1" x14ac:dyDescent="0.25">
      <c r="A56" s="525"/>
      <c r="B56" s="985"/>
      <c r="C56" s="986"/>
      <c r="D56" s="986"/>
      <c r="E56" s="986"/>
      <c r="F56" s="986"/>
      <c r="G56" s="986"/>
      <c r="H56" s="525"/>
      <c r="I56" s="2605">
        <f t="shared" si="28"/>
        <v>32</v>
      </c>
      <c r="J56" s="2607">
        <f t="shared" si="13"/>
        <v>0</v>
      </c>
      <c r="K56" s="2606">
        <f t="shared" si="38"/>
        <v>0</v>
      </c>
      <c r="L56" s="2608">
        <f t="shared" si="23"/>
        <v>0</v>
      </c>
      <c r="M56" s="2607">
        <f t="shared" si="29"/>
        <v>0</v>
      </c>
      <c r="N56" s="525"/>
      <c r="O56" s="2605">
        <f t="shared" si="30"/>
        <v>32</v>
      </c>
      <c r="P56" s="2607">
        <f t="shared" si="15"/>
        <v>0</v>
      </c>
      <c r="Q56" s="2606">
        <f t="shared" si="39"/>
        <v>0</v>
      </c>
      <c r="R56" s="2608">
        <f t="shared" si="24"/>
        <v>0</v>
      </c>
      <c r="S56" s="2607">
        <f t="shared" si="31"/>
        <v>0</v>
      </c>
      <c r="T56" s="525"/>
      <c r="U56" s="2605">
        <f t="shared" si="32"/>
        <v>32</v>
      </c>
      <c r="V56" s="2607">
        <f t="shared" si="17"/>
        <v>0</v>
      </c>
      <c r="W56" s="2606">
        <f t="shared" si="40"/>
        <v>0</v>
      </c>
      <c r="X56" s="2608">
        <f t="shared" si="25"/>
        <v>0</v>
      </c>
      <c r="Y56" s="2607">
        <f t="shared" si="33"/>
        <v>0</v>
      </c>
      <c r="Z56" s="525"/>
      <c r="AA56" s="2605">
        <f t="shared" si="34"/>
        <v>32</v>
      </c>
      <c r="AB56" s="2607">
        <f t="shared" si="19"/>
        <v>0</v>
      </c>
      <c r="AC56" s="2606">
        <f t="shared" si="41"/>
        <v>0</v>
      </c>
      <c r="AD56" s="2608">
        <f t="shared" si="26"/>
        <v>0</v>
      </c>
      <c r="AE56" s="2607">
        <f t="shared" si="35"/>
        <v>0</v>
      </c>
      <c r="AF56" s="525"/>
      <c r="AG56" s="2605">
        <f t="shared" si="36"/>
        <v>32</v>
      </c>
      <c r="AH56" s="2607">
        <f t="shared" si="21"/>
        <v>0</v>
      </c>
      <c r="AI56" s="2606">
        <f t="shared" si="42"/>
        <v>0</v>
      </c>
      <c r="AJ56" s="2608">
        <f t="shared" si="27"/>
        <v>0</v>
      </c>
      <c r="AK56" s="2607">
        <f t="shared" si="37"/>
        <v>0</v>
      </c>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5"/>
      <c r="BW56" s="525"/>
      <c r="BX56" s="525"/>
      <c r="BY56" s="525"/>
      <c r="BZ56" s="525"/>
      <c r="CA56" s="525"/>
      <c r="CB56" s="525"/>
      <c r="CC56" s="525"/>
      <c r="CD56" s="525"/>
      <c r="CE56" s="525"/>
      <c r="CF56" s="525"/>
      <c r="CG56" s="525"/>
      <c r="CH56" s="525"/>
      <c r="CI56" s="525"/>
      <c r="CJ56" s="525"/>
      <c r="CK56" s="525"/>
      <c r="CL56" s="525"/>
      <c r="CM56" s="525"/>
      <c r="CN56" s="525"/>
      <c r="CO56" s="525"/>
      <c r="CP56" s="525"/>
      <c r="CQ56" s="525"/>
      <c r="CR56" s="525"/>
      <c r="CS56" s="525"/>
      <c r="CT56" s="525"/>
      <c r="CU56" s="525"/>
      <c r="CV56" s="525"/>
      <c r="CW56" s="525"/>
      <c r="CX56" s="525"/>
      <c r="CY56" s="525"/>
      <c r="CZ56" s="525"/>
      <c r="DA56" s="525"/>
      <c r="DB56" s="525"/>
      <c r="DC56" s="525"/>
      <c r="DD56" s="525"/>
      <c r="DE56" s="525"/>
      <c r="DF56" s="525"/>
      <c r="DG56" s="525"/>
      <c r="DH56" s="525"/>
      <c r="DI56" s="525"/>
      <c r="DJ56" s="525"/>
      <c r="DK56" s="525"/>
      <c r="DL56" s="525"/>
      <c r="DM56" s="525"/>
      <c r="DN56" s="525"/>
      <c r="DO56" s="525"/>
      <c r="DP56" s="525"/>
      <c r="DQ56" s="525"/>
      <c r="DR56" s="525"/>
      <c r="DS56" s="525"/>
      <c r="DT56" s="525"/>
      <c r="DU56" s="525"/>
      <c r="DV56" s="525"/>
      <c r="DW56" s="525"/>
      <c r="DX56" s="525"/>
      <c r="DY56" s="525"/>
      <c r="DZ56" s="525"/>
      <c r="EA56" s="525"/>
      <c r="EB56" s="525"/>
      <c r="EC56" s="525"/>
      <c r="ED56" s="525"/>
      <c r="EE56" s="525"/>
      <c r="EF56" s="525"/>
      <c r="EG56" s="525"/>
      <c r="EH56" s="525"/>
      <c r="EI56" s="525"/>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5"/>
      <c r="GU56" s="525"/>
      <c r="GV56" s="525"/>
      <c r="GW56" s="525"/>
      <c r="GX56" s="525"/>
      <c r="GY56" s="525"/>
      <c r="GZ56" s="525"/>
      <c r="HA56" s="525"/>
      <c r="HB56" s="525"/>
      <c r="HC56" s="525"/>
      <c r="HD56" s="525"/>
      <c r="HE56" s="525"/>
      <c r="HF56" s="525"/>
      <c r="HG56" s="525"/>
      <c r="HH56" s="525"/>
      <c r="HI56" s="525"/>
      <c r="HJ56" s="525"/>
      <c r="HK56" s="525"/>
      <c r="HL56" s="525"/>
      <c r="HM56" s="525"/>
      <c r="HN56" s="525"/>
      <c r="HO56" s="525"/>
      <c r="HP56" s="525"/>
      <c r="HQ56" s="525"/>
      <c r="HR56" s="525"/>
      <c r="HS56" s="525"/>
      <c r="HT56" s="525"/>
      <c r="HU56" s="525"/>
      <c r="HV56" s="525"/>
      <c r="HW56" s="525"/>
      <c r="HX56" s="525"/>
      <c r="HY56" s="525"/>
      <c r="HZ56" s="525"/>
      <c r="IA56" s="525"/>
      <c r="IB56" s="525"/>
      <c r="IC56" s="525"/>
      <c r="ID56" s="525"/>
      <c r="IE56" s="525"/>
      <c r="IF56" s="525"/>
      <c r="IG56" s="525"/>
      <c r="IH56" s="525"/>
      <c r="II56" s="525"/>
      <c r="IJ56" s="525"/>
      <c r="IK56" s="525"/>
    </row>
    <row r="57" spans="1:245" s="976" customFormat="1" ht="20.100000000000001" customHeight="1" x14ac:dyDescent="0.25">
      <c r="A57" s="525"/>
      <c r="B57" s="985"/>
      <c r="C57" s="986"/>
      <c r="D57" s="986"/>
      <c r="E57" s="986"/>
      <c r="F57" s="986"/>
      <c r="G57" s="986"/>
      <c r="H57" s="525"/>
      <c r="I57" s="2605">
        <f t="shared" si="28"/>
        <v>33</v>
      </c>
      <c r="J57" s="2607">
        <f t="shared" ref="J57:J88" si="43">ROUND(IF(I57&gt;annuité_emprunt1,0,IF(I57&gt;différé_emprunt1,-PMT((taux_emprunt1/périodicité_emprunt1),(annuité_emprunt1-différé_emprunt1),emprunt1),emprunt1*taux_emprunt1/périodicité_emprunt1)),2)</f>
        <v>0</v>
      </c>
      <c r="K57" s="2606">
        <f t="shared" si="38"/>
        <v>0</v>
      </c>
      <c r="L57" s="2608">
        <f t="shared" si="23"/>
        <v>0</v>
      </c>
      <c r="M57" s="2607">
        <f t="shared" si="29"/>
        <v>0</v>
      </c>
      <c r="N57" s="525"/>
      <c r="O57" s="2605">
        <f t="shared" si="30"/>
        <v>33</v>
      </c>
      <c r="P57" s="2607">
        <f t="shared" ref="P57:P88" si="44">ROUND(IF(O57&gt;annuité_emprunt2,0,IF(O57&gt;différé_emprunt2,-PMT((taux_emprunt2/périodicité_emprunt2),(annuité_emprunt2-différé_emprunt2),emprunt2),emprunt2*taux_emprunt2/périodicité_emprunt2)),2)</f>
        <v>0</v>
      </c>
      <c r="Q57" s="2606">
        <f t="shared" si="39"/>
        <v>0</v>
      </c>
      <c r="R57" s="2608">
        <f t="shared" si="24"/>
        <v>0</v>
      </c>
      <c r="S57" s="2607">
        <f t="shared" si="31"/>
        <v>0</v>
      </c>
      <c r="T57" s="525"/>
      <c r="U57" s="2605">
        <f t="shared" si="32"/>
        <v>33</v>
      </c>
      <c r="V57" s="2607">
        <f t="shared" ref="V57:V88" si="45">ROUND(IF(U57&gt;annuité_emprunt3,0,IF(U57&gt;différé_emprunt3,-PMT((taux_emprunt3/périodicité_emprunt3),(annuité_emprunt3-différé_emprunt3),emprunt3),emprunt3*taux_emprunt3/périodicité_emprunt3)),2)</f>
        <v>0</v>
      </c>
      <c r="W57" s="2606">
        <f t="shared" si="40"/>
        <v>0</v>
      </c>
      <c r="X57" s="2608">
        <f t="shared" si="25"/>
        <v>0</v>
      </c>
      <c r="Y57" s="2607">
        <f t="shared" si="33"/>
        <v>0</v>
      </c>
      <c r="Z57" s="525"/>
      <c r="AA57" s="2605">
        <f t="shared" si="34"/>
        <v>33</v>
      </c>
      <c r="AB57" s="2607">
        <f t="shared" ref="AB57:AB88" si="46">ROUND(IF(AA57&gt;annuité_emprunt4,0,IF(AA57&gt;différé_emprunt4,-PMT((taux_emprunt4/périodicité_emprunt4),(annuité_emprunt4-différé_emprunt4),emprunt4),emprunt4*taux_emprunt4/périodicité_emprunt4)),2)</f>
        <v>0</v>
      </c>
      <c r="AC57" s="2606">
        <f t="shared" si="41"/>
        <v>0</v>
      </c>
      <c r="AD57" s="2608">
        <f t="shared" si="26"/>
        <v>0</v>
      </c>
      <c r="AE57" s="2607">
        <f t="shared" si="35"/>
        <v>0</v>
      </c>
      <c r="AF57" s="525"/>
      <c r="AG57" s="2605">
        <f t="shared" si="36"/>
        <v>33</v>
      </c>
      <c r="AH57" s="2607">
        <f t="shared" ref="AH57:AH88" si="47">ROUND(IF(AG57&gt;annuité_emprunt5,0,IF(AG57&gt;différé_emprunt5,-PMT((taux_emprunt5/périodicité_emprunt5),(annuité_emprunt5-différé_emprunt5),emprunt5),emprunt5*taux_emprunt5/périodicité_emprunt5)),2)</f>
        <v>0</v>
      </c>
      <c r="AI57" s="2606">
        <f t="shared" si="42"/>
        <v>0</v>
      </c>
      <c r="AJ57" s="2608">
        <f t="shared" si="27"/>
        <v>0</v>
      </c>
      <c r="AK57" s="2607">
        <f t="shared" si="37"/>
        <v>0</v>
      </c>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c r="BR57" s="525"/>
      <c r="BS57" s="525"/>
      <c r="BT57" s="525"/>
      <c r="BU57" s="525"/>
      <c r="BV57" s="525"/>
      <c r="BW57" s="525"/>
      <c r="BX57" s="525"/>
      <c r="BY57" s="525"/>
      <c r="BZ57" s="525"/>
      <c r="CA57" s="525"/>
      <c r="CB57" s="525"/>
      <c r="CC57" s="525"/>
      <c r="CD57" s="525"/>
      <c r="CE57" s="525"/>
      <c r="CF57" s="525"/>
      <c r="CG57" s="525"/>
      <c r="CH57" s="525"/>
      <c r="CI57" s="525"/>
      <c r="CJ57" s="525"/>
      <c r="CK57" s="525"/>
      <c r="CL57" s="525"/>
      <c r="CM57" s="525"/>
      <c r="CN57" s="525"/>
      <c r="CO57" s="525"/>
      <c r="CP57" s="525"/>
      <c r="CQ57" s="525"/>
      <c r="CR57" s="525"/>
      <c r="CS57" s="525"/>
      <c r="CT57" s="525"/>
      <c r="CU57" s="525"/>
      <c r="CV57" s="525"/>
      <c r="CW57" s="525"/>
      <c r="CX57" s="525"/>
      <c r="CY57" s="525"/>
      <c r="CZ57" s="525"/>
      <c r="DA57" s="525"/>
      <c r="DB57" s="525"/>
      <c r="DC57" s="525"/>
      <c r="DD57" s="525"/>
      <c r="DE57" s="525"/>
      <c r="DF57" s="525"/>
      <c r="DG57" s="525"/>
      <c r="DH57" s="525"/>
      <c r="DI57" s="525"/>
      <c r="DJ57" s="525"/>
      <c r="DK57" s="525"/>
      <c r="DL57" s="525"/>
      <c r="DM57" s="525"/>
      <c r="DN57" s="525"/>
      <c r="DO57" s="525"/>
      <c r="DP57" s="525"/>
      <c r="DQ57" s="525"/>
      <c r="DR57" s="525"/>
      <c r="DS57" s="525"/>
      <c r="DT57" s="525"/>
      <c r="DU57" s="525"/>
      <c r="DV57" s="525"/>
      <c r="DW57" s="525"/>
      <c r="DX57" s="525"/>
      <c r="DY57" s="525"/>
      <c r="DZ57" s="525"/>
      <c r="EA57" s="525"/>
      <c r="EB57" s="525"/>
      <c r="EC57" s="525"/>
      <c r="ED57" s="525"/>
      <c r="EE57" s="525"/>
      <c r="EF57" s="525"/>
      <c r="EG57" s="525"/>
      <c r="EH57" s="525"/>
      <c r="EI57" s="525"/>
      <c r="EJ57" s="525"/>
      <c r="EK57" s="525"/>
      <c r="EL57" s="525"/>
      <c r="EM57" s="525"/>
      <c r="EN57" s="525"/>
      <c r="EO57" s="525"/>
      <c r="EP57" s="525"/>
      <c r="EQ57" s="525"/>
      <c r="ER57" s="525"/>
      <c r="ES57" s="525"/>
      <c r="ET57" s="525"/>
      <c r="EU57" s="525"/>
      <c r="EV57" s="525"/>
      <c r="EW57" s="525"/>
      <c r="EX57" s="525"/>
      <c r="EY57" s="525"/>
      <c r="EZ57" s="525"/>
      <c r="FA57" s="525"/>
      <c r="FB57" s="525"/>
      <c r="FC57" s="525"/>
      <c r="FD57" s="525"/>
      <c r="FE57" s="525"/>
      <c r="FF57" s="525"/>
      <c r="FG57" s="525"/>
      <c r="FH57" s="525"/>
      <c r="FI57" s="525"/>
      <c r="FJ57" s="525"/>
      <c r="FK57" s="525"/>
      <c r="FL57" s="525"/>
      <c r="FM57" s="525"/>
      <c r="FN57" s="525"/>
      <c r="FO57" s="525"/>
      <c r="FP57" s="525"/>
      <c r="FQ57" s="525"/>
      <c r="FR57" s="525"/>
      <c r="FS57" s="525"/>
      <c r="FT57" s="525"/>
      <c r="FU57" s="525"/>
      <c r="FV57" s="525"/>
      <c r="FW57" s="525"/>
      <c r="FX57" s="525"/>
      <c r="FY57" s="525"/>
      <c r="FZ57" s="525"/>
      <c r="GA57" s="525"/>
      <c r="GB57" s="525"/>
      <c r="GC57" s="525"/>
      <c r="GD57" s="525"/>
      <c r="GE57" s="525"/>
      <c r="GF57" s="525"/>
      <c r="GG57" s="525"/>
      <c r="GH57" s="525"/>
      <c r="GI57" s="525"/>
      <c r="GJ57" s="525"/>
      <c r="GK57" s="525"/>
      <c r="GL57" s="525"/>
      <c r="GM57" s="525"/>
      <c r="GN57" s="525"/>
      <c r="GO57" s="525"/>
      <c r="GP57" s="525"/>
      <c r="GQ57" s="525"/>
      <c r="GR57" s="525"/>
      <c r="GS57" s="525"/>
      <c r="GT57" s="525"/>
      <c r="GU57" s="525"/>
      <c r="GV57" s="525"/>
      <c r="GW57" s="525"/>
      <c r="GX57" s="525"/>
      <c r="GY57" s="525"/>
      <c r="GZ57" s="525"/>
      <c r="HA57" s="525"/>
      <c r="HB57" s="525"/>
      <c r="HC57" s="525"/>
      <c r="HD57" s="525"/>
      <c r="HE57" s="525"/>
      <c r="HF57" s="525"/>
      <c r="HG57" s="525"/>
      <c r="HH57" s="525"/>
      <c r="HI57" s="525"/>
      <c r="HJ57" s="525"/>
      <c r="HK57" s="525"/>
      <c r="HL57" s="525"/>
      <c r="HM57" s="525"/>
      <c r="HN57" s="525"/>
      <c r="HO57" s="525"/>
      <c r="HP57" s="525"/>
      <c r="HQ57" s="525"/>
      <c r="HR57" s="525"/>
      <c r="HS57" s="525"/>
      <c r="HT57" s="525"/>
      <c r="HU57" s="525"/>
      <c r="HV57" s="525"/>
      <c r="HW57" s="525"/>
      <c r="HX57" s="525"/>
      <c r="HY57" s="525"/>
      <c r="HZ57" s="525"/>
      <c r="IA57" s="525"/>
      <c r="IB57" s="525"/>
      <c r="IC57" s="525"/>
      <c r="ID57" s="525"/>
      <c r="IE57" s="525"/>
      <c r="IF57" s="525"/>
      <c r="IG57" s="525"/>
      <c r="IH57" s="525"/>
      <c r="II57" s="525"/>
      <c r="IJ57" s="525"/>
      <c r="IK57" s="525"/>
    </row>
    <row r="58" spans="1:245" s="976" customFormat="1" ht="20.100000000000001" customHeight="1" x14ac:dyDescent="0.25">
      <c r="A58" s="525"/>
      <c r="B58" s="985"/>
      <c r="C58" s="986"/>
      <c r="D58" s="986"/>
      <c r="E58" s="986"/>
      <c r="F58" s="986"/>
      <c r="G58" s="986"/>
      <c r="H58" s="525"/>
      <c r="I58" s="2605">
        <f t="shared" si="28"/>
        <v>34</v>
      </c>
      <c r="J58" s="2607">
        <f t="shared" si="43"/>
        <v>0</v>
      </c>
      <c r="K58" s="2606">
        <f t="shared" si="38"/>
        <v>0</v>
      </c>
      <c r="L58" s="2608">
        <f t="shared" ref="L58:L89" si="48">ROUND(IF(J58=0,0,IF(I58=annuité_emprunt1,M57,IF(I58&gt;différé_emprunt1,-PPMT((taux_emprunt1/périodicité_emprunt1),I58-différé_emprunt1,(annuité_emprunt1-différé_emprunt1),emprunt1),0))),2)</f>
        <v>0</v>
      </c>
      <c r="M58" s="2607">
        <f t="shared" si="29"/>
        <v>0</v>
      </c>
      <c r="N58" s="525"/>
      <c r="O58" s="2605">
        <f t="shared" si="30"/>
        <v>34</v>
      </c>
      <c r="P58" s="2607">
        <f t="shared" si="44"/>
        <v>0</v>
      </c>
      <c r="Q58" s="2606">
        <f t="shared" si="39"/>
        <v>0</v>
      </c>
      <c r="R58" s="2608">
        <f t="shared" ref="R58:R89" si="49">ROUND(IF(P58=0,0,IF(O58=annuité_emprunt2,S57,IF(O58&gt;différé_emprunt2,-PPMT((taux_emprunt2/périodicité_emprunt2),O58-différé_emprunt2,(annuité_emprunt2-différé_emprunt2),emprunt2),0))),2)</f>
        <v>0</v>
      </c>
      <c r="S58" s="2607">
        <f t="shared" si="31"/>
        <v>0</v>
      </c>
      <c r="T58" s="525"/>
      <c r="U58" s="2605">
        <f t="shared" si="32"/>
        <v>34</v>
      </c>
      <c r="V58" s="2607">
        <f t="shared" si="45"/>
        <v>0</v>
      </c>
      <c r="W58" s="2606">
        <f t="shared" si="40"/>
        <v>0</v>
      </c>
      <c r="X58" s="2608">
        <f t="shared" ref="X58:X89" si="50">ROUND(IF(V58=0,0,IF(U58=annuité_emprunt3,Y57,IF(U58&gt;différé_emprunt3,-PPMT((taux_emprunt3/périodicité_emprunt3),U58-différé_emprunt3,(annuité_emprunt3-différé_emprunt3),emprunt3),0))),2)</f>
        <v>0</v>
      </c>
      <c r="Y58" s="2607">
        <f t="shared" si="33"/>
        <v>0</v>
      </c>
      <c r="Z58" s="525"/>
      <c r="AA58" s="2605">
        <f t="shared" si="34"/>
        <v>34</v>
      </c>
      <c r="AB58" s="2607">
        <f t="shared" si="46"/>
        <v>0</v>
      </c>
      <c r="AC58" s="2606">
        <f t="shared" si="41"/>
        <v>0</v>
      </c>
      <c r="AD58" s="2608">
        <f t="shared" ref="AD58:AD89" si="51">ROUND(IF(AB58=0,0,IF(AA58=annuité_emprunt4,AE57,IF(AA58&gt;différé_emprunt4,-PPMT((taux_emprunt4/périodicité_emprunt4),AA58-différé_emprunt4,(annuité_emprunt4-différé_emprunt4),emprunt4),0))),2)</f>
        <v>0</v>
      </c>
      <c r="AE58" s="2607">
        <f t="shared" si="35"/>
        <v>0</v>
      </c>
      <c r="AF58" s="525"/>
      <c r="AG58" s="2605">
        <f t="shared" si="36"/>
        <v>34</v>
      </c>
      <c r="AH58" s="2607">
        <f t="shared" si="47"/>
        <v>0</v>
      </c>
      <c r="AI58" s="2606">
        <f t="shared" si="42"/>
        <v>0</v>
      </c>
      <c r="AJ58" s="2608">
        <f t="shared" ref="AJ58:AJ89" si="52">ROUND(IF(AH58=0,0,IF(AG58=annuité_emprunt5,AK57,IF(AG58&gt;différé_emprunt5,-PPMT((taux_emprunt5/périodicité_emprunt5),AG58-différé_emprunt5,(annuité_emprunt5-différé_emprunt5),emprunt5),0))),2)</f>
        <v>0</v>
      </c>
      <c r="AK58" s="2607">
        <f t="shared" si="37"/>
        <v>0</v>
      </c>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5"/>
      <c r="BR58" s="525"/>
      <c r="BS58" s="525"/>
      <c r="BT58" s="525"/>
      <c r="BU58" s="525"/>
      <c r="BV58" s="525"/>
      <c r="BW58" s="525"/>
      <c r="BX58" s="525"/>
      <c r="BY58" s="525"/>
      <c r="BZ58" s="525"/>
      <c r="CA58" s="525"/>
      <c r="CB58" s="525"/>
      <c r="CC58" s="525"/>
      <c r="CD58" s="525"/>
      <c r="CE58" s="525"/>
      <c r="CF58" s="525"/>
      <c r="CG58" s="525"/>
      <c r="CH58" s="525"/>
      <c r="CI58" s="525"/>
      <c r="CJ58" s="525"/>
      <c r="CK58" s="525"/>
      <c r="CL58" s="525"/>
      <c r="CM58" s="525"/>
      <c r="CN58" s="525"/>
      <c r="CO58" s="525"/>
      <c r="CP58" s="525"/>
      <c r="CQ58" s="525"/>
      <c r="CR58" s="525"/>
      <c r="CS58" s="525"/>
      <c r="CT58" s="525"/>
      <c r="CU58" s="525"/>
      <c r="CV58" s="525"/>
      <c r="CW58" s="525"/>
      <c r="CX58" s="525"/>
      <c r="CY58" s="525"/>
      <c r="CZ58" s="525"/>
      <c r="DA58" s="525"/>
      <c r="DB58" s="525"/>
      <c r="DC58" s="525"/>
      <c r="DD58" s="525"/>
      <c r="DE58" s="525"/>
      <c r="DF58" s="525"/>
      <c r="DG58" s="525"/>
      <c r="DH58" s="525"/>
      <c r="DI58" s="525"/>
      <c r="DJ58" s="525"/>
      <c r="DK58" s="525"/>
      <c r="DL58" s="525"/>
      <c r="DM58" s="525"/>
      <c r="DN58" s="525"/>
      <c r="DO58" s="525"/>
      <c r="DP58" s="525"/>
      <c r="DQ58" s="525"/>
      <c r="DR58" s="525"/>
      <c r="DS58" s="525"/>
      <c r="DT58" s="525"/>
      <c r="DU58" s="525"/>
      <c r="DV58" s="525"/>
      <c r="DW58" s="525"/>
      <c r="DX58" s="525"/>
      <c r="DY58" s="525"/>
      <c r="DZ58" s="525"/>
      <c r="EA58" s="525"/>
      <c r="EB58" s="525"/>
      <c r="EC58" s="525"/>
      <c r="ED58" s="525"/>
      <c r="EE58" s="525"/>
      <c r="EF58" s="525"/>
      <c r="EG58" s="525"/>
      <c r="EH58" s="525"/>
      <c r="EI58" s="525"/>
      <c r="EJ58" s="525"/>
      <c r="EK58" s="525"/>
      <c r="EL58" s="525"/>
      <c r="EM58" s="525"/>
      <c r="EN58" s="525"/>
      <c r="EO58" s="525"/>
      <c r="EP58" s="525"/>
      <c r="EQ58" s="525"/>
      <c r="ER58" s="525"/>
      <c r="ES58" s="525"/>
      <c r="ET58" s="525"/>
      <c r="EU58" s="525"/>
      <c r="EV58" s="525"/>
      <c r="EW58" s="525"/>
      <c r="EX58" s="525"/>
      <c r="EY58" s="525"/>
      <c r="EZ58" s="525"/>
      <c r="FA58" s="525"/>
      <c r="FB58" s="525"/>
      <c r="FC58" s="525"/>
      <c r="FD58" s="525"/>
      <c r="FE58" s="525"/>
      <c r="FF58" s="525"/>
      <c r="FG58" s="525"/>
      <c r="FH58" s="525"/>
      <c r="FI58" s="525"/>
      <c r="FJ58" s="525"/>
      <c r="FK58" s="525"/>
      <c r="FL58" s="525"/>
      <c r="FM58" s="525"/>
      <c r="FN58" s="525"/>
      <c r="FO58" s="525"/>
      <c r="FP58" s="525"/>
      <c r="FQ58" s="525"/>
      <c r="FR58" s="525"/>
      <c r="FS58" s="525"/>
      <c r="FT58" s="525"/>
      <c r="FU58" s="525"/>
      <c r="FV58" s="525"/>
      <c r="FW58" s="525"/>
      <c r="FX58" s="525"/>
      <c r="FY58" s="525"/>
      <c r="FZ58" s="525"/>
      <c r="GA58" s="525"/>
      <c r="GB58" s="525"/>
      <c r="GC58" s="525"/>
      <c r="GD58" s="525"/>
      <c r="GE58" s="525"/>
      <c r="GF58" s="525"/>
      <c r="GG58" s="525"/>
      <c r="GH58" s="525"/>
      <c r="GI58" s="525"/>
      <c r="GJ58" s="525"/>
      <c r="GK58" s="525"/>
      <c r="GL58" s="525"/>
      <c r="GM58" s="525"/>
      <c r="GN58" s="525"/>
      <c r="GO58" s="525"/>
      <c r="GP58" s="525"/>
      <c r="GQ58" s="525"/>
      <c r="GR58" s="525"/>
      <c r="GS58" s="525"/>
      <c r="GT58" s="525"/>
      <c r="GU58" s="525"/>
      <c r="GV58" s="525"/>
      <c r="GW58" s="525"/>
      <c r="GX58" s="525"/>
      <c r="GY58" s="525"/>
      <c r="GZ58" s="525"/>
      <c r="HA58" s="525"/>
      <c r="HB58" s="525"/>
      <c r="HC58" s="525"/>
      <c r="HD58" s="525"/>
      <c r="HE58" s="525"/>
      <c r="HF58" s="525"/>
      <c r="HG58" s="525"/>
      <c r="HH58" s="525"/>
      <c r="HI58" s="525"/>
      <c r="HJ58" s="525"/>
      <c r="HK58" s="525"/>
      <c r="HL58" s="525"/>
      <c r="HM58" s="525"/>
      <c r="HN58" s="525"/>
      <c r="HO58" s="525"/>
      <c r="HP58" s="525"/>
      <c r="HQ58" s="525"/>
      <c r="HR58" s="525"/>
      <c r="HS58" s="525"/>
      <c r="HT58" s="525"/>
      <c r="HU58" s="525"/>
      <c r="HV58" s="525"/>
      <c r="HW58" s="525"/>
      <c r="HX58" s="525"/>
      <c r="HY58" s="525"/>
      <c r="HZ58" s="525"/>
      <c r="IA58" s="525"/>
      <c r="IB58" s="525"/>
      <c r="IC58" s="525"/>
      <c r="ID58" s="525"/>
      <c r="IE58" s="525"/>
      <c r="IF58" s="525"/>
      <c r="IG58" s="525"/>
      <c r="IH58" s="525"/>
      <c r="II58" s="525"/>
      <c r="IJ58" s="525"/>
      <c r="IK58" s="525"/>
    </row>
    <row r="59" spans="1:245" s="976" customFormat="1" ht="20.100000000000001" customHeight="1" x14ac:dyDescent="0.25">
      <c r="A59" s="525"/>
      <c r="B59" s="985"/>
      <c r="C59" s="986"/>
      <c r="D59" s="986"/>
      <c r="E59" s="986"/>
      <c r="F59" s="986"/>
      <c r="G59" s="986"/>
      <c r="H59" s="525"/>
      <c r="I59" s="2605">
        <f t="shared" si="28"/>
        <v>35</v>
      </c>
      <c r="J59" s="2607">
        <f t="shared" si="43"/>
        <v>0</v>
      </c>
      <c r="K59" s="2606">
        <f t="shared" si="38"/>
        <v>0</v>
      </c>
      <c r="L59" s="2608">
        <f t="shared" si="48"/>
        <v>0</v>
      </c>
      <c r="M59" s="2607">
        <f t="shared" si="29"/>
        <v>0</v>
      </c>
      <c r="N59" s="525"/>
      <c r="O59" s="2605">
        <f t="shared" si="30"/>
        <v>35</v>
      </c>
      <c r="P59" s="2607">
        <f t="shared" si="44"/>
        <v>0</v>
      </c>
      <c r="Q59" s="2606">
        <f t="shared" si="39"/>
        <v>0</v>
      </c>
      <c r="R59" s="2608">
        <f t="shared" si="49"/>
        <v>0</v>
      </c>
      <c r="S59" s="2607">
        <f t="shared" si="31"/>
        <v>0</v>
      </c>
      <c r="T59" s="525"/>
      <c r="U59" s="2605">
        <f t="shared" si="32"/>
        <v>35</v>
      </c>
      <c r="V59" s="2607">
        <f t="shared" si="45"/>
        <v>0</v>
      </c>
      <c r="W59" s="2606">
        <f t="shared" si="40"/>
        <v>0</v>
      </c>
      <c r="X59" s="2608">
        <f t="shared" si="50"/>
        <v>0</v>
      </c>
      <c r="Y59" s="2607">
        <f t="shared" si="33"/>
        <v>0</v>
      </c>
      <c r="Z59" s="525"/>
      <c r="AA59" s="2605">
        <f t="shared" si="34"/>
        <v>35</v>
      </c>
      <c r="AB59" s="2607">
        <f t="shared" si="46"/>
        <v>0</v>
      </c>
      <c r="AC59" s="2606">
        <f t="shared" si="41"/>
        <v>0</v>
      </c>
      <c r="AD59" s="2608">
        <f t="shared" si="51"/>
        <v>0</v>
      </c>
      <c r="AE59" s="2607">
        <f t="shared" si="35"/>
        <v>0</v>
      </c>
      <c r="AF59" s="525"/>
      <c r="AG59" s="2605">
        <f t="shared" si="36"/>
        <v>35</v>
      </c>
      <c r="AH59" s="2607">
        <f t="shared" si="47"/>
        <v>0</v>
      </c>
      <c r="AI59" s="2606">
        <f t="shared" si="42"/>
        <v>0</v>
      </c>
      <c r="AJ59" s="2608">
        <f t="shared" si="52"/>
        <v>0</v>
      </c>
      <c r="AK59" s="2607">
        <f t="shared" si="37"/>
        <v>0</v>
      </c>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5"/>
      <c r="BH59" s="525"/>
      <c r="BI59" s="525"/>
      <c r="BJ59" s="525"/>
      <c r="BK59" s="525"/>
      <c r="BL59" s="525"/>
      <c r="BM59" s="525"/>
      <c r="BN59" s="525"/>
      <c r="BO59" s="525"/>
      <c r="BP59" s="525"/>
      <c r="BQ59" s="525"/>
      <c r="BR59" s="525"/>
      <c r="BS59" s="525"/>
      <c r="BT59" s="525"/>
      <c r="BU59" s="525"/>
      <c r="BV59" s="525"/>
      <c r="BW59" s="525"/>
      <c r="BX59" s="525"/>
      <c r="BY59" s="525"/>
      <c r="BZ59" s="525"/>
      <c r="CA59" s="525"/>
      <c r="CB59" s="525"/>
      <c r="CC59" s="525"/>
      <c r="CD59" s="525"/>
      <c r="CE59" s="525"/>
      <c r="CF59" s="525"/>
      <c r="CG59" s="525"/>
      <c r="CH59" s="525"/>
      <c r="CI59" s="525"/>
      <c r="CJ59" s="525"/>
      <c r="CK59" s="525"/>
      <c r="CL59" s="525"/>
      <c r="CM59" s="525"/>
      <c r="CN59" s="525"/>
      <c r="CO59" s="525"/>
      <c r="CP59" s="525"/>
      <c r="CQ59" s="525"/>
      <c r="CR59" s="525"/>
      <c r="CS59" s="525"/>
      <c r="CT59" s="525"/>
      <c r="CU59" s="525"/>
      <c r="CV59" s="525"/>
      <c r="CW59" s="525"/>
      <c r="CX59" s="525"/>
      <c r="CY59" s="525"/>
      <c r="CZ59" s="525"/>
      <c r="DA59" s="525"/>
      <c r="DB59" s="525"/>
      <c r="DC59" s="525"/>
      <c r="DD59" s="525"/>
      <c r="DE59" s="525"/>
      <c r="DF59" s="525"/>
      <c r="DG59" s="525"/>
      <c r="DH59" s="525"/>
      <c r="DI59" s="525"/>
      <c r="DJ59" s="525"/>
      <c r="DK59" s="525"/>
      <c r="DL59" s="525"/>
      <c r="DM59" s="525"/>
      <c r="DN59" s="525"/>
      <c r="DO59" s="525"/>
      <c r="DP59" s="525"/>
      <c r="DQ59" s="525"/>
      <c r="DR59" s="525"/>
      <c r="DS59" s="525"/>
      <c r="DT59" s="525"/>
      <c r="DU59" s="525"/>
      <c r="DV59" s="525"/>
      <c r="DW59" s="525"/>
      <c r="DX59" s="525"/>
      <c r="DY59" s="525"/>
      <c r="DZ59" s="525"/>
      <c r="EA59" s="525"/>
      <c r="EB59" s="525"/>
      <c r="EC59" s="525"/>
      <c r="ED59" s="525"/>
      <c r="EE59" s="525"/>
      <c r="EF59" s="525"/>
      <c r="EG59" s="525"/>
      <c r="EH59" s="525"/>
      <c r="EI59" s="525"/>
      <c r="EJ59" s="525"/>
      <c r="EK59" s="525"/>
      <c r="EL59" s="525"/>
      <c r="EM59" s="525"/>
      <c r="EN59" s="525"/>
      <c r="EO59" s="525"/>
      <c r="EP59" s="525"/>
      <c r="EQ59" s="525"/>
      <c r="ER59" s="525"/>
      <c r="ES59" s="525"/>
      <c r="ET59" s="525"/>
      <c r="EU59" s="525"/>
      <c r="EV59" s="525"/>
      <c r="EW59" s="525"/>
      <c r="EX59" s="525"/>
      <c r="EY59" s="525"/>
      <c r="EZ59" s="525"/>
      <c r="FA59" s="525"/>
      <c r="FB59" s="525"/>
      <c r="FC59" s="525"/>
      <c r="FD59" s="525"/>
      <c r="FE59" s="525"/>
      <c r="FF59" s="525"/>
      <c r="FG59" s="525"/>
      <c r="FH59" s="525"/>
      <c r="FI59" s="525"/>
      <c r="FJ59" s="525"/>
      <c r="FK59" s="525"/>
      <c r="FL59" s="525"/>
      <c r="FM59" s="525"/>
      <c r="FN59" s="525"/>
      <c r="FO59" s="525"/>
      <c r="FP59" s="525"/>
      <c r="FQ59" s="525"/>
      <c r="FR59" s="525"/>
      <c r="FS59" s="525"/>
      <c r="FT59" s="525"/>
      <c r="FU59" s="525"/>
      <c r="FV59" s="525"/>
      <c r="FW59" s="525"/>
      <c r="FX59" s="525"/>
      <c r="FY59" s="525"/>
      <c r="FZ59" s="525"/>
      <c r="GA59" s="525"/>
      <c r="GB59" s="525"/>
      <c r="GC59" s="525"/>
      <c r="GD59" s="525"/>
      <c r="GE59" s="525"/>
      <c r="GF59" s="525"/>
      <c r="GG59" s="525"/>
      <c r="GH59" s="525"/>
      <c r="GI59" s="525"/>
      <c r="GJ59" s="525"/>
      <c r="GK59" s="525"/>
      <c r="GL59" s="525"/>
      <c r="GM59" s="525"/>
      <c r="GN59" s="525"/>
      <c r="GO59" s="525"/>
      <c r="GP59" s="525"/>
      <c r="GQ59" s="525"/>
      <c r="GR59" s="525"/>
      <c r="GS59" s="525"/>
      <c r="GT59" s="525"/>
      <c r="GU59" s="525"/>
      <c r="GV59" s="525"/>
      <c r="GW59" s="525"/>
      <c r="GX59" s="525"/>
      <c r="GY59" s="525"/>
      <c r="GZ59" s="525"/>
      <c r="HA59" s="525"/>
      <c r="HB59" s="525"/>
      <c r="HC59" s="525"/>
      <c r="HD59" s="525"/>
      <c r="HE59" s="525"/>
      <c r="HF59" s="525"/>
      <c r="HG59" s="525"/>
      <c r="HH59" s="525"/>
      <c r="HI59" s="525"/>
      <c r="HJ59" s="525"/>
      <c r="HK59" s="525"/>
      <c r="HL59" s="525"/>
      <c r="HM59" s="525"/>
      <c r="HN59" s="525"/>
      <c r="HO59" s="525"/>
      <c r="HP59" s="525"/>
      <c r="HQ59" s="525"/>
      <c r="HR59" s="525"/>
      <c r="HS59" s="525"/>
      <c r="HT59" s="525"/>
      <c r="HU59" s="525"/>
      <c r="HV59" s="525"/>
      <c r="HW59" s="525"/>
      <c r="HX59" s="525"/>
      <c r="HY59" s="525"/>
      <c r="HZ59" s="525"/>
      <c r="IA59" s="525"/>
      <c r="IB59" s="525"/>
      <c r="IC59" s="525"/>
      <c r="ID59" s="525"/>
      <c r="IE59" s="525"/>
      <c r="IF59" s="525"/>
      <c r="IG59" s="525"/>
      <c r="IH59" s="525"/>
      <c r="II59" s="525"/>
      <c r="IJ59" s="525"/>
      <c r="IK59" s="525"/>
    </row>
    <row r="60" spans="1:245" s="976" customFormat="1" ht="20.100000000000001" customHeight="1" x14ac:dyDescent="0.25">
      <c r="A60" s="525"/>
      <c r="B60" s="985"/>
      <c r="C60" s="986"/>
      <c r="D60" s="986"/>
      <c r="E60" s="986"/>
      <c r="F60" s="986"/>
      <c r="G60" s="986"/>
      <c r="H60" s="525"/>
      <c r="I60" s="2605">
        <f t="shared" si="28"/>
        <v>36</v>
      </c>
      <c r="J60" s="2607">
        <f t="shared" si="43"/>
        <v>0</v>
      </c>
      <c r="K60" s="2606">
        <f t="shared" si="38"/>
        <v>0</v>
      </c>
      <c r="L60" s="2608">
        <f t="shared" si="48"/>
        <v>0</v>
      </c>
      <c r="M60" s="2607">
        <f t="shared" si="29"/>
        <v>0</v>
      </c>
      <c r="N60" s="525"/>
      <c r="O60" s="2605">
        <f t="shared" si="30"/>
        <v>36</v>
      </c>
      <c r="P60" s="2607">
        <f t="shared" si="44"/>
        <v>0</v>
      </c>
      <c r="Q60" s="2606">
        <f t="shared" si="39"/>
        <v>0</v>
      </c>
      <c r="R60" s="2608">
        <f t="shared" si="49"/>
        <v>0</v>
      </c>
      <c r="S60" s="2607">
        <f t="shared" si="31"/>
        <v>0</v>
      </c>
      <c r="T60" s="525"/>
      <c r="U60" s="2605">
        <f t="shared" si="32"/>
        <v>36</v>
      </c>
      <c r="V60" s="2607">
        <f t="shared" si="45"/>
        <v>0</v>
      </c>
      <c r="W60" s="2606">
        <f t="shared" si="40"/>
        <v>0</v>
      </c>
      <c r="X60" s="2608">
        <f t="shared" si="50"/>
        <v>0</v>
      </c>
      <c r="Y60" s="2607">
        <f t="shared" si="33"/>
        <v>0</v>
      </c>
      <c r="Z60" s="525"/>
      <c r="AA60" s="2605">
        <f t="shared" si="34"/>
        <v>36</v>
      </c>
      <c r="AB60" s="2607">
        <f t="shared" si="46"/>
        <v>0</v>
      </c>
      <c r="AC60" s="2606">
        <f t="shared" si="41"/>
        <v>0</v>
      </c>
      <c r="AD60" s="2608">
        <f t="shared" si="51"/>
        <v>0</v>
      </c>
      <c r="AE60" s="2607">
        <f t="shared" si="35"/>
        <v>0</v>
      </c>
      <c r="AF60" s="525"/>
      <c r="AG60" s="2605">
        <f t="shared" si="36"/>
        <v>36</v>
      </c>
      <c r="AH60" s="2607">
        <f t="shared" si="47"/>
        <v>0</v>
      </c>
      <c r="AI60" s="2606">
        <f t="shared" si="42"/>
        <v>0</v>
      </c>
      <c r="AJ60" s="2608">
        <f t="shared" si="52"/>
        <v>0</v>
      </c>
      <c r="AK60" s="2607">
        <f t="shared" si="37"/>
        <v>0</v>
      </c>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5"/>
      <c r="BH60" s="525"/>
      <c r="BI60" s="525"/>
      <c r="BJ60" s="525"/>
      <c r="BK60" s="525"/>
      <c r="BL60" s="525"/>
      <c r="BM60" s="525"/>
      <c r="BN60" s="525"/>
      <c r="BO60" s="525"/>
      <c r="BP60" s="525"/>
      <c r="BQ60" s="525"/>
      <c r="BR60" s="525"/>
      <c r="BS60" s="525"/>
      <c r="BT60" s="525"/>
      <c r="BU60" s="525"/>
      <c r="BV60" s="525"/>
      <c r="BW60" s="525"/>
      <c r="BX60" s="525"/>
      <c r="BY60" s="525"/>
      <c r="BZ60" s="525"/>
      <c r="CA60" s="525"/>
      <c r="CB60" s="525"/>
      <c r="CC60" s="525"/>
      <c r="CD60" s="525"/>
      <c r="CE60" s="525"/>
      <c r="CF60" s="525"/>
      <c r="CG60" s="525"/>
      <c r="CH60" s="525"/>
      <c r="CI60" s="525"/>
      <c r="CJ60" s="525"/>
      <c r="CK60" s="525"/>
      <c r="CL60" s="525"/>
      <c r="CM60" s="525"/>
      <c r="CN60" s="525"/>
      <c r="CO60" s="525"/>
      <c r="CP60" s="525"/>
      <c r="CQ60" s="525"/>
      <c r="CR60" s="525"/>
      <c r="CS60" s="525"/>
      <c r="CT60" s="525"/>
      <c r="CU60" s="525"/>
      <c r="CV60" s="525"/>
      <c r="CW60" s="525"/>
      <c r="CX60" s="525"/>
      <c r="CY60" s="525"/>
      <c r="CZ60" s="525"/>
      <c r="DA60" s="525"/>
      <c r="DB60" s="525"/>
      <c r="DC60" s="525"/>
      <c r="DD60" s="525"/>
      <c r="DE60" s="525"/>
      <c r="DF60" s="525"/>
      <c r="DG60" s="525"/>
      <c r="DH60" s="525"/>
      <c r="DI60" s="525"/>
      <c r="DJ60" s="525"/>
      <c r="DK60" s="525"/>
      <c r="DL60" s="525"/>
      <c r="DM60" s="525"/>
      <c r="DN60" s="525"/>
      <c r="DO60" s="525"/>
      <c r="DP60" s="525"/>
      <c r="DQ60" s="525"/>
      <c r="DR60" s="525"/>
      <c r="DS60" s="525"/>
      <c r="DT60" s="525"/>
      <c r="DU60" s="525"/>
      <c r="DV60" s="525"/>
      <c r="DW60" s="525"/>
      <c r="DX60" s="525"/>
      <c r="DY60" s="525"/>
      <c r="DZ60" s="525"/>
      <c r="EA60" s="525"/>
      <c r="EB60" s="525"/>
      <c r="EC60" s="525"/>
      <c r="ED60" s="525"/>
      <c r="EE60" s="525"/>
      <c r="EF60" s="525"/>
      <c r="EG60" s="525"/>
      <c r="EH60" s="525"/>
      <c r="EI60" s="525"/>
      <c r="EJ60" s="525"/>
      <c r="EK60" s="525"/>
      <c r="EL60" s="525"/>
      <c r="EM60" s="525"/>
      <c r="EN60" s="525"/>
      <c r="EO60" s="525"/>
      <c r="EP60" s="525"/>
      <c r="EQ60" s="525"/>
      <c r="ER60" s="525"/>
      <c r="ES60" s="525"/>
      <c r="ET60" s="525"/>
      <c r="EU60" s="525"/>
      <c r="EV60" s="525"/>
      <c r="EW60" s="525"/>
      <c r="EX60" s="525"/>
      <c r="EY60" s="525"/>
      <c r="EZ60" s="525"/>
      <c r="FA60" s="525"/>
      <c r="FB60" s="525"/>
      <c r="FC60" s="525"/>
      <c r="FD60" s="525"/>
      <c r="FE60" s="525"/>
      <c r="FF60" s="525"/>
      <c r="FG60" s="525"/>
      <c r="FH60" s="525"/>
      <c r="FI60" s="525"/>
      <c r="FJ60" s="525"/>
      <c r="FK60" s="525"/>
      <c r="FL60" s="525"/>
      <c r="FM60" s="525"/>
      <c r="FN60" s="525"/>
      <c r="FO60" s="525"/>
      <c r="FP60" s="525"/>
      <c r="FQ60" s="525"/>
      <c r="FR60" s="525"/>
      <c r="FS60" s="525"/>
      <c r="FT60" s="525"/>
      <c r="FU60" s="525"/>
      <c r="FV60" s="525"/>
      <c r="FW60" s="525"/>
      <c r="FX60" s="525"/>
      <c r="FY60" s="525"/>
      <c r="FZ60" s="525"/>
      <c r="GA60" s="525"/>
      <c r="GB60" s="525"/>
      <c r="GC60" s="525"/>
      <c r="GD60" s="525"/>
      <c r="GE60" s="525"/>
      <c r="GF60" s="525"/>
      <c r="GG60" s="525"/>
      <c r="GH60" s="525"/>
      <c r="GI60" s="525"/>
      <c r="GJ60" s="525"/>
      <c r="GK60" s="525"/>
      <c r="GL60" s="525"/>
      <c r="GM60" s="525"/>
      <c r="GN60" s="525"/>
      <c r="GO60" s="525"/>
      <c r="GP60" s="525"/>
      <c r="GQ60" s="525"/>
      <c r="GR60" s="525"/>
      <c r="GS60" s="525"/>
      <c r="GT60" s="525"/>
      <c r="GU60" s="525"/>
      <c r="GV60" s="525"/>
      <c r="GW60" s="525"/>
      <c r="GX60" s="525"/>
      <c r="GY60" s="525"/>
      <c r="GZ60" s="525"/>
      <c r="HA60" s="525"/>
      <c r="HB60" s="525"/>
      <c r="HC60" s="525"/>
      <c r="HD60" s="525"/>
      <c r="HE60" s="525"/>
      <c r="HF60" s="525"/>
      <c r="HG60" s="525"/>
      <c r="HH60" s="525"/>
      <c r="HI60" s="525"/>
      <c r="HJ60" s="525"/>
      <c r="HK60" s="525"/>
      <c r="HL60" s="525"/>
      <c r="HM60" s="525"/>
      <c r="HN60" s="525"/>
      <c r="HO60" s="525"/>
      <c r="HP60" s="525"/>
      <c r="HQ60" s="525"/>
      <c r="HR60" s="525"/>
      <c r="HS60" s="525"/>
      <c r="HT60" s="525"/>
      <c r="HU60" s="525"/>
      <c r="HV60" s="525"/>
      <c r="HW60" s="525"/>
      <c r="HX60" s="525"/>
      <c r="HY60" s="525"/>
      <c r="HZ60" s="525"/>
      <c r="IA60" s="525"/>
      <c r="IB60" s="525"/>
      <c r="IC60" s="525"/>
      <c r="ID60" s="525"/>
      <c r="IE60" s="525"/>
      <c r="IF60" s="525"/>
      <c r="IG60" s="525"/>
      <c r="IH60" s="525"/>
      <c r="II60" s="525"/>
      <c r="IJ60" s="525"/>
      <c r="IK60" s="525"/>
    </row>
    <row r="61" spans="1:245" s="976" customFormat="1" ht="20.100000000000001" customHeight="1" x14ac:dyDescent="0.25">
      <c r="A61" s="525"/>
      <c r="B61" s="985"/>
      <c r="C61" s="986"/>
      <c r="D61" s="986"/>
      <c r="E61" s="986"/>
      <c r="F61" s="986"/>
      <c r="G61" s="986"/>
      <c r="H61" s="525"/>
      <c r="I61" s="2605">
        <f t="shared" si="28"/>
        <v>37</v>
      </c>
      <c r="J61" s="2607">
        <f t="shared" si="43"/>
        <v>0</v>
      </c>
      <c r="K61" s="2606">
        <f t="shared" si="38"/>
        <v>0</v>
      </c>
      <c r="L61" s="2608">
        <f t="shared" si="48"/>
        <v>0</v>
      </c>
      <c r="M61" s="2607">
        <f t="shared" si="29"/>
        <v>0</v>
      </c>
      <c r="N61" s="525"/>
      <c r="O61" s="2605">
        <f t="shared" si="30"/>
        <v>37</v>
      </c>
      <c r="P61" s="2607">
        <f t="shared" si="44"/>
        <v>0</v>
      </c>
      <c r="Q61" s="2606">
        <f t="shared" si="39"/>
        <v>0</v>
      </c>
      <c r="R61" s="2608">
        <f t="shared" si="49"/>
        <v>0</v>
      </c>
      <c r="S61" s="2607">
        <f t="shared" si="31"/>
        <v>0</v>
      </c>
      <c r="T61" s="525"/>
      <c r="U61" s="2605">
        <f t="shared" si="32"/>
        <v>37</v>
      </c>
      <c r="V61" s="2607">
        <f t="shared" si="45"/>
        <v>0</v>
      </c>
      <c r="W61" s="2606">
        <f t="shared" si="40"/>
        <v>0</v>
      </c>
      <c r="X61" s="2608">
        <f t="shared" si="50"/>
        <v>0</v>
      </c>
      <c r="Y61" s="2607">
        <f t="shared" si="33"/>
        <v>0</v>
      </c>
      <c r="Z61" s="525"/>
      <c r="AA61" s="2605">
        <f t="shared" si="34"/>
        <v>37</v>
      </c>
      <c r="AB61" s="2607">
        <f t="shared" si="46"/>
        <v>0</v>
      </c>
      <c r="AC61" s="2606">
        <f t="shared" si="41"/>
        <v>0</v>
      </c>
      <c r="AD61" s="2608">
        <f t="shared" si="51"/>
        <v>0</v>
      </c>
      <c r="AE61" s="2607">
        <f t="shared" si="35"/>
        <v>0</v>
      </c>
      <c r="AF61" s="525"/>
      <c r="AG61" s="2605">
        <f t="shared" si="36"/>
        <v>37</v>
      </c>
      <c r="AH61" s="2607">
        <f t="shared" si="47"/>
        <v>0</v>
      </c>
      <c r="AI61" s="2606">
        <f t="shared" si="42"/>
        <v>0</v>
      </c>
      <c r="AJ61" s="2608">
        <f t="shared" si="52"/>
        <v>0</v>
      </c>
      <c r="AK61" s="2607">
        <f t="shared" si="37"/>
        <v>0</v>
      </c>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5"/>
      <c r="BM61" s="525"/>
      <c r="BN61" s="525"/>
      <c r="BO61" s="525"/>
      <c r="BP61" s="525"/>
      <c r="BQ61" s="525"/>
      <c r="BR61" s="525"/>
      <c r="BS61" s="525"/>
      <c r="BT61" s="525"/>
      <c r="BU61" s="525"/>
      <c r="BV61" s="525"/>
      <c r="BW61" s="525"/>
      <c r="BX61" s="525"/>
      <c r="BY61" s="525"/>
      <c r="BZ61" s="525"/>
      <c r="CA61" s="525"/>
      <c r="CB61" s="525"/>
      <c r="CC61" s="525"/>
      <c r="CD61" s="525"/>
      <c r="CE61" s="525"/>
      <c r="CF61" s="525"/>
      <c r="CG61" s="525"/>
      <c r="CH61" s="525"/>
      <c r="CI61" s="525"/>
      <c r="CJ61" s="525"/>
      <c r="CK61" s="525"/>
      <c r="CL61" s="525"/>
      <c r="CM61" s="525"/>
      <c r="CN61" s="525"/>
      <c r="CO61" s="525"/>
      <c r="CP61" s="525"/>
      <c r="CQ61" s="525"/>
      <c r="CR61" s="525"/>
      <c r="CS61" s="525"/>
      <c r="CT61" s="525"/>
      <c r="CU61" s="525"/>
      <c r="CV61" s="525"/>
      <c r="CW61" s="525"/>
      <c r="CX61" s="525"/>
      <c r="CY61" s="525"/>
      <c r="CZ61" s="525"/>
      <c r="DA61" s="525"/>
      <c r="DB61" s="525"/>
      <c r="DC61" s="525"/>
      <c r="DD61" s="525"/>
      <c r="DE61" s="525"/>
      <c r="DF61" s="525"/>
      <c r="DG61" s="525"/>
      <c r="DH61" s="525"/>
      <c r="DI61" s="525"/>
      <c r="DJ61" s="525"/>
      <c r="DK61" s="525"/>
      <c r="DL61" s="525"/>
      <c r="DM61" s="525"/>
      <c r="DN61" s="525"/>
      <c r="DO61" s="525"/>
      <c r="DP61" s="525"/>
      <c r="DQ61" s="525"/>
      <c r="DR61" s="525"/>
      <c r="DS61" s="525"/>
      <c r="DT61" s="525"/>
      <c r="DU61" s="525"/>
      <c r="DV61" s="525"/>
      <c r="DW61" s="525"/>
      <c r="DX61" s="525"/>
      <c r="DY61" s="525"/>
      <c r="DZ61" s="525"/>
      <c r="EA61" s="525"/>
      <c r="EB61" s="525"/>
      <c r="EC61" s="525"/>
      <c r="ED61" s="525"/>
      <c r="EE61" s="525"/>
      <c r="EF61" s="525"/>
      <c r="EG61" s="525"/>
      <c r="EH61" s="525"/>
      <c r="EI61" s="525"/>
      <c r="EJ61" s="525"/>
      <c r="EK61" s="525"/>
      <c r="EL61" s="525"/>
      <c r="EM61" s="525"/>
      <c r="EN61" s="525"/>
      <c r="EO61" s="525"/>
      <c r="EP61" s="525"/>
      <c r="EQ61" s="525"/>
      <c r="ER61" s="525"/>
      <c r="ES61" s="525"/>
      <c r="ET61" s="525"/>
      <c r="EU61" s="525"/>
      <c r="EV61" s="525"/>
      <c r="EW61" s="525"/>
      <c r="EX61" s="525"/>
      <c r="EY61" s="525"/>
      <c r="EZ61" s="525"/>
      <c r="FA61" s="525"/>
      <c r="FB61" s="525"/>
      <c r="FC61" s="525"/>
      <c r="FD61" s="525"/>
      <c r="FE61" s="525"/>
      <c r="FF61" s="525"/>
      <c r="FG61" s="525"/>
      <c r="FH61" s="525"/>
      <c r="FI61" s="525"/>
      <c r="FJ61" s="525"/>
      <c r="FK61" s="525"/>
      <c r="FL61" s="525"/>
      <c r="FM61" s="525"/>
      <c r="FN61" s="525"/>
      <c r="FO61" s="525"/>
      <c r="FP61" s="525"/>
      <c r="FQ61" s="525"/>
      <c r="FR61" s="525"/>
      <c r="FS61" s="525"/>
      <c r="FT61" s="525"/>
      <c r="FU61" s="525"/>
      <c r="FV61" s="525"/>
      <c r="FW61" s="525"/>
      <c r="FX61" s="525"/>
      <c r="FY61" s="525"/>
      <c r="FZ61" s="525"/>
      <c r="GA61" s="525"/>
      <c r="GB61" s="525"/>
      <c r="GC61" s="525"/>
      <c r="GD61" s="525"/>
      <c r="GE61" s="525"/>
      <c r="GF61" s="525"/>
      <c r="GG61" s="525"/>
      <c r="GH61" s="525"/>
      <c r="GI61" s="525"/>
      <c r="GJ61" s="525"/>
      <c r="GK61" s="525"/>
      <c r="GL61" s="525"/>
      <c r="GM61" s="525"/>
      <c r="GN61" s="525"/>
      <c r="GO61" s="525"/>
      <c r="GP61" s="525"/>
      <c r="GQ61" s="525"/>
      <c r="GR61" s="525"/>
      <c r="GS61" s="525"/>
      <c r="GT61" s="525"/>
      <c r="GU61" s="525"/>
      <c r="GV61" s="525"/>
      <c r="GW61" s="525"/>
      <c r="GX61" s="525"/>
      <c r="GY61" s="525"/>
      <c r="GZ61" s="525"/>
      <c r="HA61" s="525"/>
      <c r="HB61" s="525"/>
      <c r="HC61" s="525"/>
      <c r="HD61" s="525"/>
      <c r="HE61" s="525"/>
      <c r="HF61" s="525"/>
      <c r="HG61" s="525"/>
      <c r="HH61" s="525"/>
      <c r="HI61" s="525"/>
      <c r="HJ61" s="525"/>
      <c r="HK61" s="525"/>
      <c r="HL61" s="525"/>
      <c r="HM61" s="525"/>
      <c r="HN61" s="525"/>
      <c r="HO61" s="525"/>
      <c r="HP61" s="525"/>
      <c r="HQ61" s="525"/>
      <c r="HR61" s="525"/>
      <c r="HS61" s="525"/>
      <c r="HT61" s="525"/>
      <c r="HU61" s="525"/>
      <c r="HV61" s="525"/>
      <c r="HW61" s="525"/>
      <c r="HX61" s="525"/>
      <c r="HY61" s="525"/>
      <c r="HZ61" s="525"/>
      <c r="IA61" s="525"/>
      <c r="IB61" s="525"/>
      <c r="IC61" s="525"/>
      <c r="ID61" s="525"/>
      <c r="IE61" s="525"/>
      <c r="IF61" s="525"/>
      <c r="IG61" s="525"/>
      <c r="IH61" s="525"/>
      <c r="II61" s="525"/>
      <c r="IJ61" s="525"/>
      <c r="IK61" s="525"/>
    </row>
    <row r="62" spans="1:245" s="976" customFormat="1" ht="20.100000000000001" customHeight="1" x14ac:dyDescent="0.25">
      <c r="A62" s="525"/>
      <c r="B62" s="985"/>
      <c r="C62" s="986"/>
      <c r="D62" s="986"/>
      <c r="E62" s="986"/>
      <c r="F62" s="986"/>
      <c r="G62" s="986"/>
      <c r="H62" s="525"/>
      <c r="I62" s="2605">
        <f t="shared" si="28"/>
        <v>38</v>
      </c>
      <c r="J62" s="2607">
        <f t="shared" si="43"/>
        <v>0</v>
      </c>
      <c r="K62" s="2606">
        <f t="shared" si="38"/>
        <v>0</v>
      </c>
      <c r="L62" s="2608">
        <f t="shared" si="48"/>
        <v>0</v>
      </c>
      <c r="M62" s="2607">
        <f t="shared" si="29"/>
        <v>0</v>
      </c>
      <c r="N62" s="525"/>
      <c r="O62" s="2605">
        <f t="shared" si="30"/>
        <v>38</v>
      </c>
      <c r="P62" s="2607">
        <f t="shared" si="44"/>
        <v>0</v>
      </c>
      <c r="Q62" s="2606">
        <f t="shared" si="39"/>
        <v>0</v>
      </c>
      <c r="R62" s="2608">
        <f t="shared" si="49"/>
        <v>0</v>
      </c>
      <c r="S62" s="2607">
        <f t="shared" si="31"/>
        <v>0</v>
      </c>
      <c r="T62" s="525"/>
      <c r="U62" s="2605">
        <f t="shared" si="32"/>
        <v>38</v>
      </c>
      <c r="V62" s="2607">
        <f t="shared" si="45"/>
        <v>0</v>
      </c>
      <c r="W62" s="2606">
        <f t="shared" si="40"/>
        <v>0</v>
      </c>
      <c r="X62" s="2608">
        <f t="shared" si="50"/>
        <v>0</v>
      </c>
      <c r="Y62" s="2607">
        <f t="shared" si="33"/>
        <v>0</v>
      </c>
      <c r="Z62" s="525"/>
      <c r="AA62" s="2605">
        <f t="shared" si="34"/>
        <v>38</v>
      </c>
      <c r="AB62" s="2607">
        <f t="shared" si="46"/>
        <v>0</v>
      </c>
      <c r="AC62" s="2606">
        <f t="shared" si="41"/>
        <v>0</v>
      </c>
      <c r="AD62" s="2608">
        <f t="shared" si="51"/>
        <v>0</v>
      </c>
      <c r="AE62" s="2607">
        <f t="shared" si="35"/>
        <v>0</v>
      </c>
      <c r="AF62" s="525"/>
      <c r="AG62" s="2605">
        <f t="shared" si="36"/>
        <v>38</v>
      </c>
      <c r="AH62" s="2607">
        <f t="shared" si="47"/>
        <v>0</v>
      </c>
      <c r="AI62" s="2606">
        <f t="shared" si="42"/>
        <v>0</v>
      </c>
      <c r="AJ62" s="2608">
        <f t="shared" si="52"/>
        <v>0</v>
      </c>
      <c r="AK62" s="2607">
        <f t="shared" si="37"/>
        <v>0</v>
      </c>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5"/>
      <c r="BH62" s="525"/>
      <c r="BI62" s="525"/>
      <c r="BJ62" s="525"/>
      <c r="BK62" s="525"/>
      <c r="BL62" s="525"/>
      <c r="BM62" s="525"/>
      <c r="BN62" s="525"/>
      <c r="BO62" s="525"/>
      <c r="BP62" s="525"/>
      <c r="BQ62" s="525"/>
      <c r="BR62" s="525"/>
      <c r="BS62" s="525"/>
      <c r="BT62" s="525"/>
      <c r="BU62" s="525"/>
      <c r="BV62" s="525"/>
      <c r="BW62" s="525"/>
      <c r="BX62" s="525"/>
      <c r="BY62" s="525"/>
      <c r="BZ62" s="525"/>
      <c r="CA62" s="525"/>
      <c r="CB62" s="525"/>
      <c r="CC62" s="525"/>
      <c r="CD62" s="525"/>
      <c r="CE62" s="525"/>
      <c r="CF62" s="525"/>
      <c r="CG62" s="525"/>
      <c r="CH62" s="525"/>
      <c r="CI62" s="525"/>
      <c r="CJ62" s="525"/>
      <c r="CK62" s="525"/>
      <c r="CL62" s="525"/>
      <c r="CM62" s="525"/>
      <c r="CN62" s="525"/>
      <c r="CO62" s="525"/>
      <c r="CP62" s="525"/>
      <c r="CQ62" s="525"/>
      <c r="CR62" s="525"/>
      <c r="CS62" s="525"/>
      <c r="CT62" s="525"/>
      <c r="CU62" s="525"/>
      <c r="CV62" s="525"/>
      <c r="CW62" s="525"/>
      <c r="CX62" s="525"/>
      <c r="CY62" s="525"/>
      <c r="CZ62" s="525"/>
      <c r="DA62" s="525"/>
      <c r="DB62" s="525"/>
      <c r="DC62" s="525"/>
      <c r="DD62" s="525"/>
      <c r="DE62" s="525"/>
      <c r="DF62" s="525"/>
      <c r="DG62" s="525"/>
      <c r="DH62" s="525"/>
      <c r="DI62" s="525"/>
      <c r="DJ62" s="525"/>
      <c r="DK62" s="525"/>
      <c r="DL62" s="525"/>
      <c r="DM62" s="525"/>
      <c r="DN62" s="525"/>
      <c r="DO62" s="525"/>
      <c r="DP62" s="525"/>
      <c r="DQ62" s="525"/>
      <c r="DR62" s="525"/>
      <c r="DS62" s="525"/>
      <c r="DT62" s="525"/>
      <c r="DU62" s="525"/>
      <c r="DV62" s="525"/>
      <c r="DW62" s="525"/>
      <c r="DX62" s="525"/>
      <c r="DY62" s="525"/>
      <c r="DZ62" s="525"/>
      <c r="EA62" s="525"/>
      <c r="EB62" s="525"/>
      <c r="EC62" s="525"/>
      <c r="ED62" s="525"/>
      <c r="EE62" s="525"/>
      <c r="EF62" s="525"/>
      <c r="EG62" s="525"/>
      <c r="EH62" s="525"/>
      <c r="EI62" s="525"/>
      <c r="EJ62" s="525"/>
      <c r="EK62" s="525"/>
      <c r="EL62" s="525"/>
      <c r="EM62" s="525"/>
      <c r="EN62" s="525"/>
      <c r="EO62" s="525"/>
      <c r="EP62" s="525"/>
      <c r="EQ62" s="525"/>
      <c r="ER62" s="525"/>
      <c r="ES62" s="525"/>
      <c r="ET62" s="525"/>
      <c r="EU62" s="525"/>
      <c r="EV62" s="525"/>
      <c r="EW62" s="525"/>
      <c r="EX62" s="525"/>
      <c r="EY62" s="525"/>
      <c r="EZ62" s="525"/>
      <c r="FA62" s="525"/>
      <c r="FB62" s="525"/>
      <c r="FC62" s="525"/>
      <c r="FD62" s="525"/>
      <c r="FE62" s="525"/>
      <c r="FF62" s="525"/>
      <c r="FG62" s="525"/>
      <c r="FH62" s="525"/>
      <c r="FI62" s="525"/>
      <c r="FJ62" s="525"/>
      <c r="FK62" s="525"/>
      <c r="FL62" s="525"/>
      <c r="FM62" s="525"/>
      <c r="FN62" s="525"/>
      <c r="FO62" s="525"/>
      <c r="FP62" s="525"/>
      <c r="FQ62" s="525"/>
      <c r="FR62" s="525"/>
      <c r="FS62" s="525"/>
      <c r="FT62" s="525"/>
      <c r="FU62" s="525"/>
      <c r="FV62" s="525"/>
      <c r="FW62" s="525"/>
      <c r="FX62" s="525"/>
      <c r="FY62" s="525"/>
      <c r="FZ62" s="525"/>
      <c r="GA62" s="525"/>
      <c r="GB62" s="525"/>
      <c r="GC62" s="525"/>
      <c r="GD62" s="525"/>
      <c r="GE62" s="525"/>
      <c r="GF62" s="525"/>
      <c r="GG62" s="525"/>
      <c r="GH62" s="525"/>
      <c r="GI62" s="525"/>
      <c r="GJ62" s="525"/>
      <c r="GK62" s="525"/>
      <c r="GL62" s="525"/>
      <c r="GM62" s="525"/>
      <c r="GN62" s="525"/>
      <c r="GO62" s="525"/>
      <c r="GP62" s="525"/>
      <c r="GQ62" s="525"/>
      <c r="GR62" s="525"/>
      <c r="GS62" s="525"/>
      <c r="GT62" s="525"/>
      <c r="GU62" s="525"/>
      <c r="GV62" s="525"/>
      <c r="GW62" s="525"/>
      <c r="GX62" s="525"/>
      <c r="GY62" s="525"/>
      <c r="GZ62" s="525"/>
      <c r="HA62" s="525"/>
      <c r="HB62" s="525"/>
      <c r="HC62" s="525"/>
      <c r="HD62" s="525"/>
      <c r="HE62" s="525"/>
      <c r="HF62" s="525"/>
      <c r="HG62" s="525"/>
      <c r="HH62" s="525"/>
      <c r="HI62" s="525"/>
      <c r="HJ62" s="525"/>
      <c r="HK62" s="525"/>
      <c r="HL62" s="525"/>
      <c r="HM62" s="525"/>
      <c r="HN62" s="525"/>
      <c r="HO62" s="525"/>
      <c r="HP62" s="525"/>
      <c r="HQ62" s="525"/>
      <c r="HR62" s="525"/>
      <c r="HS62" s="525"/>
      <c r="HT62" s="525"/>
      <c r="HU62" s="525"/>
      <c r="HV62" s="525"/>
      <c r="HW62" s="525"/>
      <c r="HX62" s="525"/>
      <c r="HY62" s="525"/>
      <c r="HZ62" s="525"/>
      <c r="IA62" s="525"/>
      <c r="IB62" s="525"/>
      <c r="IC62" s="525"/>
      <c r="ID62" s="525"/>
      <c r="IE62" s="525"/>
      <c r="IF62" s="525"/>
      <c r="IG62" s="525"/>
      <c r="IH62" s="525"/>
      <c r="II62" s="525"/>
      <c r="IJ62" s="525"/>
      <c r="IK62" s="525"/>
    </row>
    <row r="63" spans="1:245" s="976" customFormat="1" ht="20.100000000000001" customHeight="1" x14ac:dyDescent="0.25">
      <c r="A63" s="525"/>
      <c r="B63" s="985"/>
      <c r="C63" s="986"/>
      <c r="D63" s="986"/>
      <c r="E63" s="986"/>
      <c r="F63" s="986"/>
      <c r="G63" s="986"/>
      <c r="H63" s="525"/>
      <c r="I63" s="2605">
        <f t="shared" si="28"/>
        <v>39</v>
      </c>
      <c r="J63" s="2607">
        <f t="shared" si="43"/>
        <v>0</v>
      </c>
      <c r="K63" s="2606">
        <f t="shared" si="38"/>
        <v>0</v>
      </c>
      <c r="L63" s="2608">
        <f t="shared" si="48"/>
        <v>0</v>
      </c>
      <c r="M63" s="2607">
        <f t="shared" si="29"/>
        <v>0</v>
      </c>
      <c r="N63" s="525"/>
      <c r="O63" s="2605">
        <f t="shared" si="30"/>
        <v>39</v>
      </c>
      <c r="P63" s="2607">
        <f t="shared" si="44"/>
        <v>0</v>
      </c>
      <c r="Q63" s="2606">
        <f t="shared" si="39"/>
        <v>0</v>
      </c>
      <c r="R63" s="2608">
        <f t="shared" si="49"/>
        <v>0</v>
      </c>
      <c r="S63" s="2607">
        <f t="shared" si="31"/>
        <v>0</v>
      </c>
      <c r="T63" s="525"/>
      <c r="U63" s="2605">
        <f t="shared" si="32"/>
        <v>39</v>
      </c>
      <c r="V63" s="2607">
        <f t="shared" si="45"/>
        <v>0</v>
      </c>
      <c r="W63" s="2606">
        <f t="shared" si="40"/>
        <v>0</v>
      </c>
      <c r="X63" s="2608">
        <f t="shared" si="50"/>
        <v>0</v>
      </c>
      <c r="Y63" s="2607">
        <f t="shared" si="33"/>
        <v>0</v>
      </c>
      <c r="Z63" s="525"/>
      <c r="AA63" s="2605">
        <f t="shared" si="34"/>
        <v>39</v>
      </c>
      <c r="AB63" s="2607">
        <f t="shared" si="46"/>
        <v>0</v>
      </c>
      <c r="AC63" s="2606">
        <f t="shared" si="41"/>
        <v>0</v>
      </c>
      <c r="AD63" s="2608">
        <f t="shared" si="51"/>
        <v>0</v>
      </c>
      <c r="AE63" s="2607">
        <f t="shared" si="35"/>
        <v>0</v>
      </c>
      <c r="AF63" s="525"/>
      <c r="AG63" s="2605">
        <f t="shared" si="36"/>
        <v>39</v>
      </c>
      <c r="AH63" s="2607">
        <f t="shared" si="47"/>
        <v>0</v>
      </c>
      <c r="AI63" s="2606">
        <f t="shared" si="42"/>
        <v>0</v>
      </c>
      <c r="AJ63" s="2608">
        <f t="shared" si="52"/>
        <v>0</v>
      </c>
      <c r="AK63" s="2607">
        <f t="shared" si="37"/>
        <v>0</v>
      </c>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525"/>
      <c r="BI63" s="525"/>
      <c r="BJ63" s="525"/>
      <c r="BK63" s="525"/>
      <c r="BL63" s="525"/>
      <c r="BM63" s="525"/>
      <c r="BN63" s="525"/>
      <c r="BO63" s="525"/>
      <c r="BP63" s="525"/>
      <c r="BQ63" s="525"/>
      <c r="BR63" s="525"/>
      <c r="BS63" s="525"/>
      <c r="BT63" s="525"/>
      <c r="BU63" s="525"/>
      <c r="BV63" s="525"/>
      <c r="BW63" s="525"/>
      <c r="BX63" s="525"/>
      <c r="BY63" s="525"/>
      <c r="BZ63" s="525"/>
      <c r="CA63" s="525"/>
      <c r="CB63" s="525"/>
      <c r="CC63" s="525"/>
      <c r="CD63" s="525"/>
      <c r="CE63" s="525"/>
      <c r="CF63" s="525"/>
      <c r="CG63" s="525"/>
      <c r="CH63" s="525"/>
      <c r="CI63" s="525"/>
      <c r="CJ63" s="525"/>
      <c r="CK63" s="525"/>
      <c r="CL63" s="525"/>
      <c r="CM63" s="525"/>
      <c r="CN63" s="525"/>
      <c r="CO63" s="525"/>
      <c r="CP63" s="525"/>
      <c r="CQ63" s="525"/>
      <c r="CR63" s="525"/>
      <c r="CS63" s="525"/>
      <c r="CT63" s="525"/>
      <c r="CU63" s="525"/>
      <c r="CV63" s="525"/>
      <c r="CW63" s="525"/>
      <c r="CX63" s="525"/>
      <c r="CY63" s="525"/>
      <c r="CZ63" s="525"/>
      <c r="DA63" s="525"/>
      <c r="DB63" s="525"/>
      <c r="DC63" s="525"/>
      <c r="DD63" s="525"/>
      <c r="DE63" s="525"/>
      <c r="DF63" s="525"/>
      <c r="DG63" s="525"/>
      <c r="DH63" s="525"/>
      <c r="DI63" s="525"/>
      <c r="DJ63" s="525"/>
      <c r="DK63" s="525"/>
      <c r="DL63" s="525"/>
      <c r="DM63" s="525"/>
      <c r="DN63" s="525"/>
      <c r="DO63" s="525"/>
      <c r="DP63" s="525"/>
      <c r="DQ63" s="525"/>
      <c r="DR63" s="525"/>
      <c r="DS63" s="525"/>
      <c r="DT63" s="525"/>
      <c r="DU63" s="525"/>
      <c r="DV63" s="525"/>
      <c r="DW63" s="525"/>
      <c r="DX63" s="525"/>
      <c r="DY63" s="525"/>
      <c r="DZ63" s="525"/>
      <c r="EA63" s="525"/>
      <c r="EB63" s="525"/>
      <c r="EC63" s="525"/>
      <c r="ED63" s="525"/>
      <c r="EE63" s="525"/>
      <c r="EF63" s="525"/>
      <c r="EG63" s="525"/>
      <c r="EH63" s="525"/>
      <c r="EI63" s="525"/>
      <c r="EJ63" s="525"/>
      <c r="EK63" s="525"/>
      <c r="EL63" s="525"/>
      <c r="EM63" s="525"/>
      <c r="EN63" s="525"/>
      <c r="EO63" s="525"/>
      <c r="EP63" s="525"/>
      <c r="EQ63" s="525"/>
      <c r="ER63" s="525"/>
      <c r="ES63" s="525"/>
      <c r="ET63" s="525"/>
      <c r="EU63" s="525"/>
      <c r="EV63" s="525"/>
      <c r="EW63" s="525"/>
      <c r="EX63" s="525"/>
      <c r="EY63" s="525"/>
      <c r="EZ63" s="525"/>
      <c r="FA63" s="525"/>
      <c r="FB63" s="525"/>
      <c r="FC63" s="525"/>
      <c r="FD63" s="525"/>
      <c r="FE63" s="525"/>
      <c r="FF63" s="525"/>
      <c r="FG63" s="525"/>
      <c r="FH63" s="525"/>
      <c r="FI63" s="525"/>
      <c r="FJ63" s="525"/>
      <c r="FK63" s="525"/>
      <c r="FL63" s="525"/>
      <c r="FM63" s="525"/>
      <c r="FN63" s="525"/>
      <c r="FO63" s="525"/>
      <c r="FP63" s="525"/>
      <c r="FQ63" s="525"/>
      <c r="FR63" s="525"/>
      <c r="FS63" s="525"/>
      <c r="FT63" s="525"/>
      <c r="FU63" s="525"/>
      <c r="FV63" s="525"/>
      <c r="FW63" s="525"/>
      <c r="FX63" s="525"/>
      <c r="FY63" s="525"/>
      <c r="FZ63" s="525"/>
      <c r="GA63" s="525"/>
      <c r="GB63" s="525"/>
      <c r="GC63" s="525"/>
      <c r="GD63" s="525"/>
      <c r="GE63" s="525"/>
      <c r="GF63" s="525"/>
      <c r="GG63" s="525"/>
      <c r="GH63" s="525"/>
      <c r="GI63" s="525"/>
      <c r="GJ63" s="525"/>
      <c r="GK63" s="525"/>
      <c r="GL63" s="525"/>
      <c r="GM63" s="525"/>
      <c r="GN63" s="525"/>
      <c r="GO63" s="525"/>
      <c r="GP63" s="525"/>
      <c r="GQ63" s="525"/>
      <c r="GR63" s="525"/>
      <c r="GS63" s="525"/>
      <c r="GT63" s="525"/>
      <c r="GU63" s="525"/>
      <c r="GV63" s="525"/>
      <c r="GW63" s="525"/>
      <c r="GX63" s="525"/>
      <c r="GY63" s="525"/>
      <c r="GZ63" s="525"/>
      <c r="HA63" s="525"/>
      <c r="HB63" s="525"/>
      <c r="HC63" s="525"/>
      <c r="HD63" s="525"/>
      <c r="HE63" s="525"/>
      <c r="HF63" s="525"/>
      <c r="HG63" s="525"/>
      <c r="HH63" s="525"/>
      <c r="HI63" s="525"/>
      <c r="HJ63" s="525"/>
      <c r="HK63" s="525"/>
      <c r="HL63" s="525"/>
      <c r="HM63" s="525"/>
      <c r="HN63" s="525"/>
      <c r="HO63" s="525"/>
      <c r="HP63" s="525"/>
      <c r="HQ63" s="525"/>
      <c r="HR63" s="525"/>
      <c r="HS63" s="525"/>
      <c r="HT63" s="525"/>
      <c r="HU63" s="525"/>
      <c r="HV63" s="525"/>
      <c r="HW63" s="525"/>
      <c r="HX63" s="525"/>
      <c r="HY63" s="525"/>
      <c r="HZ63" s="525"/>
      <c r="IA63" s="525"/>
      <c r="IB63" s="525"/>
      <c r="IC63" s="525"/>
      <c r="ID63" s="525"/>
      <c r="IE63" s="525"/>
      <c r="IF63" s="525"/>
      <c r="IG63" s="525"/>
      <c r="IH63" s="525"/>
      <c r="II63" s="525"/>
      <c r="IJ63" s="525"/>
      <c r="IK63" s="525"/>
    </row>
    <row r="64" spans="1:245" s="976" customFormat="1" ht="20.100000000000001" customHeight="1" x14ac:dyDescent="0.25">
      <c r="A64" s="525"/>
      <c r="B64" s="985"/>
      <c r="C64" s="986"/>
      <c r="D64" s="986"/>
      <c r="E64" s="986"/>
      <c r="F64" s="986"/>
      <c r="G64" s="986"/>
      <c r="H64" s="525"/>
      <c r="I64" s="2605">
        <f t="shared" si="28"/>
        <v>40</v>
      </c>
      <c r="J64" s="2607">
        <f t="shared" si="43"/>
        <v>0</v>
      </c>
      <c r="K64" s="2606">
        <f t="shared" si="38"/>
        <v>0</v>
      </c>
      <c r="L64" s="2608">
        <f t="shared" si="48"/>
        <v>0</v>
      </c>
      <c r="M64" s="2607">
        <f t="shared" si="29"/>
        <v>0</v>
      </c>
      <c r="N64" s="525"/>
      <c r="O64" s="2605">
        <f t="shared" si="30"/>
        <v>40</v>
      </c>
      <c r="P64" s="2607">
        <f t="shared" si="44"/>
        <v>0</v>
      </c>
      <c r="Q64" s="2606">
        <f t="shared" si="39"/>
        <v>0</v>
      </c>
      <c r="R64" s="2608">
        <f t="shared" si="49"/>
        <v>0</v>
      </c>
      <c r="S64" s="2607">
        <f t="shared" si="31"/>
        <v>0</v>
      </c>
      <c r="T64" s="525"/>
      <c r="U64" s="2605">
        <f t="shared" si="32"/>
        <v>40</v>
      </c>
      <c r="V64" s="2607">
        <f t="shared" si="45"/>
        <v>0</v>
      </c>
      <c r="W64" s="2606">
        <f t="shared" si="40"/>
        <v>0</v>
      </c>
      <c r="X64" s="2608">
        <f t="shared" si="50"/>
        <v>0</v>
      </c>
      <c r="Y64" s="2607">
        <f t="shared" si="33"/>
        <v>0</v>
      </c>
      <c r="Z64" s="525"/>
      <c r="AA64" s="2605">
        <f t="shared" si="34"/>
        <v>40</v>
      </c>
      <c r="AB64" s="2607">
        <f t="shared" si="46"/>
        <v>0</v>
      </c>
      <c r="AC64" s="2606">
        <f t="shared" si="41"/>
        <v>0</v>
      </c>
      <c r="AD64" s="2608">
        <f t="shared" si="51"/>
        <v>0</v>
      </c>
      <c r="AE64" s="2607">
        <f t="shared" si="35"/>
        <v>0</v>
      </c>
      <c r="AF64" s="525"/>
      <c r="AG64" s="2605">
        <f t="shared" si="36"/>
        <v>40</v>
      </c>
      <c r="AH64" s="2607">
        <f t="shared" si="47"/>
        <v>0</v>
      </c>
      <c r="AI64" s="2606">
        <f t="shared" si="42"/>
        <v>0</v>
      </c>
      <c r="AJ64" s="2608">
        <f t="shared" si="52"/>
        <v>0</v>
      </c>
      <c r="AK64" s="2607">
        <f t="shared" si="37"/>
        <v>0</v>
      </c>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525"/>
      <c r="BI64" s="525"/>
      <c r="BJ64" s="525"/>
      <c r="BK64" s="525"/>
      <c r="BL64" s="525"/>
      <c r="BM64" s="525"/>
      <c r="BN64" s="525"/>
      <c r="BO64" s="525"/>
      <c r="BP64" s="525"/>
      <c r="BQ64" s="525"/>
      <c r="BR64" s="525"/>
      <c r="BS64" s="525"/>
      <c r="BT64" s="525"/>
      <c r="BU64" s="525"/>
      <c r="BV64" s="525"/>
      <c r="BW64" s="525"/>
      <c r="BX64" s="525"/>
      <c r="BY64" s="525"/>
      <c r="BZ64" s="525"/>
      <c r="CA64" s="525"/>
      <c r="CB64" s="525"/>
      <c r="CC64" s="525"/>
      <c r="CD64" s="525"/>
      <c r="CE64" s="525"/>
      <c r="CF64" s="525"/>
      <c r="CG64" s="525"/>
      <c r="CH64" s="525"/>
      <c r="CI64" s="525"/>
      <c r="CJ64" s="525"/>
      <c r="CK64" s="525"/>
      <c r="CL64" s="525"/>
      <c r="CM64" s="525"/>
      <c r="CN64" s="525"/>
      <c r="CO64" s="525"/>
      <c r="CP64" s="525"/>
      <c r="CQ64" s="525"/>
      <c r="CR64" s="525"/>
      <c r="CS64" s="525"/>
      <c r="CT64" s="525"/>
      <c r="CU64" s="525"/>
      <c r="CV64" s="525"/>
      <c r="CW64" s="525"/>
      <c r="CX64" s="525"/>
      <c r="CY64" s="525"/>
      <c r="CZ64" s="525"/>
      <c r="DA64" s="525"/>
      <c r="DB64" s="525"/>
      <c r="DC64" s="525"/>
      <c r="DD64" s="525"/>
      <c r="DE64" s="525"/>
      <c r="DF64" s="525"/>
      <c r="DG64" s="525"/>
      <c r="DH64" s="525"/>
      <c r="DI64" s="525"/>
      <c r="DJ64" s="525"/>
      <c r="DK64" s="525"/>
      <c r="DL64" s="525"/>
      <c r="DM64" s="525"/>
      <c r="DN64" s="525"/>
      <c r="DO64" s="525"/>
      <c r="DP64" s="525"/>
      <c r="DQ64" s="525"/>
      <c r="DR64" s="525"/>
      <c r="DS64" s="525"/>
      <c r="DT64" s="525"/>
      <c r="DU64" s="525"/>
      <c r="DV64" s="525"/>
      <c r="DW64" s="525"/>
      <c r="DX64" s="525"/>
      <c r="DY64" s="525"/>
      <c r="DZ64" s="525"/>
      <c r="EA64" s="525"/>
      <c r="EB64" s="525"/>
      <c r="EC64" s="525"/>
      <c r="ED64" s="525"/>
      <c r="EE64" s="525"/>
      <c r="EF64" s="525"/>
      <c r="EG64" s="525"/>
      <c r="EH64" s="525"/>
      <c r="EI64" s="525"/>
      <c r="EJ64" s="525"/>
      <c r="EK64" s="525"/>
      <c r="EL64" s="525"/>
      <c r="EM64" s="525"/>
      <c r="EN64" s="525"/>
      <c r="EO64" s="525"/>
      <c r="EP64" s="525"/>
      <c r="EQ64" s="525"/>
      <c r="ER64" s="525"/>
      <c r="ES64" s="525"/>
      <c r="ET64" s="525"/>
      <c r="EU64" s="525"/>
      <c r="EV64" s="525"/>
      <c r="EW64" s="525"/>
      <c r="EX64" s="525"/>
      <c r="EY64" s="525"/>
      <c r="EZ64" s="525"/>
      <c r="FA64" s="525"/>
      <c r="FB64" s="525"/>
      <c r="FC64" s="525"/>
      <c r="FD64" s="525"/>
      <c r="FE64" s="525"/>
      <c r="FF64" s="525"/>
      <c r="FG64" s="525"/>
      <c r="FH64" s="525"/>
      <c r="FI64" s="525"/>
      <c r="FJ64" s="525"/>
      <c r="FK64" s="525"/>
      <c r="FL64" s="525"/>
      <c r="FM64" s="525"/>
      <c r="FN64" s="525"/>
      <c r="FO64" s="525"/>
      <c r="FP64" s="525"/>
      <c r="FQ64" s="525"/>
      <c r="FR64" s="525"/>
      <c r="FS64" s="525"/>
      <c r="FT64" s="525"/>
      <c r="FU64" s="525"/>
      <c r="FV64" s="525"/>
      <c r="FW64" s="525"/>
      <c r="FX64" s="525"/>
      <c r="FY64" s="525"/>
      <c r="FZ64" s="525"/>
      <c r="GA64" s="525"/>
      <c r="GB64" s="525"/>
      <c r="GC64" s="525"/>
      <c r="GD64" s="525"/>
      <c r="GE64" s="525"/>
      <c r="GF64" s="525"/>
      <c r="GG64" s="525"/>
      <c r="GH64" s="525"/>
      <c r="GI64" s="525"/>
      <c r="GJ64" s="525"/>
      <c r="GK64" s="525"/>
      <c r="GL64" s="525"/>
      <c r="GM64" s="525"/>
      <c r="GN64" s="525"/>
      <c r="GO64" s="525"/>
      <c r="GP64" s="525"/>
      <c r="GQ64" s="525"/>
      <c r="GR64" s="525"/>
      <c r="GS64" s="525"/>
      <c r="GT64" s="525"/>
      <c r="GU64" s="525"/>
      <c r="GV64" s="525"/>
      <c r="GW64" s="525"/>
      <c r="GX64" s="525"/>
      <c r="GY64" s="525"/>
      <c r="GZ64" s="525"/>
      <c r="HA64" s="525"/>
      <c r="HB64" s="525"/>
      <c r="HC64" s="525"/>
      <c r="HD64" s="525"/>
      <c r="HE64" s="525"/>
      <c r="HF64" s="525"/>
      <c r="HG64" s="525"/>
      <c r="HH64" s="525"/>
      <c r="HI64" s="525"/>
      <c r="HJ64" s="525"/>
      <c r="HK64" s="525"/>
      <c r="HL64" s="525"/>
      <c r="HM64" s="525"/>
      <c r="HN64" s="525"/>
      <c r="HO64" s="525"/>
      <c r="HP64" s="525"/>
      <c r="HQ64" s="525"/>
      <c r="HR64" s="525"/>
      <c r="HS64" s="525"/>
      <c r="HT64" s="525"/>
      <c r="HU64" s="525"/>
      <c r="HV64" s="525"/>
      <c r="HW64" s="525"/>
      <c r="HX64" s="525"/>
      <c r="HY64" s="525"/>
      <c r="HZ64" s="525"/>
      <c r="IA64" s="525"/>
      <c r="IB64" s="525"/>
      <c r="IC64" s="525"/>
      <c r="ID64" s="525"/>
      <c r="IE64" s="525"/>
      <c r="IF64" s="525"/>
      <c r="IG64" s="525"/>
      <c r="IH64" s="525"/>
      <c r="II64" s="525"/>
      <c r="IJ64" s="525"/>
      <c r="IK64" s="525"/>
    </row>
    <row r="65" spans="1:245" s="976" customFormat="1" ht="20.100000000000001" customHeight="1" x14ac:dyDescent="0.25">
      <c r="A65" s="525"/>
      <c r="B65" s="985"/>
      <c r="C65" s="986"/>
      <c r="D65" s="986"/>
      <c r="E65" s="986"/>
      <c r="F65" s="986"/>
      <c r="G65" s="986"/>
      <c r="H65" s="525"/>
      <c r="I65" s="2605">
        <f t="shared" si="28"/>
        <v>41</v>
      </c>
      <c r="J65" s="2607">
        <f t="shared" si="43"/>
        <v>0</v>
      </c>
      <c r="K65" s="2606">
        <f t="shared" si="38"/>
        <v>0</v>
      </c>
      <c r="L65" s="2608">
        <f t="shared" si="48"/>
        <v>0</v>
      </c>
      <c r="M65" s="2607">
        <f t="shared" si="29"/>
        <v>0</v>
      </c>
      <c r="N65" s="525"/>
      <c r="O65" s="2605">
        <f t="shared" si="30"/>
        <v>41</v>
      </c>
      <c r="P65" s="2607">
        <f t="shared" si="44"/>
        <v>0</v>
      </c>
      <c r="Q65" s="2606">
        <f t="shared" si="39"/>
        <v>0</v>
      </c>
      <c r="R65" s="2608">
        <f t="shared" si="49"/>
        <v>0</v>
      </c>
      <c r="S65" s="2607">
        <f t="shared" si="31"/>
        <v>0</v>
      </c>
      <c r="T65" s="525"/>
      <c r="U65" s="2605">
        <f t="shared" si="32"/>
        <v>41</v>
      </c>
      <c r="V65" s="2607">
        <f t="shared" si="45"/>
        <v>0</v>
      </c>
      <c r="W65" s="2606">
        <f t="shared" si="40"/>
        <v>0</v>
      </c>
      <c r="X65" s="2608">
        <f t="shared" si="50"/>
        <v>0</v>
      </c>
      <c r="Y65" s="2607">
        <f t="shared" si="33"/>
        <v>0</v>
      </c>
      <c r="Z65" s="525"/>
      <c r="AA65" s="2605">
        <f t="shared" si="34"/>
        <v>41</v>
      </c>
      <c r="AB65" s="2607">
        <f t="shared" si="46"/>
        <v>0</v>
      </c>
      <c r="AC65" s="2606">
        <f t="shared" si="41"/>
        <v>0</v>
      </c>
      <c r="AD65" s="2608">
        <f t="shared" si="51"/>
        <v>0</v>
      </c>
      <c r="AE65" s="2607">
        <f t="shared" si="35"/>
        <v>0</v>
      </c>
      <c r="AF65" s="525"/>
      <c r="AG65" s="2605">
        <f t="shared" si="36"/>
        <v>41</v>
      </c>
      <c r="AH65" s="2607">
        <f t="shared" si="47"/>
        <v>0</v>
      </c>
      <c r="AI65" s="2606">
        <f t="shared" si="42"/>
        <v>0</v>
      </c>
      <c r="AJ65" s="2608">
        <f t="shared" si="52"/>
        <v>0</v>
      </c>
      <c r="AK65" s="2607">
        <f t="shared" si="37"/>
        <v>0</v>
      </c>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5"/>
      <c r="CC65" s="525"/>
      <c r="CD65" s="525"/>
      <c r="CE65" s="525"/>
      <c r="CF65" s="525"/>
      <c r="CG65" s="525"/>
      <c r="CH65" s="525"/>
      <c r="CI65" s="525"/>
      <c r="CJ65" s="525"/>
      <c r="CK65" s="525"/>
      <c r="CL65" s="525"/>
      <c r="CM65" s="525"/>
      <c r="CN65" s="525"/>
      <c r="CO65" s="525"/>
      <c r="CP65" s="525"/>
      <c r="CQ65" s="525"/>
      <c r="CR65" s="525"/>
      <c r="CS65" s="525"/>
      <c r="CT65" s="525"/>
      <c r="CU65" s="525"/>
      <c r="CV65" s="525"/>
      <c r="CW65" s="525"/>
      <c r="CX65" s="525"/>
      <c r="CY65" s="525"/>
      <c r="CZ65" s="525"/>
      <c r="DA65" s="525"/>
      <c r="DB65" s="525"/>
      <c r="DC65" s="525"/>
      <c r="DD65" s="525"/>
      <c r="DE65" s="525"/>
      <c r="DF65" s="525"/>
      <c r="DG65" s="525"/>
      <c r="DH65" s="525"/>
      <c r="DI65" s="525"/>
      <c r="DJ65" s="525"/>
      <c r="DK65" s="525"/>
      <c r="DL65" s="525"/>
      <c r="DM65" s="525"/>
      <c r="DN65" s="525"/>
      <c r="DO65" s="525"/>
      <c r="DP65" s="525"/>
      <c r="DQ65" s="525"/>
      <c r="DR65" s="525"/>
      <c r="DS65" s="525"/>
      <c r="DT65" s="525"/>
      <c r="DU65" s="525"/>
      <c r="DV65" s="525"/>
      <c r="DW65" s="525"/>
      <c r="DX65" s="525"/>
      <c r="DY65" s="525"/>
      <c r="DZ65" s="525"/>
      <c r="EA65" s="525"/>
      <c r="EB65" s="525"/>
      <c r="EC65" s="525"/>
      <c r="ED65" s="525"/>
      <c r="EE65" s="525"/>
      <c r="EF65" s="525"/>
      <c r="EG65" s="525"/>
      <c r="EH65" s="525"/>
      <c r="EI65" s="525"/>
      <c r="EJ65" s="525"/>
      <c r="EK65" s="525"/>
      <c r="EL65" s="525"/>
      <c r="EM65" s="525"/>
      <c r="EN65" s="525"/>
      <c r="EO65" s="525"/>
      <c r="EP65" s="525"/>
      <c r="EQ65" s="525"/>
      <c r="ER65" s="525"/>
      <c r="ES65" s="525"/>
      <c r="ET65" s="525"/>
      <c r="EU65" s="525"/>
      <c r="EV65" s="525"/>
      <c r="EW65" s="525"/>
      <c r="EX65" s="525"/>
      <c r="EY65" s="525"/>
      <c r="EZ65" s="525"/>
      <c r="FA65" s="525"/>
      <c r="FB65" s="525"/>
      <c r="FC65" s="525"/>
      <c r="FD65" s="525"/>
      <c r="FE65" s="525"/>
      <c r="FF65" s="525"/>
      <c r="FG65" s="525"/>
      <c r="FH65" s="525"/>
      <c r="FI65" s="525"/>
      <c r="FJ65" s="525"/>
      <c r="FK65" s="525"/>
      <c r="FL65" s="525"/>
      <c r="FM65" s="525"/>
      <c r="FN65" s="525"/>
      <c r="FO65" s="525"/>
      <c r="FP65" s="525"/>
      <c r="FQ65" s="525"/>
      <c r="FR65" s="525"/>
      <c r="FS65" s="525"/>
      <c r="FT65" s="525"/>
      <c r="FU65" s="525"/>
      <c r="FV65" s="525"/>
      <c r="FW65" s="525"/>
      <c r="FX65" s="525"/>
      <c r="FY65" s="525"/>
      <c r="FZ65" s="525"/>
      <c r="GA65" s="525"/>
      <c r="GB65" s="525"/>
      <c r="GC65" s="525"/>
      <c r="GD65" s="525"/>
      <c r="GE65" s="525"/>
      <c r="GF65" s="525"/>
      <c r="GG65" s="525"/>
      <c r="GH65" s="525"/>
      <c r="GI65" s="525"/>
      <c r="GJ65" s="525"/>
      <c r="GK65" s="525"/>
      <c r="GL65" s="525"/>
      <c r="GM65" s="525"/>
      <c r="GN65" s="525"/>
      <c r="GO65" s="525"/>
      <c r="GP65" s="525"/>
      <c r="GQ65" s="525"/>
      <c r="GR65" s="525"/>
      <c r="GS65" s="525"/>
      <c r="GT65" s="525"/>
      <c r="GU65" s="525"/>
      <c r="GV65" s="525"/>
      <c r="GW65" s="525"/>
      <c r="GX65" s="525"/>
      <c r="GY65" s="525"/>
      <c r="GZ65" s="525"/>
      <c r="HA65" s="525"/>
      <c r="HB65" s="525"/>
      <c r="HC65" s="525"/>
      <c r="HD65" s="525"/>
      <c r="HE65" s="525"/>
      <c r="HF65" s="525"/>
      <c r="HG65" s="525"/>
      <c r="HH65" s="525"/>
      <c r="HI65" s="525"/>
      <c r="HJ65" s="525"/>
      <c r="HK65" s="525"/>
      <c r="HL65" s="525"/>
      <c r="HM65" s="525"/>
      <c r="HN65" s="525"/>
      <c r="HO65" s="525"/>
      <c r="HP65" s="525"/>
      <c r="HQ65" s="525"/>
      <c r="HR65" s="525"/>
      <c r="HS65" s="525"/>
      <c r="HT65" s="525"/>
      <c r="HU65" s="525"/>
      <c r="HV65" s="525"/>
      <c r="HW65" s="525"/>
      <c r="HX65" s="525"/>
      <c r="HY65" s="525"/>
      <c r="HZ65" s="525"/>
      <c r="IA65" s="525"/>
      <c r="IB65" s="525"/>
      <c r="IC65" s="525"/>
      <c r="ID65" s="525"/>
      <c r="IE65" s="525"/>
      <c r="IF65" s="525"/>
      <c r="IG65" s="525"/>
      <c r="IH65" s="525"/>
      <c r="II65" s="525"/>
      <c r="IJ65" s="525"/>
      <c r="IK65" s="525"/>
    </row>
    <row r="66" spans="1:245" s="976" customFormat="1" ht="20.100000000000001" customHeight="1" x14ac:dyDescent="0.25">
      <c r="A66" s="525"/>
      <c r="B66" s="985"/>
      <c r="C66" s="986"/>
      <c r="D66" s="986"/>
      <c r="E66" s="986"/>
      <c r="F66" s="986"/>
      <c r="G66" s="986"/>
      <c r="H66" s="525"/>
      <c r="I66" s="2605">
        <f t="shared" si="28"/>
        <v>42</v>
      </c>
      <c r="J66" s="2607">
        <f t="shared" si="43"/>
        <v>0</v>
      </c>
      <c r="K66" s="2606">
        <f t="shared" si="38"/>
        <v>0</v>
      </c>
      <c r="L66" s="2608">
        <f t="shared" si="48"/>
        <v>0</v>
      </c>
      <c r="M66" s="2607">
        <f t="shared" si="29"/>
        <v>0</v>
      </c>
      <c r="N66" s="525"/>
      <c r="O66" s="2605">
        <f t="shared" si="30"/>
        <v>42</v>
      </c>
      <c r="P66" s="2607">
        <f t="shared" si="44"/>
        <v>0</v>
      </c>
      <c r="Q66" s="2606">
        <f t="shared" si="39"/>
        <v>0</v>
      </c>
      <c r="R66" s="2608">
        <f t="shared" si="49"/>
        <v>0</v>
      </c>
      <c r="S66" s="2607">
        <f t="shared" si="31"/>
        <v>0</v>
      </c>
      <c r="T66" s="525"/>
      <c r="U66" s="2605">
        <f t="shared" si="32"/>
        <v>42</v>
      </c>
      <c r="V66" s="2607">
        <f t="shared" si="45"/>
        <v>0</v>
      </c>
      <c r="W66" s="2606">
        <f t="shared" si="40"/>
        <v>0</v>
      </c>
      <c r="X66" s="2608">
        <f t="shared" si="50"/>
        <v>0</v>
      </c>
      <c r="Y66" s="2607">
        <f t="shared" si="33"/>
        <v>0</v>
      </c>
      <c r="Z66" s="525"/>
      <c r="AA66" s="2605">
        <f t="shared" si="34"/>
        <v>42</v>
      </c>
      <c r="AB66" s="2607">
        <f t="shared" si="46"/>
        <v>0</v>
      </c>
      <c r="AC66" s="2606">
        <f t="shared" si="41"/>
        <v>0</v>
      </c>
      <c r="AD66" s="2608">
        <f t="shared" si="51"/>
        <v>0</v>
      </c>
      <c r="AE66" s="2607">
        <f t="shared" si="35"/>
        <v>0</v>
      </c>
      <c r="AF66" s="525"/>
      <c r="AG66" s="2605">
        <f t="shared" si="36"/>
        <v>42</v>
      </c>
      <c r="AH66" s="2607">
        <f t="shared" si="47"/>
        <v>0</v>
      </c>
      <c r="AI66" s="2606">
        <f t="shared" si="42"/>
        <v>0</v>
      </c>
      <c r="AJ66" s="2608">
        <f t="shared" si="52"/>
        <v>0</v>
      </c>
      <c r="AK66" s="2607">
        <f t="shared" si="37"/>
        <v>0</v>
      </c>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525"/>
      <c r="BN66" s="525"/>
      <c r="BO66" s="525"/>
      <c r="BP66" s="525"/>
      <c r="BQ66" s="525"/>
      <c r="BR66" s="525"/>
      <c r="BS66" s="525"/>
      <c r="BT66" s="525"/>
      <c r="BU66" s="525"/>
      <c r="BV66" s="525"/>
      <c r="BW66" s="525"/>
      <c r="BX66" s="525"/>
      <c r="BY66" s="525"/>
      <c r="BZ66" s="525"/>
      <c r="CA66" s="525"/>
      <c r="CB66" s="525"/>
      <c r="CC66" s="525"/>
      <c r="CD66" s="525"/>
      <c r="CE66" s="525"/>
      <c r="CF66" s="525"/>
      <c r="CG66" s="525"/>
      <c r="CH66" s="525"/>
      <c r="CI66" s="525"/>
      <c r="CJ66" s="525"/>
      <c r="CK66" s="525"/>
      <c r="CL66" s="525"/>
      <c r="CM66" s="525"/>
      <c r="CN66" s="525"/>
      <c r="CO66" s="525"/>
      <c r="CP66" s="525"/>
      <c r="CQ66" s="525"/>
      <c r="CR66" s="525"/>
      <c r="CS66" s="525"/>
      <c r="CT66" s="525"/>
      <c r="CU66" s="525"/>
      <c r="CV66" s="525"/>
      <c r="CW66" s="525"/>
      <c r="CX66" s="525"/>
      <c r="CY66" s="525"/>
      <c r="CZ66" s="525"/>
      <c r="DA66" s="525"/>
      <c r="DB66" s="525"/>
      <c r="DC66" s="525"/>
      <c r="DD66" s="525"/>
      <c r="DE66" s="525"/>
      <c r="DF66" s="525"/>
      <c r="DG66" s="525"/>
      <c r="DH66" s="525"/>
      <c r="DI66" s="525"/>
      <c r="DJ66" s="525"/>
      <c r="DK66" s="525"/>
      <c r="DL66" s="525"/>
      <c r="DM66" s="525"/>
      <c r="DN66" s="525"/>
      <c r="DO66" s="525"/>
      <c r="DP66" s="525"/>
      <c r="DQ66" s="525"/>
      <c r="DR66" s="525"/>
      <c r="DS66" s="525"/>
      <c r="DT66" s="525"/>
      <c r="DU66" s="525"/>
      <c r="DV66" s="525"/>
      <c r="DW66" s="525"/>
      <c r="DX66" s="525"/>
      <c r="DY66" s="525"/>
      <c r="DZ66" s="525"/>
      <c r="EA66" s="525"/>
      <c r="EB66" s="525"/>
      <c r="EC66" s="525"/>
      <c r="ED66" s="525"/>
      <c r="EE66" s="525"/>
      <c r="EF66" s="525"/>
      <c r="EG66" s="525"/>
      <c r="EH66" s="525"/>
      <c r="EI66" s="525"/>
      <c r="EJ66" s="525"/>
      <c r="EK66" s="525"/>
      <c r="EL66" s="525"/>
      <c r="EM66" s="525"/>
      <c r="EN66" s="525"/>
      <c r="EO66" s="525"/>
      <c r="EP66" s="525"/>
      <c r="EQ66" s="525"/>
      <c r="ER66" s="525"/>
      <c r="ES66" s="525"/>
      <c r="ET66" s="525"/>
      <c r="EU66" s="525"/>
      <c r="EV66" s="525"/>
      <c r="EW66" s="525"/>
      <c r="EX66" s="525"/>
      <c r="EY66" s="525"/>
      <c r="EZ66" s="525"/>
      <c r="FA66" s="525"/>
      <c r="FB66" s="525"/>
      <c r="FC66" s="525"/>
      <c r="FD66" s="525"/>
      <c r="FE66" s="525"/>
      <c r="FF66" s="525"/>
      <c r="FG66" s="525"/>
      <c r="FH66" s="525"/>
      <c r="FI66" s="525"/>
      <c r="FJ66" s="525"/>
      <c r="FK66" s="525"/>
      <c r="FL66" s="525"/>
      <c r="FM66" s="525"/>
      <c r="FN66" s="525"/>
      <c r="FO66" s="525"/>
      <c r="FP66" s="525"/>
      <c r="FQ66" s="525"/>
      <c r="FR66" s="525"/>
      <c r="FS66" s="525"/>
      <c r="FT66" s="525"/>
      <c r="FU66" s="525"/>
      <c r="FV66" s="525"/>
      <c r="FW66" s="525"/>
      <c r="FX66" s="525"/>
      <c r="FY66" s="525"/>
      <c r="FZ66" s="525"/>
      <c r="GA66" s="525"/>
      <c r="GB66" s="525"/>
      <c r="GC66" s="525"/>
      <c r="GD66" s="525"/>
      <c r="GE66" s="525"/>
      <c r="GF66" s="525"/>
      <c r="GG66" s="525"/>
      <c r="GH66" s="525"/>
      <c r="GI66" s="525"/>
      <c r="GJ66" s="525"/>
      <c r="GK66" s="525"/>
      <c r="GL66" s="525"/>
      <c r="GM66" s="525"/>
      <c r="GN66" s="525"/>
      <c r="GO66" s="525"/>
      <c r="GP66" s="525"/>
      <c r="GQ66" s="525"/>
      <c r="GR66" s="525"/>
      <c r="GS66" s="525"/>
      <c r="GT66" s="525"/>
      <c r="GU66" s="525"/>
      <c r="GV66" s="525"/>
      <c r="GW66" s="525"/>
      <c r="GX66" s="525"/>
      <c r="GY66" s="525"/>
      <c r="GZ66" s="525"/>
      <c r="HA66" s="525"/>
      <c r="HB66" s="525"/>
      <c r="HC66" s="525"/>
      <c r="HD66" s="525"/>
      <c r="HE66" s="525"/>
      <c r="HF66" s="525"/>
      <c r="HG66" s="525"/>
      <c r="HH66" s="525"/>
      <c r="HI66" s="525"/>
      <c r="HJ66" s="525"/>
      <c r="HK66" s="525"/>
      <c r="HL66" s="525"/>
      <c r="HM66" s="525"/>
      <c r="HN66" s="525"/>
      <c r="HO66" s="525"/>
      <c r="HP66" s="525"/>
      <c r="HQ66" s="525"/>
      <c r="HR66" s="525"/>
      <c r="HS66" s="525"/>
      <c r="HT66" s="525"/>
      <c r="HU66" s="525"/>
      <c r="HV66" s="525"/>
      <c r="HW66" s="525"/>
      <c r="HX66" s="525"/>
      <c r="HY66" s="525"/>
      <c r="HZ66" s="525"/>
      <c r="IA66" s="525"/>
      <c r="IB66" s="525"/>
      <c r="IC66" s="525"/>
      <c r="ID66" s="525"/>
      <c r="IE66" s="525"/>
      <c r="IF66" s="525"/>
      <c r="IG66" s="525"/>
      <c r="IH66" s="525"/>
      <c r="II66" s="525"/>
      <c r="IJ66" s="525"/>
      <c r="IK66" s="525"/>
    </row>
    <row r="67" spans="1:245" s="976" customFormat="1" ht="20.100000000000001" customHeight="1" x14ac:dyDescent="0.25">
      <c r="A67" s="525"/>
      <c r="B67" s="985"/>
      <c r="C67" s="986"/>
      <c r="D67" s="986"/>
      <c r="E67" s="986"/>
      <c r="F67" s="986"/>
      <c r="G67" s="986"/>
      <c r="H67" s="525"/>
      <c r="I67" s="2605">
        <f t="shared" si="28"/>
        <v>43</v>
      </c>
      <c r="J67" s="2607">
        <f t="shared" si="43"/>
        <v>0</v>
      </c>
      <c r="K67" s="2606">
        <f t="shared" si="38"/>
        <v>0</v>
      </c>
      <c r="L67" s="2608">
        <f t="shared" si="48"/>
        <v>0</v>
      </c>
      <c r="M67" s="2607">
        <f t="shared" si="29"/>
        <v>0</v>
      </c>
      <c r="N67" s="525"/>
      <c r="O67" s="2605">
        <f t="shared" si="30"/>
        <v>43</v>
      </c>
      <c r="P67" s="2607">
        <f t="shared" si="44"/>
        <v>0</v>
      </c>
      <c r="Q67" s="2606">
        <f t="shared" si="39"/>
        <v>0</v>
      </c>
      <c r="R67" s="2608">
        <f t="shared" si="49"/>
        <v>0</v>
      </c>
      <c r="S67" s="2607">
        <f t="shared" si="31"/>
        <v>0</v>
      </c>
      <c r="T67" s="525"/>
      <c r="U67" s="2605">
        <f t="shared" si="32"/>
        <v>43</v>
      </c>
      <c r="V67" s="2607">
        <f t="shared" si="45"/>
        <v>0</v>
      </c>
      <c r="W67" s="2606">
        <f t="shared" si="40"/>
        <v>0</v>
      </c>
      <c r="X67" s="2608">
        <f t="shared" si="50"/>
        <v>0</v>
      </c>
      <c r="Y67" s="2607">
        <f t="shared" si="33"/>
        <v>0</v>
      </c>
      <c r="Z67" s="525"/>
      <c r="AA67" s="2605">
        <f t="shared" si="34"/>
        <v>43</v>
      </c>
      <c r="AB67" s="2607">
        <f t="shared" si="46"/>
        <v>0</v>
      </c>
      <c r="AC67" s="2606">
        <f t="shared" si="41"/>
        <v>0</v>
      </c>
      <c r="AD67" s="2608">
        <f t="shared" si="51"/>
        <v>0</v>
      </c>
      <c r="AE67" s="2607">
        <f t="shared" si="35"/>
        <v>0</v>
      </c>
      <c r="AF67" s="525"/>
      <c r="AG67" s="2605">
        <f t="shared" si="36"/>
        <v>43</v>
      </c>
      <c r="AH67" s="2607">
        <f t="shared" si="47"/>
        <v>0</v>
      </c>
      <c r="AI67" s="2606">
        <f t="shared" si="42"/>
        <v>0</v>
      </c>
      <c r="AJ67" s="2608">
        <f t="shared" si="52"/>
        <v>0</v>
      </c>
      <c r="AK67" s="2607">
        <f t="shared" si="37"/>
        <v>0</v>
      </c>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c r="BX67" s="525"/>
      <c r="BY67" s="525"/>
      <c r="BZ67" s="525"/>
      <c r="CA67" s="525"/>
      <c r="CB67" s="525"/>
      <c r="CC67" s="525"/>
      <c r="CD67" s="525"/>
      <c r="CE67" s="525"/>
      <c r="CF67" s="525"/>
      <c r="CG67" s="525"/>
      <c r="CH67" s="525"/>
      <c r="CI67" s="525"/>
      <c r="CJ67" s="525"/>
      <c r="CK67" s="525"/>
      <c r="CL67" s="525"/>
      <c r="CM67" s="525"/>
      <c r="CN67" s="525"/>
      <c r="CO67" s="525"/>
      <c r="CP67" s="525"/>
      <c r="CQ67" s="525"/>
      <c r="CR67" s="525"/>
      <c r="CS67" s="525"/>
      <c r="CT67" s="525"/>
      <c r="CU67" s="525"/>
      <c r="CV67" s="525"/>
      <c r="CW67" s="525"/>
      <c r="CX67" s="525"/>
      <c r="CY67" s="525"/>
      <c r="CZ67" s="525"/>
      <c r="DA67" s="525"/>
      <c r="DB67" s="525"/>
      <c r="DC67" s="525"/>
      <c r="DD67" s="525"/>
      <c r="DE67" s="525"/>
      <c r="DF67" s="525"/>
      <c r="DG67" s="525"/>
      <c r="DH67" s="525"/>
      <c r="DI67" s="525"/>
      <c r="DJ67" s="525"/>
      <c r="DK67" s="525"/>
      <c r="DL67" s="525"/>
      <c r="DM67" s="525"/>
      <c r="DN67" s="525"/>
      <c r="DO67" s="525"/>
      <c r="DP67" s="525"/>
      <c r="DQ67" s="525"/>
      <c r="DR67" s="525"/>
      <c r="DS67" s="525"/>
      <c r="DT67" s="525"/>
      <c r="DU67" s="525"/>
      <c r="DV67" s="525"/>
      <c r="DW67" s="525"/>
      <c r="DX67" s="525"/>
      <c r="DY67" s="525"/>
      <c r="DZ67" s="525"/>
      <c r="EA67" s="525"/>
      <c r="EB67" s="525"/>
      <c r="EC67" s="525"/>
      <c r="ED67" s="525"/>
      <c r="EE67" s="525"/>
      <c r="EF67" s="525"/>
      <c r="EG67" s="525"/>
      <c r="EH67" s="525"/>
      <c r="EI67" s="525"/>
      <c r="EJ67" s="525"/>
      <c r="EK67" s="525"/>
      <c r="EL67" s="525"/>
      <c r="EM67" s="525"/>
      <c r="EN67" s="525"/>
      <c r="EO67" s="525"/>
      <c r="EP67" s="525"/>
      <c r="EQ67" s="525"/>
      <c r="ER67" s="525"/>
      <c r="ES67" s="525"/>
      <c r="ET67" s="525"/>
      <c r="EU67" s="525"/>
      <c r="EV67" s="525"/>
      <c r="EW67" s="525"/>
      <c r="EX67" s="525"/>
      <c r="EY67" s="525"/>
      <c r="EZ67" s="525"/>
      <c r="FA67" s="525"/>
      <c r="FB67" s="525"/>
      <c r="FC67" s="525"/>
      <c r="FD67" s="525"/>
      <c r="FE67" s="525"/>
      <c r="FF67" s="525"/>
      <c r="FG67" s="525"/>
      <c r="FH67" s="525"/>
      <c r="FI67" s="525"/>
      <c r="FJ67" s="525"/>
      <c r="FK67" s="525"/>
      <c r="FL67" s="525"/>
      <c r="FM67" s="525"/>
      <c r="FN67" s="525"/>
      <c r="FO67" s="525"/>
      <c r="FP67" s="525"/>
      <c r="FQ67" s="525"/>
      <c r="FR67" s="525"/>
      <c r="FS67" s="525"/>
      <c r="FT67" s="525"/>
      <c r="FU67" s="525"/>
      <c r="FV67" s="525"/>
      <c r="FW67" s="525"/>
      <c r="FX67" s="525"/>
      <c r="FY67" s="525"/>
      <c r="FZ67" s="525"/>
      <c r="GA67" s="525"/>
      <c r="GB67" s="525"/>
      <c r="GC67" s="525"/>
      <c r="GD67" s="525"/>
      <c r="GE67" s="525"/>
      <c r="GF67" s="525"/>
      <c r="GG67" s="525"/>
      <c r="GH67" s="525"/>
      <c r="GI67" s="525"/>
      <c r="GJ67" s="525"/>
      <c r="GK67" s="525"/>
      <c r="GL67" s="525"/>
      <c r="GM67" s="525"/>
      <c r="GN67" s="525"/>
      <c r="GO67" s="525"/>
      <c r="GP67" s="525"/>
      <c r="GQ67" s="525"/>
      <c r="GR67" s="525"/>
      <c r="GS67" s="525"/>
      <c r="GT67" s="525"/>
      <c r="GU67" s="525"/>
      <c r="GV67" s="525"/>
      <c r="GW67" s="525"/>
      <c r="GX67" s="525"/>
      <c r="GY67" s="525"/>
      <c r="GZ67" s="525"/>
      <c r="HA67" s="525"/>
      <c r="HB67" s="525"/>
      <c r="HC67" s="525"/>
      <c r="HD67" s="525"/>
      <c r="HE67" s="525"/>
      <c r="HF67" s="525"/>
      <c r="HG67" s="525"/>
      <c r="HH67" s="525"/>
      <c r="HI67" s="525"/>
      <c r="HJ67" s="525"/>
      <c r="HK67" s="525"/>
      <c r="HL67" s="525"/>
      <c r="HM67" s="525"/>
      <c r="HN67" s="525"/>
      <c r="HO67" s="525"/>
      <c r="HP67" s="525"/>
      <c r="HQ67" s="525"/>
      <c r="HR67" s="525"/>
      <c r="HS67" s="525"/>
      <c r="HT67" s="525"/>
      <c r="HU67" s="525"/>
      <c r="HV67" s="525"/>
      <c r="HW67" s="525"/>
      <c r="HX67" s="525"/>
      <c r="HY67" s="525"/>
      <c r="HZ67" s="525"/>
      <c r="IA67" s="525"/>
      <c r="IB67" s="525"/>
      <c r="IC67" s="525"/>
      <c r="ID67" s="525"/>
      <c r="IE67" s="525"/>
      <c r="IF67" s="525"/>
      <c r="IG67" s="525"/>
      <c r="IH67" s="525"/>
      <c r="II67" s="525"/>
      <c r="IJ67" s="525"/>
      <c r="IK67" s="525"/>
    </row>
    <row r="68" spans="1:245" s="976" customFormat="1" ht="20.100000000000001" customHeight="1" x14ac:dyDescent="0.25">
      <c r="A68" s="525"/>
      <c r="B68" s="985"/>
      <c r="C68" s="986"/>
      <c r="D68" s="986"/>
      <c r="E68" s="986"/>
      <c r="F68" s="986"/>
      <c r="G68" s="986"/>
      <c r="H68" s="525"/>
      <c r="I68" s="2605">
        <f t="shared" si="28"/>
        <v>44</v>
      </c>
      <c r="J68" s="2607">
        <f t="shared" si="43"/>
        <v>0</v>
      </c>
      <c r="K68" s="2606">
        <f t="shared" si="38"/>
        <v>0</v>
      </c>
      <c r="L68" s="2608">
        <f t="shared" si="48"/>
        <v>0</v>
      </c>
      <c r="M68" s="2607">
        <f t="shared" si="29"/>
        <v>0</v>
      </c>
      <c r="N68" s="525"/>
      <c r="O68" s="2605">
        <f t="shared" si="30"/>
        <v>44</v>
      </c>
      <c r="P68" s="2607">
        <f t="shared" si="44"/>
        <v>0</v>
      </c>
      <c r="Q68" s="2606">
        <f t="shared" si="39"/>
        <v>0</v>
      </c>
      <c r="R68" s="2608">
        <f t="shared" si="49"/>
        <v>0</v>
      </c>
      <c r="S68" s="2607">
        <f t="shared" si="31"/>
        <v>0</v>
      </c>
      <c r="T68" s="525"/>
      <c r="U68" s="2605">
        <f t="shared" si="32"/>
        <v>44</v>
      </c>
      <c r="V68" s="2607">
        <f t="shared" si="45"/>
        <v>0</v>
      </c>
      <c r="W68" s="2606">
        <f t="shared" si="40"/>
        <v>0</v>
      </c>
      <c r="X68" s="2608">
        <f t="shared" si="50"/>
        <v>0</v>
      </c>
      <c r="Y68" s="2607">
        <f t="shared" si="33"/>
        <v>0</v>
      </c>
      <c r="Z68" s="525"/>
      <c r="AA68" s="2605">
        <f t="shared" si="34"/>
        <v>44</v>
      </c>
      <c r="AB68" s="2607">
        <f t="shared" si="46"/>
        <v>0</v>
      </c>
      <c r="AC68" s="2606">
        <f t="shared" si="41"/>
        <v>0</v>
      </c>
      <c r="AD68" s="2608">
        <f t="shared" si="51"/>
        <v>0</v>
      </c>
      <c r="AE68" s="2607">
        <f t="shared" si="35"/>
        <v>0</v>
      </c>
      <c r="AF68" s="525"/>
      <c r="AG68" s="2605">
        <f t="shared" si="36"/>
        <v>44</v>
      </c>
      <c r="AH68" s="2607">
        <f t="shared" si="47"/>
        <v>0</v>
      </c>
      <c r="AI68" s="2606">
        <f t="shared" si="42"/>
        <v>0</v>
      </c>
      <c r="AJ68" s="2608">
        <f t="shared" si="52"/>
        <v>0</v>
      </c>
      <c r="AK68" s="2607">
        <f t="shared" si="37"/>
        <v>0</v>
      </c>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c r="BX68" s="525"/>
      <c r="BY68" s="525"/>
      <c r="BZ68" s="525"/>
      <c r="CA68" s="525"/>
      <c r="CB68" s="525"/>
      <c r="CC68" s="525"/>
      <c r="CD68" s="525"/>
      <c r="CE68" s="525"/>
      <c r="CF68" s="525"/>
      <c r="CG68" s="525"/>
      <c r="CH68" s="525"/>
      <c r="CI68" s="525"/>
      <c r="CJ68" s="525"/>
      <c r="CK68" s="525"/>
      <c r="CL68" s="525"/>
      <c r="CM68" s="525"/>
      <c r="CN68" s="525"/>
      <c r="CO68" s="525"/>
      <c r="CP68" s="525"/>
      <c r="CQ68" s="525"/>
      <c r="CR68" s="525"/>
      <c r="CS68" s="525"/>
      <c r="CT68" s="525"/>
      <c r="CU68" s="525"/>
      <c r="CV68" s="525"/>
      <c r="CW68" s="525"/>
      <c r="CX68" s="525"/>
      <c r="CY68" s="525"/>
      <c r="CZ68" s="525"/>
      <c r="DA68" s="525"/>
      <c r="DB68" s="525"/>
      <c r="DC68" s="525"/>
      <c r="DD68" s="525"/>
      <c r="DE68" s="525"/>
      <c r="DF68" s="525"/>
      <c r="DG68" s="525"/>
      <c r="DH68" s="525"/>
      <c r="DI68" s="525"/>
      <c r="DJ68" s="525"/>
      <c r="DK68" s="525"/>
      <c r="DL68" s="525"/>
      <c r="DM68" s="525"/>
      <c r="DN68" s="525"/>
      <c r="DO68" s="525"/>
      <c r="DP68" s="525"/>
      <c r="DQ68" s="525"/>
      <c r="DR68" s="525"/>
      <c r="DS68" s="525"/>
      <c r="DT68" s="525"/>
      <c r="DU68" s="525"/>
      <c r="DV68" s="525"/>
      <c r="DW68" s="525"/>
      <c r="DX68" s="525"/>
      <c r="DY68" s="525"/>
      <c r="DZ68" s="525"/>
      <c r="EA68" s="525"/>
      <c r="EB68" s="525"/>
      <c r="EC68" s="525"/>
      <c r="ED68" s="525"/>
      <c r="EE68" s="525"/>
      <c r="EF68" s="525"/>
      <c r="EG68" s="525"/>
      <c r="EH68" s="525"/>
      <c r="EI68" s="525"/>
      <c r="EJ68" s="525"/>
      <c r="EK68" s="525"/>
      <c r="EL68" s="525"/>
      <c r="EM68" s="525"/>
      <c r="EN68" s="525"/>
      <c r="EO68" s="525"/>
      <c r="EP68" s="525"/>
      <c r="EQ68" s="525"/>
      <c r="ER68" s="525"/>
      <c r="ES68" s="525"/>
      <c r="ET68" s="525"/>
      <c r="EU68" s="525"/>
      <c r="EV68" s="525"/>
      <c r="EW68" s="525"/>
      <c r="EX68" s="525"/>
      <c r="EY68" s="525"/>
      <c r="EZ68" s="525"/>
      <c r="FA68" s="525"/>
      <c r="FB68" s="525"/>
      <c r="FC68" s="525"/>
      <c r="FD68" s="525"/>
      <c r="FE68" s="525"/>
      <c r="FF68" s="525"/>
      <c r="FG68" s="525"/>
      <c r="FH68" s="525"/>
      <c r="FI68" s="525"/>
      <c r="FJ68" s="525"/>
      <c r="FK68" s="525"/>
      <c r="FL68" s="525"/>
      <c r="FM68" s="525"/>
      <c r="FN68" s="525"/>
      <c r="FO68" s="525"/>
      <c r="FP68" s="525"/>
      <c r="FQ68" s="525"/>
      <c r="FR68" s="525"/>
      <c r="FS68" s="525"/>
      <c r="FT68" s="525"/>
      <c r="FU68" s="525"/>
      <c r="FV68" s="525"/>
      <c r="FW68" s="525"/>
      <c r="FX68" s="525"/>
      <c r="FY68" s="525"/>
      <c r="FZ68" s="525"/>
      <c r="GA68" s="525"/>
      <c r="GB68" s="525"/>
      <c r="GC68" s="525"/>
      <c r="GD68" s="525"/>
      <c r="GE68" s="525"/>
      <c r="GF68" s="525"/>
      <c r="GG68" s="525"/>
      <c r="GH68" s="525"/>
      <c r="GI68" s="525"/>
      <c r="GJ68" s="525"/>
      <c r="GK68" s="525"/>
      <c r="GL68" s="525"/>
      <c r="GM68" s="525"/>
      <c r="GN68" s="525"/>
      <c r="GO68" s="525"/>
      <c r="GP68" s="525"/>
      <c r="GQ68" s="525"/>
      <c r="GR68" s="525"/>
      <c r="GS68" s="525"/>
      <c r="GT68" s="525"/>
      <c r="GU68" s="525"/>
      <c r="GV68" s="525"/>
      <c r="GW68" s="525"/>
      <c r="GX68" s="525"/>
      <c r="GY68" s="525"/>
      <c r="GZ68" s="525"/>
      <c r="HA68" s="525"/>
      <c r="HB68" s="525"/>
      <c r="HC68" s="525"/>
      <c r="HD68" s="525"/>
      <c r="HE68" s="525"/>
      <c r="HF68" s="525"/>
      <c r="HG68" s="525"/>
      <c r="HH68" s="525"/>
      <c r="HI68" s="525"/>
      <c r="HJ68" s="525"/>
      <c r="HK68" s="525"/>
      <c r="HL68" s="525"/>
      <c r="HM68" s="525"/>
      <c r="HN68" s="525"/>
      <c r="HO68" s="525"/>
      <c r="HP68" s="525"/>
      <c r="HQ68" s="525"/>
      <c r="HR68" s="525"/>
      <c r="HS68" s="525"/>
      <c r="HT68" s="525"/>
      <c r="HU68" s="525"/>
      <c r="HV68" s="525"/>
      <c r="HW68" s="525"/>
      <c r="HX68" s="525"/>
      <c r="HY68" s="525"/>
      <c r="HZ68" s="525"/>
      <c r="IA68" s="525"/>
      <c r="IB68" s="525"/>
      <c r="IC68" s="525"/>
      <c r="ID68" s="525"/>
      <c r="IE68" s="525"/>
      <c r="IF68" s="525"/>
      <c r="IG68" s="525"/>
      <c r="IH68" s="525"/>
      <c r="II68" s="525"/>
      <c r="IJ68" s="525"/>
      <c r="IK68" s="525"/>
    </row>
    <row r="69" spans="1:245" s="976" customFormat="1" ht="20.100000000000001" customHeight="1" x14ac:dyDescent="0.25">
      <c r="A69" s="525"/>
      <c r="B69" s="985"/>
      <c r="C69" s="986"/>
      <c r="D69" s="986"/>
      <c r="E69" s="986"/>
      <c r="F69" s="986"/>
      <c r="G69" s="986"/>
      <c r="H69" s="525"/>
      <c r="I69" s="2605">
        <f t="shared" si="28"/>
        <v>45</v>
      </c>
      <c r="J69" s="2607">
        <f t="shared" si="43"/>
        <v>0</v>
      </c>
      <c r="K69" s="2606">
        <f t="shared" si="38"/>
        <v>0</v>
      </c>
      <c r="L69" s="2608">
        <f t="shared" si="48"/>
        <v>0</v>
      </c>
      <c r="M69" s="2607">
        <f t="shared" si="29"/>
        <v>0</v>
      </c>
      <c r="N69" s="525"/>
      <c r="O69" s="2605">
        <f t="shared" si="30"/>
        <v>45</v>
      </c>
      <c r="P69" s="2607">
        <f t="shared" si="44"/>
        <v>0</v>
      </c>
      <c r="Q69" s="2606">
        <f t="shared" si="39"/>
        <v>0</v>
      </c>
      <c r="R69" s="2608">
        <f t="shared" si="49"/>
        <v>0</v>
      </c>
      <c r="S69" s="2607">
        <f t="shared" si="31"/>
        <v>0</v>
      </c>
      <c r="T69" s="525"/>
      <c r="U69" s="2605">
        <f t="shared" si="32"/>
        <v>45</v>
      </c>
      <c r="V69" s="2607">
        <f t="shared" si="45"/>
        <v>0</v>
      </c>
      <c r="W69" s="2606">
        <f t="shared" si="40"/>
        <v>0</v>
      </c>
      <c r="X69" s="2608">
        <f t="shared" si="50"/>
        <v>0</v>
      </c>
      <c r="Y69" s="2607">
        <f t="shared" si="33"/>
        <v>0</v>
      </c>
      <c r="Z69" s="525"/>
      <c r="AA69" s="2605">
        <f t="shared" si="34"/>
        <v>45</v>
      </c>
      <c r="AB69" s="2607">
        <f t="shared" si="46"/>
        <v>0</v>
      </c>
      <c r="AC69" s="2606">
        <f t="shared" si="41"/>
        <v>0</v>
      </c>
      <c r="AD69" s="2608">
        <f t="shared" si="51"/>
        <v>0</v>
      </c>
      <c r="AE69" s="2607">
        <f t="shared" si="35"/>
        <v>0</v>
      </c>
      <c r="AF69" s="525"/>
      <c r="AG69" s="2605">
        <f t="shared" si="36"/>
        <v>45</v>
      </c>
      <c r="AH69" s="2607">
        <f t="shared" si="47"/>
        <v>0</v>
      </c>
      <c r="AI69" s="2606">
        <f t="shared" si="42"/>
        <v>0</v>
      </c>
      <c r="AJ69" s="2608">
        <f t="shared" si="52"/>
        <v>0</v>
      </c>
      <c r="AK69" s="2607">
        <f t="shared" si="37"/>
        <v>0</v>
      </c>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525"/>
      <c r="BI69" s="525"/>
      <c r="BJ69" s="525"/>
      <c r="BK69" s="525"/>
      <c r="BL69" s="525"/>
      <c r="BM69" s="525"/>
      <c r="BN69" s="525"/>
      <c r="BO69" s="525"/>
      <c r="BP69" s="525"/>
      <c r="BQ69" s="525"/>
      <c r="BR69" s="525"/>
      <c r="BS69" s="525"/>
      <c r="BT69" s="525"/>
      <c r="BU69" s="525"/>
      <c r="BV69" s="525"/>
      <c r="BW69" s="525"/>
      <c r="BX69" s="525"/>
      <c r="BY69" s="525"/>
      <c r="BZ69" s="525"/>
      <c r="CA69" s="525"/>
      <c r="CB69" s="525"/>
      <c r="CC69" s="525"/>
      <c r="CD69" s="525"/>
      <c r="CE69" s="525"/>
      <c r="CF69" s="525"/>
      <c r="CG69" s="525"/>
      <c r="CH69" s="525"/>
      <c r="CI69" s="525"/>
      <c r="CJ69" s="525"/>
      <c r="CK69" s="525"/>
      <c r="CL69" s="525"/>
      <c r="CM69" s="525"/>
      <c r="CN69" s="525"/>
      <c r="CO69" s="525"/>
      <c r="CP69" s="525"/>
      <c r="CQ69" s="525"/>
      <c r="CR69" s="525"/>
      <c r="CS69" s="525"/>
      <c r="CT69" s="525"/>
      <c r="CU69" s="525"/>
      <c r="CV69" s="525"/>
      <c r="CW69" s="525"/>
      <c r="CX69" s="525"/>
      <c r="CY69" s="525"/>
      <c r="CZ69" s="525"/>
      <c r="DA69" s="525"/>
      <c r="DB69" s="525"/>
      <c r="DC69" s="525"/>
      <c r="DD69" s="525"/>
      <c r="DE69" s="525"/>
      <c r="DF69" s="525"/>
      <c r="DG69" s="525"/>
      <c r="DH69" s="525"/>
      <c r="DI69" s="525"/>
      <c r="DJ69" s="525"/>
      <c r="DK69" s="525"/>
      <c r="DL69" s="525"/>
      <c r="DM69" s="525"/>
      <c r="DN69" s="525"/>
      <c r="DO69" s="525"/>
      <c r="DP69" s="525"/>
      <c r="DQ69" s="525"/>
      <c r="DR69" s="525"/>
      <c r="DS69" s="525"/>
      <c r="DT69" s="525"/>
      <c r="DU69" s="525"/>
      <c r="DV69" s="525"/>
      <c r="DW69" s="525"/>
      <c r="DX69" s="525"/>
      <c r="DY69" s="525"/>
      <c r="DZ69" s="525"/>
      <c r="EA69" s="525"/>
      <c r="EB69" s="525"/>
      <c r="EC69" s="525"/>
      <c r="ED69" s="525"/>
      <c r="EE69" s="525"/>
      <c r="EF69" s="525"/>
      <c r="EG69" s="525"/>
      <c r="EH69" s="525"/>
      <c r="EI69" s="525"/>
      <c r="EJ69" s="525"/>
      <c r="EK69" s="525"/>
      <c r="EL69" s="525"/>
      <c r="EM69" s="525"/>
      <c r="EN69" s="525"/>
      <c r="EO69" s="525"/>
      <c r="EP69" s="525"/>
      <c r="EQ69" s="525"/>
      <c r="ER69" s="525"/>
      <c r="ES69" s="525"/>
      <c r="ET69" s="525"/>
      <c r="EU69" s="525"/>
      <c r="EV69" s="525"/>
      <c r="EW69" s="525"/>
      <c r="EX69" s="525"/>
      <c r="EY69" s="525"/>
      <c r="EZ69" s="525"/>
      <c r="FA69" s="525"/>
      <c r="FB69" s="525"/>
      <c r="FC69" s="525"/>
      <c r="FD69" s="525"/>
      <c r="FE69" s="525"/>
      <c r="FF69" s="525"/>
      <c r="FG69" s="525"/>
      <c r="FH69" s="525"/>
      <c r="FI69" s="525"/>
      <c r="FJ69" s="525"/>
      <c r="FK69" s="525"/>
      <c r="FL69" s="525"/>
      <c r="FM69" s="525"/>
      <c r="FN69" s="525"/>
      <c r="FO69" s="525"/>
      <c r="FP69" s="525"/>
      <c r="FQ69" s="525"/>
      <c r="FR69" s="525"/>
      <c r="FS69" s="525"/>
      <c r="FT69" s="525"/>
      <c r="FU69" s="525"/>
      <c r="FV69" s="525"/>
      <c r="FW69" s="525"/>
      <c r="FX69" s="525"/>
      <c r="FY69" s="525"/>
      <c r="FZ69" s="525"/>
      <c r="GA69" s="525"/>
      <c r="GB69" s="525"/>
      <c r="GC69" s="525"/>
      <c r="GD69" s="525"/>
      <c r="GE69" s="525"/>
      <c r="GF69" s="525"/>
      <c r="GG69" s="525"/>
      <c r="GH69" s="525"/>
      <c r="GI69" s="525"/>
      <c r="GJ69" s="525"/>
      <c r="GK69" s="525"/>
      <c r="GL69" s="525"/>
      <c r="GM69" s="525"/>
      <c r="GN69" s="525"/>
      <c r="GO69" s="525"/>
      <c r="GP69" s="525"/>
      <c r="GQ69" s="525"/>
      <c r="GR69" s="525"/>
      <c r="GS69" s="525"/>
      <c r="GT69" s="525"/>
      <c r="GU69" s="525"/>
      <c r="GV69" s="525"/>
      <c r="GW69" s="525"/>
      <c r="GX69" s="525"/>
      <c r="GY69" s="525"/>
      <c r="GZ69" s="525"/>
      <c r="HA69" s="525"/>
      <c r="HB69" s="525"/>
      <c r="HC69" s="525"/>
      <c r="HD69" s="525"/>
      <c r="HE69" s="525"/>
      <c r="HF69" s="525"/>
      <c r="HG69" s="525"/>
      <c r="HH69" s="525"/>
      <c r="HI69" s="525"/>
      <c r="HJ69" s="525"/>
      <c r="HK69" s="525"/>
      <c r="HL69" s="525"/>
      <c r="HM69" s="525"/>
      <c r="HN69" s="525"/>
      <c r="HO69" s="525"/>
      <c r="HP69" s="525"/>
      <c r="HQ69" s="525"/>
      <c r="HR69" s="525"/>
      <c r="HS69" s="525"/>
      <c r="HT69" s="525"/>
      <c r="HU69" s="525"/>
      <c r="HV69" s="525"/>
      <c r="HW69" s="525"/>
      <c r="HX69" s="525"/>
      <c r="HY69" s="525"/>
      <c r="HZ69" s="525"/>
      <c r="IA69" s="525"/>
      <c r="IB69" s="525"/>
      <c r="IC69" s="525"/>
      <c r="ID69" s="525"/>
      <c r="IE69" s="525"/>
      <c r="IF69" s="525"/>
      <c r="IG69" s="525"/>
      <c r="IH69" s="525"/>
      <c r="II69" s="525"/>
      <c r="IJ69" s="525"/>
      <c r="IK69" s="525"/>
    </row>
    <row r="70" spans="1:245" s="976" customFormat="1" ht="20.100000000000001" customHeight="1" x14ac:dyDescent="0.25">
      <c r="A70" s="525"/>
      <c r="B70" s="985"/>
      <c r="C70" s="986"/>
      <c r="D70" s="986"/>
      <c r="E70" s="986"/>
      <c r="F70" s="986"/>
      <c r="G70" s="986"/>
      <c r="H70" s="525"/>
      <c r="I70" s="2605">
        <f t="shared" si="28"/>
        <v>46</v>
      </c>
      <c r="J70" s="2607">
        <f t="shared" si="43"/>
        <v>0</v>
      </c>
      <c r="K70" s="2606">
        <f t="shared" si="38"/>
        <v>0</v>
      </c>
      <c r="L70" s="2608">
        <f t="shared" si="48"/>
        <v>0</v>
      </c>
      <c r="M70" s="2607">
        <f t="shared" si="29"/>
        <v>0</v>
      </c>
      <c r="N70" s="525"/>
      <c r="O70" s="2605">
        <f t="shared" si="30"/>
        <v>46</v>
      </c>
      <c r="P70" s="2607">
        <f t="shared" si="44"/>
        <v>0</v>
      </c>
      <c r="Q70" s="2606">
        <f t="shared" si="39"/>
        <v>0</v>
      </c>
      <c r="R70" s="2608">
        <f t="shared" si="49"/>
        <v>0</v>
      </c>
      <c r="S70" s="2607">
        <f t="shared" si="31"/>
        <v>0</v>
      </c>
      <c r="T70" s="525"/>
      <c r="U70" s="2605">
        <f t="shared" si="32"/>
        <v>46</v>
      </c>
      <c r="V70" s="2607">
        <f t="shared" si="45"/>
        <v>0</v>
      </c>
      <c r="W70" s="2606">
        <f t="shared" si="40"/>
        <v>0</v>
      </c>
      <c r="X70" s="2608">
        <f t="shared" si="50"/>
        <v>0</v>
      </c>
      <c r="Y70" s="2607">
        <f t="shared" si="33"/>
        <v>0</v>
      </c>
      <c r="Z70" s="525"/>
      <c r="AA70" s="2605">
        <f t="shared" si="34"/>
        <v>46</v>
      </c>
      <c r="AB70" s="2607">
        <f t="shared" si="46"/>
        <v>0</v>
      </c>
      <c r="AC70" s="2606">
        <f t="shared" si="41"/>
        <v>0</v>
      </c>
      <c r="AD70" s="2608">
        <f t="shared" si="51"/>
        <v>0</v>
      </c>
      <c r="AE70" s="2607">
        <f t="shared" si="35"/>
        <v>0</v>
      </c>
      <c r="AF70" s="525"/>
      <c r="AG70" s="2605">
        <f t="shared" si="36"/>
        <v>46</v>
      </c>
      <c r="AH70" s="2607">
        <f t="shared" si="47"/>
        <v>0</v>
      </c>
      <c r="AI70" s="2606">
        <f t="shared" si="42"/>
        <v>0</v>
      </c>
      <c r="AJ70" s="2608">
        <f t="shared" si="52"/>
        <v>0</v>
      </c>
      <c r="AK70" s="2607">
        <f t="shared" si="37"/>
        <v>0</v>
      </c>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5"/>
      <c r="BH70" s="525"/>
      <c r="BI70" s="525"/>
      <c r="BJ70" s="525"/>
      <c r="BK70" s="525"/>
      <c r="BL70" s="525"/>
      <c r="BM70" s="525"/>
      <c r="BN70" s="525"/>
      <c r="BO70" s="525"/>
      <c r="BP70" s="525"/>
      <c r="BQ70" s="525"/>
      <c r="BR70" s="525"/>
      <c r="BS70" s="525"/>
      <c r="BT70" s="525"/>
      <c r="BU70" s="525"/>
      <c r="BV70" s="525"/>
      <c r="BW70" s="525"/>
      <c r="BX70" s="525"/>
      <c r="BY70" s="525"/>
      <c r="BZ70" s="525"/>
      <c r="CA70" s="525"/>
      <c r="CB70" s="525"/>
      <c r="CC70" s="525"/>
      <c r="CD70" s="525"/>
      <c r="CE70" s="525"/>
      <c r="CF70" s="525"/>
      <c r="CG70" s="525"/>
      <c r="CH70" s="525"/>
      <c r="CI70" s="525"/>
      <c r="CJ70" s="525"/>
      <c r="CK70" s="525"/>
      <c r="CL70" s="525"/>
      <c r="CM70" s="525"/>
      <c r="CN70" s="525"/>
      <c r="CO70" s="525"/>
      <c r="CP70" s="525"/>
      <c r="CQ70" s="525"/>
      <c r="CR70" s="525"/>
      <c r="CS70" s="525"/>
      <c r="CT70" s="525"/>
      <c r="CU70" s="525"/>
      <c r="CV70" s="525"/>
      <c r="CW70" s="525"/>
      <c r="CX70" s="525"/>
      <c r="CY70" s="525"/>
      <c r="CZ70" s="525"/>
      <c r="DA70" s="525"/>
      <c r="DB70" s="525"/>
      <c r="DC70" s="525"/>
      <c r="DD70" s="525"/>
      <c r="DE70" s="525"/>
      <c r="DF70" s="525"/>
      <c r="DG70" s="525"/>
      <c r="DH70" s="525"/>
      <c r="DI70" s="525"/>
      <c r="DJ70" s="525"/>
      <c r="DK70" s="525"/>
      <c r="DL70" s="525"/>
      <c r="DM70" s="525"/>
      <c r="DN70" s="525"/>
      <c r="DO70" s="525"/>
      <c r="DP70" s="525"/>
      <c r="DQ70" s="525"/>
      <c r="DR70" s="525"/>
      <c r="DS70" s="525"/>
      <c r="DT70" s="525"/>
      <c r="DU70" s="525"/>
      <c r="DV70" s="525"/>
      <c r="DW70" s="525"/>
      <c r="DX70" s="525"/>
      <c r="DY70" s="525"/>
      <c r="DZ70" s="525"/>
      <c r="EA70" s="525"/>
      <c r="EB70" s="525"/>
      <c r="EC70" s="525"/>
      <c r="ED70" s="525"/>
      <c r="EE70" s="525"/>
      <c r="EF70" s="525"/>
      <c r="EG70" s="525"/>
      <c r="EH70" s="525"/>
      <c r="EI70" s="525"/>
      <c r="EJ70" s="525"/>
      <c r="EK70" s="525"/>
      <c r="EL70" s="525"/>
      <c r="EM70" s="525"/>
      <c r="EN70" s="525"/>
      <c r="EO70" s="525"/>
      <c r="EP70" s="525"/>
      <c r="EQ70" s="525"/>
      <c r="ER70" s="525"/>
      <c r="ES70" s="525"/>
      <c r="ET70" s="525"/>
      <c r="EU70" s="525"/>
      <c r="EV70" s="525"/>
      <c r="EW70" s="525"/>
      <c r="EX70" s="525"/>
      <c r="EY70" s="525"/>
      <c r="EZ70" s="525"/>
      <c r="FA70" s="525"/>
      <c r="FB70" s="525"/>
      <c r="FC70" s="525"/>
      <c r="FD70" s="525"/>
      <c r="FE70" s="525"/>
      <c r="FF70" s="525"/>
      <c r="FG70" s="525"/>
      <c r="FH70" s="525"/>
      <c r="FI70" s="525"/>
      <c r="FJ70" s="525"/>
      <c r="FK70" s="525"/>
      <c r="FL70" s="525"/>
      <c r="FM70" s="525"/>
      <c r="FN70" s="525"/>
      <c r="FO70" s="525"/>
      <c r="FP70" s="525"/>
      <c r="FQ70" s="525"/>
      <c r="FR70" s="525"/>
      <c r="FS70" s="525"/>
      <c r="FT70" s="525"/>
      <c r="FU70" s="525"/>
      <c r="FV70" s="525"/>
      <c r="FW70" s="525"/>
      <c r="FX70" s="525"/>
      <c r="FY70" s="525"/>
      <c r="FZ70" s="525"/>
      <c r="GA70" s="525"/>
      <c r="GB70" s="525"/>
      <c r="GC70" s="525"/>
      <c r="GD70" s="525"/>
      <c r="GE70" s="525"/>
      <c r="GF70" s="525"/>
      <c r="GG70" s="525"/>
      <c r="GH70" s="525"/>
      <c r="GI70" s="525"/>
      <c r="GJ70" s="525"/>
      <c r="GK70" s="525"/>
      <c r="GL70" s="525"/>
      <c r="GM70" s="525"/>
      <c r="GN70" s="525"/>
      <c r="GO70" s="525"/>
      <c r="GP70" s="525"/>
      <c r="GQ70" s="525"/>
      <c r="GR70" s="525"/>
      <c r="GS70" s="525"/>
      <c r="GT70" s="525"/>
      <c r="GU70" s="525"/>
      <c r="GV70" s="525"/>
      <c r="GW70" s="525"/>
      <c r="GX70" s="525"/>
      <c r="GY70" s="525"/>
      <c r="GZ70" s="525"/>
      <c r="HA70" s="525"/>
      <c r="HB70" s="525"/>
      <c r="HC70" s="525"/>
      <c r="HD70" s="525"/>
      <c r="HE70" s="525"/>
      <c r="HF70" s="525"/>
      <c r="HG70" s="525"/>
      <c r="HH70" s="525"/>
      <c r="HI70" s="525"/>
      <c r="HJ70" s="525"/>
      <c r="HK70" s="525"/>
      <c r="HL70" s="525"/>
      <c r="HM70" s="525"/>
      <c r="HN70" s="525"/>
      <c r="HO70" s="525"/>
      <c r="HP70" s="525"/>
      <c r="HQ70" s="525"/>
      <c r="HR70" s="525"/>
      <c r="HS70" s="525"/>
      <c r="HT70" s="525"/>
      <c r="HU70" s="525"/>
      <c r="HV70" s="525"/>
      <c r="HW70" s="525"/>
      <c r="HX70" s="525"/>
      <c r="HY70" s="525"/>
      <c r="HZ70" s="525"/>
      <c r="IA70" s="525"/>
      <c r="IB70" s="525"/>
      <c r="IC70" s="525"/>
      <c r="ID70" s="525"/>
      <c r="IE70" s="525"/>
      <c r="IF70" s="525"/>
      <c r="IG70" s="525"/>
      <c r="IH70" s="525"/>
      <c r="II70" s="525"/>
      <c r="IJ70" s="525"/>
      <c r="IK70" s="525"/>
    </row>
    <row r="71" spans="1:245" s="976" customFormat="1" ht="20.100000000000001" customHeight="1" x14ac:dyDescent="0.25">
      <c r="A71" s="525"/>
      <c r="B71" s="985"/>
      <c r="C71" s="986"/>
      <c r="D71" s="986"/>
      <c r="E71" s="986"/>
      <c r="F71" s="986"/>
      <c r="G71" s="986"/>
      <c r="H71" s="525"/>
      <c r="I71" s="2605">
        <f t="shared" si="28"/>
        <v>47</v>
      </c>
      <c r="J71" s="2607">
        <f t="shared" si="43"/>
        <v>0</v>
      </c>
      <c r="K71" s="2606">
        <f t="shared" si="38"/>
        <v>0</v>
      </c>
      <c r="L71" s="2608">
        <f t="shared" si="48"/>
        <v>0</v>
      </c>
      <c r="M71" s="2607">
        <f t="shared" si="29"/>
        <v>0</v>
      </c>
      <c r="N71" s="525"/>
      <c r="O71" s="2605">
        <f t="shared" si="30"/>
        <v>47</v>
      </c>
      <c r="P71" s="2607">
        <f t="shared" si="44"/>
        <v>0</v>
      </c>
      <c r="Q71" s="2606">
        <f t="shared" si="39"/>
        <v>0</v>
      </c>
      <c r="R71" s="2608">
        <f t="shared" si="49"/>
        <v>0</v>
      </c>
      <c r="S71" s="2607">
        <f t="shared" si="31"/>
        <v>0</v>
      </c>
      <c r="T71" s="525"/>
      <c r="U71" s="2605">
        <f t="shared" si="32"/>
        <v>47</v>
      </c>
      <c r="V71" s="2607">
        <f t="shared" si="45"/>
        <v>0</v>
      </c>
      <c r="W71" s="2606">
        <f t="shared" si="40"/>
        <v>0</v>
      </c>
      <c r="X71" s="2608">
        <f t="shared" si="50"/>
        <v>0</v>
      </c>
      <c r="Y71" s="2607">
        <f t="shared" si="33"/>
        <v>0</v>
      </c>
      <c r="Z71" s="525"/>
      <c r="AA71" s="2605">
        <f t="shared" si="34"/>
        <v>47</v>
      </c>
      <c r="AB71" s="2607">
        <f t="shared" si="46"/>
        <v>0</v>
      </c>
      <c r="AC71" s="2606">
        <f t="shared" si="41"/>
        <v>0</v>
      </c>
      <c r="AD71" s="2608">
        <f t="shared" si="51"/>
        <v>0</v>
      </c>
      <c r="AE71" s="2607">
        <f t="shared" si="35"/>
        <v>0</v>
      </c>
      <c r="AF71" s="525"/>
      <c r="AG71" s="2605">
        <f t="shared" si="36"/>
        <v>47</v>
      </c>
      <c r="AH71" s="2607">
        <f t="shared" si="47"/>
        <v>0</v>
      </c>
      <c r="AI71" s="2606">
        <f t="shared" si="42"/>
        <v>0</v>
      </c>
      <c r="AJ71" s="2608">
        <f t="shared" si="52"/>
        <v>0</v>
      </c>
      <c r="AK71" s="2607">
        <f t="shared" si="37"/>
        <v>0</v>
      </c>
      <c r="AL71" s="525"/>
      <c r="AM71" s="525"/>
      <c r="AN71" s="525"/>
      <c r="AO71" s="525"/>
      <c r="AP71" s="525"/>
      <c r="AQ71" s="525"/>
      <c r="AR71" s="525"/>
      <c r="AS71" s="525"/>
      <c r="AT71" s="525"/>
      <c r="AU71" s="525"/>
      <c r="AV71" s="525"/>
      <c r="AW71" s="525"/>
      <c r="AX71" s="525"/>
      <c r="AY71" s="525"/>
      <c r="AZ71" s="525"/>
      <c r="BA71" s="525"/>
      <c r="BB71" s="525"/>
      <c r="BC71" s="525"/>
      <c r="BD71" s="525"/>
      <c r="BE71" s="525"/>
      <c r="BF71" s="525"/>
      <c r="BG71" s="525"/>
      <c r="BH71" s="525"/>
      <c r="BI71" s="525"/>
      <c r="BJ71" s="525"/>
      <c r="BK71" s="525"/>
      <c r="BL71" s="525"/>
      <c r="BM71" s="525"/>
      <c r="BN71" s="525"/>
      <c r="BO71" s="525"/>
      <c r="BP71" s="525"/>
      <c r="BQ71" s="525"/>
      <c r="BR71" s="525"/>
      <c r="BS71" s="525"/>
      <c r="BT71" s="525"/>
      <c r="BU71" s="525"/>
      <c r="BV71" s="525"/>
      <c r="BW71" s="525"/>
      <c r="BX71" s="525"/>
      <c r="BY71" s="525"/>
      <c r="BZ71" s="525"/>
      <c r="CA71" s="525"/>
      <c r="CB71" s="525"/>
      <c r="CC71" s="525"/>
      <c r="CD71" s="525"/>
      <c r="CE71" s="525"/>
      <c r="CF71" s="525"/>
      <c r="CG71" s="525"/>
      <c r="CH71" s="525"/>
      <c r="CI71" s="525"/>
      <c r="CJ71" s="525"/>
      <c r="CK71" s="525"/>
      <c r="CL71" s="525"/>
      <c r="CM71" s="525"/>
      <c r="CN71" s="525"/>
      <c r="CO71" s="525"/>
      <c r="CP71" s="525"/>
      <c r="CQ71" s="525"/>
      <c r="CR71" s="525"/>
      <c r="CS71" s="525"/>
      <c r="CT71" s="525"/>
      <c r="CU71" s="525"/>
      <c r="CV71" s="525"/>
      <c r="CW71" s="525"/>
      <c r="CX71" s="525"/>
      <c r="CY71" s="525"/>
      <c r="CZ71" s="525"/>
      <c r="DA71" s="525"/>
      <c r="DB71" s="525"/>
      <c r="DC71" s="525"/>
      <c r="DD71" s="525"/>
      <c r="DE71" s="525"/>
      <c r="DF71" s="525"/>
      <c r="DG71" s="525"/>
      <c r="DH71" s="525"/>
      <c r="DI71" s="525"/>
      <c r="DJ71" s="525"/>
      <c r="DK71" s="525"/>
      <c r="DL71" s="525"/>
      <c r="DM71" s="525"/>
      <c r="DN71" s="525"/>
      <c r="DO71" s="525"/>
      <c r="DP71" s="525"/>
      <c r="DQ71" s="525"/>
      <c r="DR71" s="525"/>
      <c r="DS71" s="525"/>
      <c r="DT71" s="525"/>
      <c r="DU71" s="525"/>
      <c r="DV71" s="525"/>
      <c r="DW71" s="525"/>
      <c r="DX71" s="525"/>
      <c r="DY71" s="525"/>
      <c r="DZ71" s="525"/>
      <c r="EA71" s="525"/>
      <c r="EB71" s="525"/>
      <c r="EC71" s="525"/>
      <c r="ED71" s="525"/>
      <c r="EE71" s="525"/>
      <c r="EF71" s="525"/>
      <c r="EG71" s="525"/>
      <c r="EH71" s="525"/>
      <c r="EI71" s="525"/>
      <c r="EJ71" s="525"/>
      <c r="EK71" s="525"/>
      <c r="EL71" s="525"/>
      <c r="EM71" s="525"/>
      <c r="EN71" s="525"/>
      <c r="EO71" s="525"/>
      <c r="EP71" s="525"/>
      <c r="EQ71" s="525"/>
      <c r="ER71" s="525"/>
      <c r="ES71" s="525"/>
      <c r="ET71" s="525"/>
      <c r="EU71" s="525"/>
      <c r="EV71" s="525"/>
      <c r="EW71" s="525"/>
      <c r="EX71" s="525"/>
      <c r="EY71" s="525"/>
      <c r="EZ71" s="525"/>
      <c r="FA71" s="525"/>
      <c r="FB71" s="525"/>
      <c r="FC71" s="525"/>
      <c r="FD71" s="525"/>
      <c r="FE71" s="525"/>
      <c r="FF71" s="525"/>
      <c r="FG71" s="525"/>
      <c r="FH71" s="525"/>
      <c r="FI71" s="525"/>
      <c r="FJ71" s="525"/>
      <c r="FK71" s="525"/>
      <c r="FL71" s="525"/>
      <c r="FM71" s="525"/>
      <c r="FN71" s="525"/>
      <c r="FO71" s="525"/>
      <c r="FP71" s="525"/>
      <c r="FQ71" s="525"/>
      <c r="FR71" s="525"/>
      <c r="FS71" s="525"/>
      <c r="FT71" s="525"/>
      <c r="FU71" s="525"/>
      <c r="FV71" s="525"/>
      <c r="FW71" s="525"/>
      <c r="FX71" s="525"/>
      <c r="FY71" s="525"/>
      <c r="FZ71" s="525"/>
      <c r="GA71" s="525"/>
      <c r="GB71" s="525"/>
      <c r="GC71" s="525"/>
      <c r="GD71" s="525"/>
      <c r="GE71" s="525"/>
      <c r="GF71" s="525"/>
      <c r="GG71" s="525"/>
      <c r="GH71" s="525"/>
      <c r="GI71" s="525"/>
      <c r="GJ71" s="525"/>
      <c r="GK71" s="525"/>
      <c r="GL71" s="525"/>
      <c r="GM71" s="525"/>
      <c r="GN71" s="525"/>
      <c r="GO71" s="525"/>
      <c r="GP71" s="525"/>
      <c r="GQ71" s="525"/>
      <c r="GR71" s="525"/>
      <c r="GS71" s="525"/>
      <c r="GT71" s="525"/>
      <c r="GU71" s="525"/>
      <c r="GV71" s="525"/>
      <c r="GW71" s="525"/>
      <c r="GX71" s="525"/>
      <c r="GY71" s="525"/>
      <c r="GZ71" s="525"/>
      <c r="HA71" s="525"/>
      <c r="HB71" s="525"/>
      <c r="HC71" s="525"/>
      <c r="HD71" s="525"/>
      <c r="HE71" s="525"/>
      <c r="HF71" s="525"/>
      <c r="HG71" s="525"/>
      <c r="HH71" s="525"/>
      <c r="HI71" s="525"/>
      <c r="HJ71" s="525"/>
      <c r="HK71" s="525"/>
      <c r="HL71" s="525"/>
      <c r="HM71" s="525"/>
      <c r="HN71" s="525"/>
      <c r="HO71" s="525"/>
      <c r="HP71" s="525"/>
      <c r="HQ71" s="525"/>
      <c r="HR71" s="525"/>
      <c r="HS71" s="525"/>
      <c r="HT71" s="525"/>
      <c r="HU71" s="525"/>
      <c r="HV71" s="525"/>
      <c r="HW71" s="525"/>
      <c r="HX71" s="525"/>
      <c r="HY71" s="525"/>
      <c r="HZ71" s="525"/>
      <c r="IA71" s="525"/>
      <c r="IB71" s="525"/>
      <c r="IC71" s="525"/>
      <c r="ID71" s="525"/>
      <c r="IE71" s="525"/>
      <c r="IF71" s="525"/>
      <c r="IG71" s="525"/>
      <c r="IH71" s="525"/>
      <c r="II71" s="525"/>
      <c r="IJ71" s="525"/>
      <c r="IK71" s="525"/>
    </row>
    <row r="72" spans="1:245" s="976" customFormat="1" ht="20.100000000000001" customHeight="1" x14ac:dyDescent="0.25">
      <c r="A72" s="525"/>
      <c r="B72" s="985"/>
      <c r="C72" s="986"/>
      <c r="D72" s="986"/>
      <c r="E72" s="986"/>
      <c r="F72" s="986"/>
      <c r="G72" s="986"/>
      <c r="H72" s="525"/>
      <c r="I72" s="2605">
        <f t="shared" si="28"/>
        <v>48</v>
      </c>
      <c r="J72" s="2607">
        <f t="shared" si="43"/>
        <v>0</v>
      </c>
      <c r="K72" s="2606">
        <f t="shared" si="38"/>
        <v>0</v>
      </c>
      <c r="L72" s="2608">
        <f t="shared" si="48"/>
        <v>0</v>
      </c>
      <c r="M72" s="2607">
        <f t="shared" si="29"/>
        <v>0</v>
      </c>
      <c r="N72" s="525"/>
      <c r="O72" s="2605">
        <f t="shared" si="30"/>
        <v>48</v>
      </c>
      <c r="P72" s="2607">
        <f t="shared" si="44"/>
        <v>0</v>
      </c>
      <c r="Q72" s="2606">
        <f t="shared" si="39"/>
        <v>0</v>
      </c>
      <c r="R72" s="2608">
        <f t="shared" si="49"/>
        <v>0</v>
      </c>
      <c r="S72" s="2607">
        <f t="shared" si="31"/>
        <v>0</v>
      </c>
      <c r="T72" s="525"/>
      <c r="U72" s="2605">
        <f t="shared" si="32"/>
        <v>48</v>
      </c>
      <c r="V72" s="2607">
        <f t="shared" si="45"/>
        <v>0</v>
      </c>
      <c r="W72" s="2606">
        <f t="shared" si="40"/>
        <v>0</v>
      </c>
      <c r="X72" s="2608">
        <f t="shared" si="50"/>
        <v>0</v>
      </c>
      <c r="Y72" s="2607">
        <f t="shared" si="33"/>
        <v>0</v>
      </c>
      <c r="Z72" s="525"/>
      <c r="AA72" s="2605">
        <f t="shared" si="34"/>
        <v>48</v>
      </c>
      <c r="AB72" s="2607">
        <f t="shared" si="46"/>
        <v>0</v>
      </c>
      <c r="AC72" s="2606">
        <f t="shared" si="41"/>
        <v>0</v>
      </c>
      <c r="AD72" s="2608">
        <f t="shared" si="51"/>
        <v>0</v>
      </c>
      <c r="AE72" s="2607">
        <f t="shared" si="35"/>
        <v>0</v>
      </c>
      <c r="AF72" s="525"/>
      <c r="AG72" s="2605">
        <f t="shared" si="36"/>
        <v>48</v>
      </c>
      <c r="AH72" s="2607">
        <f t="shared" si="47"/>
        <v>0</v>
      </c>
      <c r="AI72" s="2606">
        <f t="shared" si="42"/>
        <v>0</v>
      </c>
      <c r="AJ72" s="2608">
        <f t="shared" si="52"/>
        <v>0</v>
      </c>
      <c r="AK72" s="2607">
        <f t="shared" si="37"/>
        <v>0</v>
      </c>
      <c r="AL72" s="525"/>
      <c r="AM72" s="525"/>
      <c r="AN72" s="525"/>
      <c r="AO72" s="525"/>
      <c r="AP72" s="525"/>
      <c r="AQ72" s="525"/>
      <c r="AR72" s="525"/>
      <c r="AS72" s="525"/>
      <c r="AT72" s="525"/>
      <c r="AU72" s="525"/>
      <c r="AV72" s="525"/>
      <c r="AW72" s="525"/>
      <c r="AX72" s="525"/>
      <c r="AY72" s="525"/>
      <c r="AZ72" s="525"/>
      <c r="BA72" s="525"/>
      <c r="BB72" s="525"/>
      <c r="BC72" s="525"/>
      <c r="BD72" s="525"/>
      <c r="BE72" s="525"/>
      <c r="BF72" s="525"/>
      <c r="BG72" s="525"/>
      <c r="BH72" s="525"/>
      <c r="BI72" s="525"/>
      <c r="BJ72" s="525"/>
      <c r="BK72" s="525"/>
      <c r="BL72" s="525"/>
      <c r="BM72" s="525"/>
      <c r="BN72" s="525"/>
      <c r="BO72" s="525"/>
      <c r="BP72" s="525"/>
      <c r="BQ72" s="525"/>
      <c r="BR72" s="525"/>
      <c r="BS72" s="525"/>
      <c r="BT72" s="525"/>
      <c r="BU72" s="525"/>
      <c r="BV72" s="525"/>
      <c r="BW72" s="525"/>
      <c r="BX72" s="525"/>
      <c r="BY72" s="525"/>
      <c r="BZ72" s="525"/>
      <c r="CA72" s="525"/>
      <c r="CB72" s="525"/>
      <c r="CC72" s="525"/>
      <c r="CD72" s="525"/>
      <c r="CE72" s="525"/>
      <c r="CF72" s="525"/>
      <c r="CG72" s="525"/>
      <c r="CH72" s="525"/>
      <c r="CI72" s="525"/>
      <c r="CJ72" s="525"/>
      <c r="CK72" s="525"/>
      <c r="CL72" s="525"/>
      <c r="CM72" s="525"/>
      <c r="CN72" s="525"/>
      <c r="CO72" s="525"/>
      <c r="CP72" s="525"/>
      <c r="CQ72" s="525"/>
      <c r="CR72" s="525"/>
      <c r="CS72" s="525"/>
      <c r="CT72" s="525"/>
      <c r="CU72" s="525"/>
      <c r="CV72" s="525"/>
      <c r="CW72" s="525"/>
      <c r="CX72" s="525"/>
      <c r="CY72" s="525"/>
      <c r="CZ72" s="525"/>
      <c r="DA72" s="525"/>
      <c r="DB72" s="525"/>
      <c r="DC72" s="525"/>
      <c r="DD72" s="525"/>
      <c r="DE72" s="525"/>
      <c r="DF72" s="525"/>
      <c r="DG72" s="525"/>
      <c r="DH72" s="525"/>
      <c r="DI72" s="525"/>
      <c r="DJ72" s="525"/>
      <c r="DK72" s="525"/>
      <c r="DL72" s="525"/>
      <c r="DM72" s="525"/>
      <c r="DN72" s="525"/>
      <c r="DO72" s="525"/>
      <c r="DP72" s="525"/>
      <c r="DQ72" s="525"/>
      <c r="DR72" s="525"/>
      <c r="DS72" s="525"/>
      <c r="DT72" s="525"/>
      <c r="DU72" s="525"/>
      <c r="DV72" s="525"/>
      <c r="DW72" s="525"/>
      <c r="DX72" s="525"/>
      <c r="DY72" s="525"/>
      <c r="DZ72" s="525"/>
      <c r="EA72" s="525"/>
      <c r="EB72" s="525"/>
      <c r="EC72" s="525"/>
      <c r="ED72" s="525"/>
      <c r="EE72" s="525"/>
      <c r="EF72" s="525"/>
      <c r="EG72" s="525"/>
      <c r="EH72" s="525"/>
      <c r="EI72" s="525"/>
      <c r="EJ72" s="525"/>
      <c r="EK72" s="525"/>
      <c r="EL72" s="525"/>
      <c r="EM72" s="525"/>
      <c r="EN72" s="525"/>
      <c r="EO72" s="525"/>
      <c r="EP72" s="525"/>
      <c r="EQ72" s="525"/>
      <c r="ER72" s="525"/>
      <c r="ES72" s="525"/>
      <c r="ET72" s="525"/>
      <c r="EU72" s="525"/>
      <c r="EV72" s="525"/>
      <c r="EW72" s="525"/>
      <c r="EX72" s="525"/>
      <c r="EY72" s="525"/>
      <c r="EZ72" s="525"/>
      <c r="FA72" s="525"/>
      <c r="FB72" s="525"/>
      <c r="FC72" s="525"/>
      <c r="FD72" s="525"/>
      <c r="FE72" s="525"/>
      <c r="FF72" s="525"/>
      <c r="FG72" s="525"/>
      <c r="FH72" s="525"/>
      <c r="FI72" s="525"/>
      <c r="FJ72" s="525"/>
      <c r="FK72" s="525"/>
      <c r="FL72" s="525"/>
      <c r="FM72" s="525"/>
      <c r="FN72" s="525"/>
      <c r="FO72" s="525"/>
      <c r="FP72" s="525"/>
      <c r="FQ72" s="525"/>
      <c r="FR72" s="525"/>
      <c r="FS72" s="525"/>
      <c r="FT72" s="525"/>
      <c r="FU72" s="525"/>
      <c r="FV72" s="525"/>
      <c r="FW72" s="525"/>
      <c r="FX72" s="525"/>
      <c r="FY72" s="525"/>
      <c r="FZ72" s="525"/>
      <c r="GA72" s="525"/>
      <c r="GB72" s="525"/>
      <c r="GC72" s="525"/>
      <c r="GD72" s="525"/>
      <c r="GE72" s="525"/>
      <c r="GF72" s="525"/>
      <c r="GG72" s="525"/>
      <c r="GH72" s="525"/>
      <c r="GI72" s="525"/>
      <c r="GJ72" s="525"/>
      <c r="GK72" s="525"/>
      <c r="GL72" s="525"/>
      <c r="GM72" s="525"/>
      <c r="GN72" s="525"/>
      <c r="GO72" s="525"/>
      <c r="GP72" s="525"/>
      <c r="GQ72" s="525"/>
      <c r="GR72" s="525"/>
      <c r="GS72" s="525"/>
      <c r="GT72" s="525"/>
      <c r="GU72" s="525"/>
      <c r="GV72" s="525"/>
      <c r="GW72" s="525"/>
      <c r="GX72" s="525"/>
      <c r="GY72" s="525"/>
      <c r="GZ72" s="525"/>
      <c r="HA72" s="525"/>
      <c r="HB72" s="525"/>
      <c r="HC72" s="525"/>
      <c r="HD72" s="525"/>
      <c r="HE72" s="525"/>
      <c r="HF72" s="525"/>
      <c r="HG72" s="525"/>
      <c r="HH72" s="525"/>
      <c r="HI72" s="525"/>
      <c r="HJ72" s="525"/>
      <c r="HK72" s="525"/>
      <c r="HL72" s="525"/>
      <c r="HM72" s="525"/>
      <c r="HN72" s="525"/>
      <c r="HO72" s="525"/>
      <c r="HP72" s="525"/>
      <c r="HQ72" s="525"/>
      <c r="HR72" s="525"/>
      <c r="HS72" s="525"/>
      <c r="HT72" s="525"/>
      <c r="HU72" s="525"/>
      <c r="HV72" s="525"/>
      <c r="HW72" s="525"/>
      <c r="HX72" s="525"/>
      <c r="HY72" s="525"/>
      <c r="HZ72" s="525"/>
      <c r="IA72" s="525"/>
      <c r="IB72" s="525"/>
      <c r="IC72" s="525"/>
      <c r="ID72" s="525"/>
      <c r="IE72" s="525"/>
      <c r="IF72" s="525"/>
      <c r="IG72" s="525"/>
      <c r="IH72" s="525"/>
      <c r="II72" s="525"/>
      <c r="IJ72" s="525"/>
      <c r="IK72" s="525"/>
    </row>
    <row r="73" spans="1:245" s="976" customFormat="1" ht="20.100000000000001" customHeight="1" x14ac:dyDescent="0.25">
      <c r="A73" s="525"/>
      <c r="B73" s="985"/>
      <c r="C73" s="986"/>
      <c r="D73" s="986"/>
      <c r="E73" s="986"/>
      <c r="F73" s="986"/>
      <c r="G73" s="986"/>
      <c r="H73" s="525"/>
      <c r="I73" s="2605">
        <f t="shared" si="28"/>
        <v>49</v>
      </c>
      <c r="J73" s="2607">
        <f t="shared" si="43"/>
        <v>0</v>
      </c>
      <c r="K73" s="2606">
        <f t="shared" si="38"/>
        <v>0</v>
      </c>
      <c r="L73" s="2608">
        <f t="shared" si="48"/>
        <v>0</v>
      </c>
      <c r="M73" s="2607">
        <f t="shared" si="29"/>
        <v>0</v>
      </c>
      <c r="N73" s="525"/>
      <c r="O73" s="2605">
        <f t="shared" si="30"/>
        <v>49</v>
      </c>
      <c r="P73" s="2607">
        <f t="shared" si="44"/>
        <v>0</v>
      </c>
      <c r="Q73" s="2606">
        <f t="shared" si="39"/>
        <v>0</v>
      </c>
      <c r="R73" s="2608">
        <f t="shared" si="49"/>
        <v>0</v>
      </c>
      <c r="S73" s="2607">
        <f t="shared" si="31"/>
        <v>0</v>
      </c>
      <c r="T73" s="525"/>
      <c r="U73" s="2605">
        <f t="shared" si="32"/>
        <v>49</v>
      </c>
      <c r="V73" s="2607">
        <f t="shared" si="45"/>
        <v>0</v>
      </c>
      <c r="W73" s="2606">
        <f t="shared" si="40"/>
        <v>0</v>
      </c>
      <c r="X73" s="2608">
        <f t="shared" si="50"/>
        <v>0</v>
      </c>
      <c r="Y73" s="2607">
        <f t="shared" si="33"/>
        <v>0</v>
      </c>
      <c r="Z73" s="525"/>
      <c r="AA73" s="2605">
        <f t="shared" si="34"/>
        <v>49</v>
      </c>
      <c r="AB73" s="2607">
        <f t="shared" si="46"/>
        <v>0</v>
      </c>
      <c r="AC73" s="2606">
        <f t="shared" si="41"/>
        <v>0</v>
      </c>
      <c r="AD73" s="2608">
        <f t="shared" si="51"/>
        <v>0</v>
      </c>
      <c r="AE73" s="2607">
        <f t="shared" si="35"/>
        <v>0</v>
      </c>
      <c r="AF73" s="525"/>
      <c r="AG73" s="2605">
        <f t="shared" si="36"/>
        <v>49</v>
      </c>
      <c r="AH73" s="2607">
        <f t="shared" si="47"/>
        <v>0</v>
      </c>
      <c r="AI73" s="2606">
        <f t="shared" si="42"/>
        <v>0</v>
      </c>
      <c r="AJ73" s="2608">
        <f t="shared" si="52"/>
        <v>0</v>
      </c>
      <c r="AK73" s="2607">
        <f t="shared" si="37"/>
        <v>0</v>
      </c>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5"/>
      <c r="HZ73" s="525"/>
      <c r="IA73" s="525"/>
      <c r="IB73" s="525"/>
      <c r="IC73" s="525"/>
      <c r="ID73" s="525"/>
      <c r="IE73" s="525"/>
      <c r="IF73" s="525"/>
      <c r="IG73" s="525"/>
      <c r="IH73" s="525"/>
      <c r="II73" s="525"/>
      <c r="IJ73" s="525"/>
      <c r="IK73" s="525"/>
    </row>
    <row r="74" spans="1:245" s="976" customFormat="1" ht="20.100000000000001" customHeight="1" x14ac:dyDescent="0.25">
      <c r="A74" s="525"/>
      <c r="B74" s="985"/>
      <c r="C74" s="986"/>
      <c r="D74" s="986"/>
      <c r="E74" s="986"/>
      <c r="F74" s="986"/>
      <c r="G74" s="986"/>
      <c r="H74" s="525"/>
      <c r="I74" s="2605">
        <f t="shared" si="28"/>
        <v>50</v>
      </c>
      <c r="J74" s="2607">
        <f t="shared" si="43"/>
        <v>0</v>
      </c>
      <c r="K74" s="2606">
        <f t="shared" si="38"/>
        <v>0</v>
      </c>
      <c r="L74" s="2608">
        <f t="shared" si="48"/>
        <v>0</v>
      </c>
      <c r="M74" s="2607">
        <f t="shared" si="29"/>
        <v>0</v>
      </c>
      <c r="N74" s="525"/>
      <c r="O74" s="2605">
        <f t="shared" si="30"/>
        <v>50</v>
      </c>
      <c r="P74" s="2607">
        <f t="shared" si="44"/>
        <v>0</v>
      </c>
      <c r="Q74" s="2606">
        <f t="shared" si="39"/>
        <v>0</v>
      </c>
      <c r="R74" s="2608">
        <f t="shared" si="49"/>
        <v>0</v>
      </c>
      <c r="S74" s="2607">
        <f t="shared" si="31"/>
        <v>0</v>
      </c>
      <c r="T74" s="525"/>
      <c r="U74" s="2605">
        <f t="shared" si="32"/>
        <v>50</v>
      </c>
      <c r="V74" s="2607">
        <f t="shared" si="45"/>
        <v>0</v>
      </c>
      <c r="W74" s="2606">
        <f t="shared" si="40"/>
        <v>0</v>
      </c>
      <c r="X74" s="2608">
        <f t="shared" si="50"/>
        <v>0</v>
      </c>
      <c r="Y74" s="2607">
        <f t="shared" si="33"/>
        <v>0</v>
      </c>
      <c r="Z74" s="525"/>
      <c r="AA74" s="2605">
        <f t="shared" si="34"/>
        <v>50</v>
      </c>
      <c r="AB74" s="2607">
        <f t="shared" si="46"/>
        <v>0</v>
      </c>
      <c r="AC74" s="2606">
        <f t="shared" si="41"/>
        <v>0</v>
      </c>
      <c r="AD74" s="2608">
        <f t="shared" si="51"/>
        <v>0</v>
      </c>
      <c r="AE74" s="2607">
        <f t="shared" si="35"/>
        <v>0</v>
      </c>
      <c r="AF74" s="525"/>
      <c r="AG74" s="2605">
        <f t="shared" si="36"/>
        <v>50</v>
      </c>
      <c r="AH74" s="2607">
        <f t="shared" si="47"/>
        <v>0</v>
      </c>
      <c r="AI74" s="2606">
        <f t="shared" si="42"/>
        <v>0</v>
      </c>
      <c r="AJ74" s="2608">
        <f t="shared" si="52"/>
        <v>0</v>
      </c>
      <c r="AK74" s="2607">
        <f t="shared" si="37"/>
        <v>0</v>
      </c>
      <c r="AL74" s="525"/>
      <c r="AM74" s="525"/>
      <c r="AN74" s="525"/>
      <c r="AO74" s="525"/>
      <c r="AP74" s="525"/>
      <c r="AQ74" s="525"/>
      <c r="AR74" s="525"/>
      <c r="AS74" s="525"/>
      <c r="AT74" s="525"/>
      <c r="AU74" s="525"/>
      <c r="AV74" s="525"/>
      <c r="AW74" s="525"/>
      <c r="AX74" s="525"/>
      <c r="AY74" s="525"/>
      <c r="AZ74" s="525"/>
      <c r="BA74" s="525"/>
      <c r="BB74" s="525"/>
      <c r="BC74" s="525"/>
      <c r="BD74" s="525"/>
      <c r="BE74" s="525"/>
      <c r="BF74" s="525"/>
      <c r="BG74" s="525"/>
      <c r="BH74" s="525"/>
      <c r="BI74" s="525"/>
      <c r="BJ74" s="525"/>
      <c r="BK74" s="525"/>
      <c r="BL74" s="525"/>
      <c r="BM74" s="525"/>
      <c r="BN74" s="525"/>
      <c r="BO74" s="525"/>
      <c r="BP74" s="525"/>
      <c r="BQ74" s="525"/>
      <c r="BR74" s="525"/>
      <c r="BS74" s="525"/>
      <c r="BT74" s="525"/>
      <c r="BU74" s="525"/>
      <c r="BV74" s="525"/>
      <c r="BW74" s="525"/>
      <c r="BX74" s="525"/>
      <c r="BY74" s="525"/>
      <c r="BZ74" s="525"/>
      <c r="CA74" s="525"/>
      <c r="CB74" s="525"/>
      <c r="CC74" s="525"/>
      <c r="CD74" s="525"/>
      <c r="CE74" s="525"/>
      <c r="CF74" s="525"/>
      <c r="CG74" s="525"/>
      <c r="CH74" s="525"/>
      <c r="CI74" s="525"/>
      <c r="CJ74" s="525"/>
      <c r="CK74" s="525"/>
      <c r="CL74" s="525"/>
      <c r="CM74" s="525"/>
      <c r="CN74" s="525"/>
      <c r="CO74" s="525"/>
      <c r="CP74" s="525"/>
      <c r="CQ74" s="525"/>
      <c r="CR74" s="525"/>
      <c r="CS74" s="525"/>
      <c r="CT74" s="525"/>
      <c r="CU74" s="525"/>
      <c r="CV74" s="525"/>
      <c r="CW74" s="525"/>
      <c r="CX74" s="525"/>
      <c r="CY74" s="525"/>
      <c r="CZ74" s="525"/>
      <c r="DA74" s="525"/>
      <c r="DB74" s="525"/>
      <c r="DC74" s="525"/>
      <c r="DD74" s="525"/>
      <c r="DE74" s="525"/>
      <c r="DF74" s="525"/>
      <c r="DG74" s="525"/>
      <c r="DH74" s="525"/>
      <c r="DI74" s="525"/>
      <c r="DJ74" s="525"/>
      <c r="DK74" s="525"/>
      <c r="DL74" s="525"/>
      <c r="DM74" s="525"/>
      <c r="DN74" s="525"/>
      <c r="DO74" s="525"/>
      <c r="DP74" s="525"/>
      <c r="DQ74" s="525"/>
      <c r="DR74" s="525"/>
      <c r="DS74" s="525"/>
      <c r="DT74" s="525"/>
      <c r="DU74" s="525"/>
      <c r="DV74" s="525"/>
      <c r="DW74" s="525"/>
      <c r="DX74" s="525"/>
      <c r="DY74" s="525"/>
      <c r="DZ74" s="525"/>
      <c r="EA74" s="525"/>
      <c r="EB74" s="525"/>
      <c r="EC74" s="525"/>
      <c r="ED74" s="525"/>
      <c r="EE74" s="525"/>
      <c r="EF74" s="525"/>
      <c r="EG74" s="525"/>
      <c r="EH74" s="525"/>
      <c r="EI74" s="525"/>
      <c r="EJ74" s="525"/>
      <c r="EK74" s="525"/>
      <c r="EL74" s="525"/>
      <c r="EM74" s="525"/>
      <c r="EN74" s="525"/>
      <c r="EO74" s="525"/>
      <c r="EP74" s="525"/>
      <c r="EQ74" s="525"/>
      <c r="ER74" s="525"/>
      <c r="ES74" s="525"/>
      <c r="ET74" s="525"/>
      <c r="EU74" s="525"/>
      <c r="EV74" s="525"/>
      <c r="EW74" s="525"/>
      <c r="EX74" s="525"/>
      <c r="EY74" s="525"/>
      <c r="EZ74" s="525"/>
      <c r="FA74" s="525"/>
      <c r="FB74" s="525"/>
      <c r="FC74" s="525"/>
      <c r="FD74" s="525"/>
      <c r="FE74" s="525"/>
      <c r="FF74" s="525"/>
      <c r="FG74" s="525"/>
      <c r="FH74" s="525"/>
      <c r="FI74" s="525"/>
      <c r="FJ74" s="525"/>
      <c r="FK74" s="525"/>
      <c r="FL74" s="525"/>
      <c r="FM74" s="525"/>
      <c r="FN74" s="525"/>
      <c r="FO74" s="525"/>
      <c r="FP74" s="525"/>
      <c r="FQ74" s="525"/>
      <c r="FR74" s="525"/>
      <c r="FS74" s="525"/>
      <c r="FT74" s="525"/>
      <c r="FU74" s="525"/>
      <c r="FV74" s="525"/>
      <c r="FW74" s="525"/>
      <c r="FX74" s="525"/>
      <c r="FY74" s="525"/>
      <c r="FZ74" s="525"/>
      <c r="GA74" s="525"/>
      <c r="GB74" s="525"/>
      <c r="GC74" s="525"/>
      <c r="GD74" s="525"/>
      <c r="GE74" s="525"/>
      <c r="GF74" s="525"/>
      <c r="GG74" s="525"/>
      <c r="GH74" s="525"/>
      <c r="GI74" s="525"/>
      <c r="GJ74" s="525"/>
      <c r="GK74" s="525"/>
      <c r="GL74" s="525"/>
      <c r="GM74" s="525"/>
      <c r="GN74" s="525"/>
      <c r="GO74" s="525"/>
      <c r="GP74" s="525"/>
      <c r="GQ74" s="525"/>
      <c r="GR74" s="525"/>
      <c r="GS74" s="525"/>
      <c r="GT74" s="525"/>
      <c r="GU74" s="525"/>
      <c r="GV74" s="525"/>
      <c r="GW74" s="525"/>
      <c r="GX74" s="525"/>
      <c r="GY74" s="525"/>
      <c r="GZ74" s="525"/>
      <c r="HA74" s="525"/>
      <c r="HB74" s="525"/>
      <c r="HC74" s="525"/>
      <c r="HD74" s="525"/>
      <c r="HE74" s="525"/>
      <c r="HF74" s="525"/>
      <c r="HG74" s="525"/>
      <c r="HH74" s="525"/>
      <c r="HI74" s="525"/>
      <c r="HJ74" s="525"/>
      <c r="HK74" s="525"/>
      <c r="HL74" s="525"/>
      <c r="HM74" s="525"/>
      <c r="HN74" s="525"/>
      <c r="HO74" s="525"/>
      <c r="HP74" s="525"/>
      <c r="HQ74" s="525"/>
      <c r="HR74" s="525"/>
      <c r="HS74" s="525"/>
      <c r="HT74" s="525"/>
      <c r="HU74" s="525"/>
      <c r="HV74" s="525"/>
      <c r="HW74" s="525"/>
      <c r="HX74" s="525"/>
      <c r="HY74" s="525"/>
      <c r="HZ74" s="525"/>
      <c r="IA74" s="525"/>
      <c r="IB74" s="525"/>
      <c r="IC74" s="525"/>
      <c r="ID74" s="525"/>
      <c r="IE74" s="525"/>
      <c r="IF74" s="525"/>
      <c r="IG74" s="525"/>
      <c r="IH74" s="525"/>
      <c r="II74" s="525"/>
      <c r="IJ74" s="525"/>
      <c r="IK74" s="525"/>
    </row>
    <row r="75" spans="1:245" s="976" customFormat="1" ht="20.100000000000001" customHeight="1" x14ac:dyDescent="0.25">
      <c r="A75" s="525"/>
      <c r="B75" s="985"/>
      <c r="C75" s="986"/>
      <c r="D75" s="986"/>
      <c r="E75" s="986"/>
      <c r="F75" s="986"/>
      <c r="G75" s="986"/>
      <c r="H75" s="525"/>
      <c r="I75" s="2605">
        <f t="shared" si="28"/>
        <v>51</v>
      </c>
      <c r="J75" s="2607">
        <f t="shared" si="43"/>
        <v>0</v>
      </c>
      <c r="K75" s="2606">
        <f t="shared" si="38"/>
        <v>0</v>
      </c>
      <c r="L75" s="2608">
        <f t="shared" si="48"/>
        <v>0</v>
      </c>
      <c r="M75" s="2607">
        <f t="shared" si="29"/>
        <v>0</v>
      </c>
      <c r="N75" s="525"/>
      <c r="O75" s="2605">
        <f t="shared" si="30"/>
        <v>51</v>
      </c>
      <c r="P75" s="2607">
        <f t="shared" si="44"/>
        <v>0</v>
      </c>
      <c r="Q75" s="2606">
        <f t="shared" si="39"/>
        <v>0</v>
      </c>
      <c r="R75" s="2608">
        <f t="shared" si="49"/>
        <v>0</v>
      </c>
      <c r="S75" s="2607">
        <f t="shared" si="31"/>
        <v>0</v>
      </c>
      <c r="T75" s="525"/>
      <c r="U75" s="2605">
        <f t="shared" si="32"/>
        <v>51</v>
      </c>
      <c r="V75" s="2607">
        <f t="shared" si="45"/>
        <v>0</v>
      </c>
      <c r="W75" s="2606">
        <f t="shared" si="40"/>
        <v>0</v>
      </c>
      <c r="X75" s="2608">
        <f t="shared" si="50"/>
        <v>0</v>
      </c>
      <c r="Y75" s="2607">
        <f t="shared" si="33"/>
        <v>0</v>
      </c>
      <c r="Z75" s="525"/>
      <c r="AA75" s="2605">
        <f t="shared" si="34"/>
        <v>51</v>
      </c>
      <c r="AB75" s="2607">
        <f t="shared" si="46"/>
        <v>0</v>
      </c>
      <c r="AC75" s="2606">
        <f t="shared" si="41"/>
        <v>0</v>
      </c>
      <c r="AD75" s="2608">
        <f t="shared" si="51"/>
        <v>0</v>
      </c>
      <c r="AE75" s="2607">
        <f t="shared" si="35"/>
        <v>0</v>
      </c>
      <c r="AF75" s="525"/>
      <c r="AG75" s="2605">
        <f t="shared" si="36"/>
        <v>51</v>
      </c>
      <c r="AH75" s="2607">
        <f t="shared" si="47"/>
        <v>0</v>
      </c>
      <c r="AI75" s="2606">
        <f t="shared" si="42"/>
        <v>0</v>
      </c>
      <c r="AJ75" s="2608">
        <f t="shared" si="52"/>
        <v>0</v>
      </c>
      <c r="AK75" s="2607">
        <f t="shared" si="37"/>
        <v>0</v>
      </c>
      <c r="AL75" s="525"/>
      <c r="AM75" s="525"/>
      <c r="AN75" s="525"/>
      <c r="AO75" s="525"/>
      <c r="AP75" s="525"/>
      <c r="AQ75" s="525"/>
      <c r="AR75" s="525"/>
      <c r="AS75" s="525"/>
      <c r="AT75" s="525"/>
      <c r="AU75" s="525"/>
      <c r="AV75" s="525"/>
      <c r="AW75" s="525"/>
      <c r="AX75" s="525"/>
      <c r="AY75" s="525"/>
      <c r="AZ75" s="525"/>
      <c r="BA75" s="525"/>
      <c r="BB75" s="525"/>
      <c r="BC75" s="525"/>
      <c r="BD75" s="525"/>
      <c r="BE75" s="525"/>
      <c r="BF75" s="525"/>
      <c r="BG75" s="525"/>
      <c r="BH75" s="525"/>
      <c r="BI75" s="525"/>
      <c r="BJ75" s="525"/>
      <c r="BK75" s="525"/>
      <c r="BL75" s="525"/>
      <c r="BM75" s="525"/>
      <c r="BN75" s="525"/>
      <c r="BO75" s="525"/>
      <c r="BP75" s="525"/>
      <c r="BQ75" s="525"/>
      <c r="BR75" s="525"/>
      <c r="BS75" s="525"/>
      <c r="BT75" s="525"/>
      <c r="BU75" s="525"/>
      <c r="BV75" s="525"/>
      <c r="BW75" s="525"/>
      <c r="BX75" s="525"/>
      <c r="BY75" s="525"/>
      <c r="BZ75" s="525"/>
      <c r="CA75" s="525"/>
      <c r="CB75" s="525"/>
      <c r="CC75" s="525"/>
      <c r="CD75" s="525"/>
      <c r="CE75" s="525"/>
      <c r="CF75" s="525"/>
      <c r="CG75" s="525"/>
      <c r="CH75" s="525"/>
      <c r="CI75" s="525"/>
      <c r="CJ75" s="525"/>
      <c r="CK75" s="525"/>
      <c r="CL75" s="525"/>
      <c r="CM75" s="525"/>
      <c r="CN75" s="525"/>
      <c r="CO75" s="525"/>
      <c r="CP75" s="525"/>
      <c r="CQ75" s="525"/>
      <c r="CR75" s="525"/>
      <c r="CS75" s="525"/>
      <c r="CT75" s="525"/>
      <c r="CU75" s="525"/>
      <c r="CV75" s="525"/>
      <c r="CW75" s="525"/>
      <c r="CX75" s="525"/>
      <c r="CY75" s="525"/>
      <c r="CZ75" s="525"/>
      <c r="DA75" s="525"/>
      <c r="DB75" s="525"/>
      <c r="DC75" s="525"/>
      <c r="DD75" s="525"/>
      <c r="DE75" s="525"/>
      <c r="DF75" s="525"/>
      <c r="DG75" s="525"/>
      <c r="DH75" s="525"/>
      <c r="DI75" s="525"/>
      <c r="DJ75" s="525"/>
      <c r="DK75" s="525"/>
      <c r="DL75" s="525"/>
      <c r="DM75" s="525"/>
      <c r="DN75" s="525"/>
      <c r="DO75" s="525"/>
      <c r="DP75" s="525"/>
      <c r="DQ75" s="525"/>
      <c r="DR75" s="525"/>
      <c r="DS75" s="525"/>
      <c r="DT75" s="525"/>
      <c r="DU75" s="525"/>
      <c r="DV75" s="525"/>
      <c r="DW75" s="525"/>
      <c r="DX75" s="525"/>
      <c r="DY75" s="525"/>
      <c r="DZ75" s="525"/>
      <c r="EA75" s="525"/>
      <c r="EB75" s="525"/>
      <c r="EC75" s="525"/>
      <c r="ED75" s="525"/>
      <c r="EE75" s="525"/>
      <c r="EF75" s="525"/>
      <c r="EG75" s="525"/>
      <c r="EH75" s="525"/>
      <c r="EI75" s="525"/>
      <c r="EJ75" s="525"/>
      <c r="EK75" s="525"/>
      <c r="EL75" s="525"/>
      <c r="EM75" s="525"/>
      <c r="EN75" s="525"/>
      <c r="EO75" s="525"/>
      <c r="EP75" s="525"/>
      <c r="EQ75" s="525"/>
      <c r="ER75" s="525"/>
      <c r="ES75" s="525"/>
      <c r="ET75" s="525"/>
      <c r="EU75" s="525"/>
      <c r="EV75" s="525"/>
      <c r="EW75" s="525"/>
      <c r="EX75" s="525"/>
      <c r="EY75" s="525"/>
      <c r="EZ75" s="525"/>
      <c r="FA75" s="525"/>
      <c r="FB75" s="525"/>
      <c r="FC75" s="525"/>
      <c r="FD75" s="525"/>
      <c r="FE75" s="525"/>
      <c r="FF75" s="525"/>
      <c r="FG75" s="525"/>
      <c r="FH75" s="525"/>
      <c r="FI75" s="525"/>
      <c r="FJ75" s="525"/>
      <c r="FK75" s="525"/>
      <c r="FL75" s="525"/>
      <c r="FM75" s="525"/>
      <c r="FN75" s="525"/>
      <c r="FO75" s="525"/>
      <c r="FP75" s="525"/>
      <c r="FQ75" s="525"/>
      <c r="FR75" s="525"/>
      <c r="FS75" s="525"/>
      <c r="FT75" s="525"/>
      <c r="FU75" s="525"/>
      <c r="FV75" s="525"/>
      <c r="FW75" s="525"/>
      <c r="FX75" s="525"/>
      <c r="FY75" s="525"/>
      <c r="FZ75" s="525"/>
      <c r="GA75" s="525"/>
      <c r="GB75" s="525"/>
      <c r="GC75" s="525"/>
      <c r="GD75" s="525"/>
      <c r="GE75" s="525"/>
      <c r="GF75" s="525"/>
      <c r="GG75" s="525"/>
      <c r="GH75" s="525"/>
      <c r="GI75" s="525"/>
      <c r="GJ75" s="525"/>
      <c r="GK75" s="525"/>
      <c r="GL75" s="525"/>
      <c r="GM75" s="525"/>
      <c r="GN75" s="525"/>
      <c r="GO75" s="525"/>
      <c r="GP75" s="525"/>
      <c r="GQ75" s="525"/>
      <c r="GR75" s="525"/>
      <c r="GS75" s="525"/>
      <c r="GT75" s="525"/>
      <c r="GU75" s="525"/>
      <c r="GV75" s="525"/>
      <c r="GW75" s="525"/>
      <c r="GX75" s="525"/>
      <c r="GY75" s="525"/>
      <c r="GZ75" s="525"/>
      <c r="HA75" s="525"/>
      <c r="HB75" s="525"/>
      <c r="HC75" s="525"/>
      <c r="HD75" s="525"/>
      <c r="HE75" s="525"/>
      <c r="HF75" s="525"/>
      <c r="HG75" s="525"/>
      <c r="HH75" s="525"/>
      <c r="HI75" s="525"/>
      <c r="HJ75" s="525"/>
      <c r="HK75" s="525"/>
      <c r="HL75" s="525"/>
      <c r="HM75" s="525"/>
      <c r="HN75" s="525"/>
      <c r="HO75" s="525"/>
      <c r="HP75" s="525"/>
      <c r="HQ75" s="525"/>
      <c r="HR75" s="525"/>
      <c r="HS75" s="525"/>
      <c r="HT75" s="525"/>
      <c r="HU75" s="525"/>
      <c r="HV75" s="525"/>
      <c r="HW75" s="525"/>
      <c r="HX75" s="525"/>
      <c r="HY75" s="525"/>
      <c r="HZ75" s="525"/>
      <c r="IA75" s="525"/>
      <c r="IB75" s="525"/>
      <c r="IC75" s="525"/>
      <c r="ID75" s="525"/>
      <c r="IE75" s="525"/>
      <c r="IF75" s="525"/>
      <c r="IG75" s="525"/>
      <c r="IH75" s="525"/>
      <c r="II75" s="525"/>
      <c r="IJ75" s="525"/>
      <c r="IK75" s="525"/>
    </row>
    <row r="76" spans="1:245" s="976" customFormat="1" ht="20.100000000000001" customHeight="1" x14ac:dyDescent="0.25">
      <c r="A76" s="525"/>
      <c r="B76" s="985"/>
      <c r="C76" s="986"/>
      <c r="D76" s="986"/>
      <c r="E76" s="986"/>
      <c r="F76" s="986"/>
      <c r="G76" s="986"/>
      <c r="H76" s="525"/>
      <c r="I76" s="2605">
        <f t="shared" si="28"/>
        <v>52</v>
      </c>
      <c r="J76" s="2607">
        <f t="shared" si="43"/>
        <v>0</v>
      </c>
      <c r="K76" s="2606">
        <f t="shared" si="38"/>
        <v>0</v>
      </c>
      <c r="L76" s="2608">
        <f t="shared" si="48"/>
        <v>0</v>
      </c>
      <c r="M76" s="2607">
        <f t="shared" si="29"/>
        <v>0</v>
      </c>
      <c r="N76" s="525"/>
      <c r="O76" s="2605">
        <f t="shared" si="30"/>
        <v>52</v>
      </c>
      <c r="P76" s="2607">
        <f t="shared" si="44"/>
        <v>0</v>
      </c>
      <c r="Q76" s="2606">
        <f t="shared" si="39"/>
        <v>0</v>
      </c>
      <c r="R76" s="2608">
        <f t="shared" si="49"/>
        <v>0</v>
      </c>
      <c r="S76" s="2607">
        <f t="shared" si="31"/>
        <v>0</v>
      </c>
      <c r="T76" s="525"/>
      <c r="U76" s="2605">
        <f t="shared" si="32"/>
        <v>52</v>
      </c>
      <c r="V76" s="2607">
        <f t="shared" si="45"/>
        <v>0</v>
      </c>
      <c r="W76" s="2606">
        <f t="shared" si="40"/>
        <v>0</v>
      </c>
      <c r="X76" s="2608">
        <f t="shared" si="50"/>
        <v>0</v>
      </c>
      <c r="Y76" s="2607">
        <f t="shared" si="33"/>
        <v>0</v>
      </c>
      <c r="Z76" s="525"/>
      <c r="AA76" s="2605">
        <f t="shared" si="34"/>
        <v>52</v>
      </c>
      <c r="AB76" s="2607">
        <f t="shared" si="46"/>
        <v>0</v>
      </c>
      <c r="AC76" s="2606">
        <f t="shared" si="41"/>
        <v>0</v>
      </c>
      <c r="AD76" s="2608">
        <f t="shared" si="51"/>
        <v>0</v>
      </c>
      <c r="AE76" s="2607">
        <f t="shared" si="35"/>
        <v>0</v>
      </c>
      <c r="AF76" s="525"/>
      <c r="AG76" s="2605">
        <f t="shared" si="36"/>
        <v>52</v>
      </c>
      <c r="AH76" s="2607">
        <f t="shared" si="47"/>
        <v>0</v>
      </c>
      <c r="AI76" s="2606">
        <f t="shared" si="42"/>
        <v>0</v>
      </c>
      <c r="AJ76" s="2608">
        <f t="shared" si="52"/>
        <v>0</v>
      </c>
      <c r="AK76" s="2607">
        <f t="shared" si="37"/>
        <v>0</v>
      </c>
      <c r="AL76" s="525"/>
      <c r="AM76" s="525"/>
      <c r="AN76" s="525"/>
      <c r="AO76" s="525"/>
      <c r="AP76" s="525"/>
      <c r="AQ76" s="525"/>
      <c r="AR76" s="525"/>
      <c r="AS76" s="525"/>
      <c r="AT76" s="525"/>
      <c r="AU76" s="525"/>
      <c r="AV76" s="525"/>
      <c r="AW76" s="525"/>
      <c r="AX76" s="525"/>
      <c r="AY76" s="525"/>
      <c r="AZ76" s="525"/>
      <c r="BA76" s="525"/>
      <c r="BB76" s="525"/>
      <c r="BC76" s="525"/>
      <c r="BD76" s="525"/>
      <c r="BE76" s="525"/>
      <c r="BF76" s="525"/>
      <c r="BG76" s="525"/>
      <c r="BH76" s="525"/>
      <c r="BI76" s="525"/>
      <c r="BJ76" s="525"/>
      <c r="BK76" s="525"/>
      <c r="BL76" s="525"/>
      <c r="BM76" s="525"/>
      <c r="BN76" s="525"/>
      <c r="BO76" s="525"/>
      <c r="BP76" s="525"/>
      <c r="BQ76" s="525"/>
      <c r="BR76" s="525"/>
      <c r="BS76" s="525"/>
      <c r="BT76" s="525"/>
      <c r="BU76" s="525"/>
      <c r="BV76" s="525"/>
      <c r="BW76" s="525"/>
      <c r="BX76" s="525"/>
      <c r="BY76" s="525"/>
      <c r="BZ76" s="525"/>
      <c r="CA76" s="525"/>
      <c r="CB76" s="525"/>
      <c r="CC76" s="525"/>
      <c r="CD76" s="525"/>
      <c r="CE76" s="525"/>
      <c r="CF76" s="525"/>
      <c r="CG76" s="525"/>
      <c r="CH76" s="525"/>
      <c r="CI76" s="525"/>
      <c r="CJ76" s="525"/>
      <c r="CK76" s="525"/>
      <c r="CL76" s="525"/>
      <c r="CM76" s="525"/>
      <c r="CN76" s="525"/>
      <c r="CO76" s="525"/>
      <c r="CP76" s="525"/>
      <c r="CQ76" s="525"/>
      <c r="CR76" s="525"/>
      <c r="CS76" s="525"/>
      <c r="CT76" s="525"/>
      <c r="CU76" s="525"/>
      <c r="CV76" s="525"/>
      <c r="CW76" s="525"/>
      <c r="CX76" s="525"/>
      <c r="CY76" s="525"/>
      <c r="CZ76" s="525"/>
      <c r="DA76" s="525"/>
      <c r="DB76" s="525"/>
      <c r="DC76" s="525"/>
      <c r="DD76" s="525"/>
      <c r="DE76" s="525"/>
      <c r="DF76" s="525"/>
      <c r="DG76" s="525"/>
      <c r="DH76" s="525"/>
      <c r="DI76" s="525"/>
      <c r="DJ76" s="525"/>
      <c r="DK76" s="525"/>
      <c r="DL76" s="525"/>
      <c r="DM76" s="525"/>
      <c r="DN76" s="525"/>
      <c r="DO76" s="525"/>
      <c r="DP76" s="525"/>
      <c r="DQ76" s="525"/>
      <c r="DR76" s="525"/>
      <c r="DS76" s="525"/>
      <c r="DT76" s="525"/>
      <c r="DU76" s="525"/>
      <c r="DV76" s="525"/>
      <c r="DW76" s="525"/>
      <c r="DX76" s="525"/>
      <c r="DY76" s="525"/>
      <c r="DZ76" s="525"/>
      <c r="EA76" s="525"/>
      <c r="EB76" s="525"/>
      <c r="EC76" s="525"/>
      <c r="ED76" s="525"/>
      <c r="EE76" s="525"/>
      <c r="EF76" s="525"/>
      <c r="EG76" s="525"/>
      <c r="EH76" s="525"/>
      <c r="EI76" s="525"/>
      <c r="EJ76" s="525"/>
      <c r="EK76" s="525"/>
      <c r="EL76" s="525"/>
      <c r="EM76" s="525"/>
      <c r="EN76" s="525"/>
      <c r="EO76" s="525"/>
      <c r="EP76" s="525"/>
      <c r="EQ76" s="525"/>
      <c r="ER76" s="525"/>
      <c r="ES76" s="525"/>
      <c r="ET76" s="525"/>
      <c r="EU76" s="525"/>
      <c r="EV76" s="525"/>
      <c r="EW76" s="525"/>
      <c r="EX76" s="525"/>
      <c r="EY76" s="525"/>
      <c r="EZ76" s="525"/>
      <c r="FA76" s="525"/>
      <c r="FB76" s="525"/>
      <c r="FC76" s="525"/>
      <c r="FD76" s="525"/>
      <c r="FE76" s="525"/>
      <c r="FF76" s="525"/>
      <c r="FG76" s="525"/>
      <c r="FH76" s="525"/>
      <c r="FI76" s="525"/>
      <c r="FJ76" s="525"/>
      <c r="FK76" s="525"/>
      <c r="FL76" s="525"/>
      <c r="FM76" s="525"/>
      <c r="FN76" s="525"/>
      <c r="FO76" s="525"/>
      <c r="FP76" s="525"/>
      <c r="FQ76" s="525"/>
      <c r="FR76" s="525"/>
      <c r="FS76" s="525"/>
      <c r="FT76" s="525"/>
      <c r="FU76" s="525"/>
      <c r="FV76" s="525"/>
      <c r="FW76" s="525"/>
      <c r="FX76" s="525"/>
      <c r="FY76" s="525"/>
      <c r="FZ76" s="525"/>
      <c r="GA76" s="525"/>
      <c r="GB76" s="525"/>
      <c r="GC76" s="525"/>
      <c r="GD76" s="525"/>
      <c r="GE76" s="525"/>
      <c r="GF76" s="525"/>
      <c r="GG76" s="525"/>
      <c r="GH76" s="525"/>
      <c r="GI76" s="525"/>
      <c r="GJ76" s="525"/>
      <c r="GK76" s="525"/>
      <c r="GL76" s="525"/>
      <c r="GM76" s="525"/>
      <c r="GN76" s="525"/>
      <c r="GO76" s="525"/>
      <c r="GP76" s="525"/>
      <c r="GQ76" s="525"/>
      <c r="GR76" s="525"/>
      <c r="GS76" s="525"/>
      <c r="GT76" s="525"/>
      <c r="GU76" s="525"/>
      <c r="GV76" s="525"/>
      <c r="GW76" s="525"/>
      <c r="GX76" s="525"/>
      <c r="GY76" s="525"/>
      <c r="GZ76" s="525"/>
      <c r="HA76" s="525"/>
      <c r="HB76" s="525"/>
      <c r="HC76" s="525"/>
      <c r="HD76" s="525"/>
      <c r="HE76" s="525"/>
      <c r="HF76" s="525"/>
      <c r="HG76" s="525"/>
      <c r="HH76" s="525"/>
      <c r="HI76" s="525"/>
      <c r="HJ76" s="525"/>
      <c r="HK76" s="525"/>
      <c r="HL76" s="525"/>
      <c r="HM76" s="525"/>
      <c r="HN76" s="525"/>
      <c r="HO76" s="525"/>
      <c r="HP76" s="525"/>
      <c r="HQ76" s="525"/>
      <c r="HR76" s="525"/>
      <c r="HS76" s="525"/>
      <c r="HT76" s="525"/>
      <c r="HU76" s="525"/>
      <c r="HV76" s="525"/>
      <c r="HW76" s="525"/>
      <c r="HX76" s="525"/>
      <c r="HY76" s="525"/>
      <c r="HZ76" s="525"/>
      <c r="IA76" s="525"/>
      <c r="IB76" s="525"/>
      <c r="IC76" s="525"/>
      <c r="ID76" s="525"/>
      <c r="IE76" s="525"/>
      <c r="IF76" s="525"/>
      <c r="IG76" s="525"/>
      <c r="IH76" s="525"/>
      <c r="II76" s="525"/>
      <c r="IJ76" s="525"/>
      <c r="IK76" s="525"/>
    </row>
    <row r="77" spans="1:245" s="976" customFormat="1" ht="20.100000000000001" customHeight="1" x14ac:dyDescent="0.25">
      <c r="A77" s="525"/>
      <c r="B77" s="985"/>
      <c r="C77" s="986"/>
      <c r="D77" s="986"/>
      <c r="E77" s="986"/>
      <c r="F77" s="986"/>
      <c r="G77" s="986"/>
      <c r="H77" s="525"/>
      <c r="I77" s="2605">
        <f t="shared" si="28"/>
        <v>53</v>
      </c>
      <c r="J77" s="2607">
        <f t="shared" si="43"/>
        <v>0</v>
      </c>
      <c r="K77" s="2606">
        <f t="shared" si="38"/>
        <v>0</v>
      </c>
      <c r="L77" s="2608">
        <f t="shared" si="48"/>
        <v>0</v>
      </c>
      <c r="M77" s="2607">
        <f t="shared" si="29"/>
        <v>0</v>
      </c>
      <c r="N77" s="525"/>
      <c r="O77" s="2605">
        <f t="shared" si="30"/>
        <v>53</v>
      </c>
      <c r="P77" s="2607">
        <f t="shared" si="44"/>
        <v>0</v>
      </c>
      <c r="Q77" s="2606">
        <f t="shared" si="39"/>
        <v>0</v>
      </c>
      <c r="R77" s="2608">
        <f t="shared" si="49"/>
        <v>0</v>
      </c>
      <c r="S77" s="2607">
        <f t="shared" si="31"/>
        <v>0</v>
      </c>
      <c r="T77" s="525"/>
      <c r="U77" s="2605">
        <f t="shared" si="32"/>
        <v>53</v>
      </c>
      <c r="V77" s="2607">
        <f t="shared" si="45"/>
        <v>0</v>
      </c>
      <c r="W77" s="2606">
        <f t="shared" si="40"/>
        <v>0</v>
      </c>
      <c r="X77" s="2608">
        <f t="shared" si="50"/>
        <v>0</v>
      </c>
      <c r="Y77" s="2607">
        <f t="shared" si="33"/>
        <v>0</v>
      </c>
      <c r="Z77" s="525"/>
      <c r="AA77" s="2605">
        <f t="shared" si="34"/>
        <v>53</v>
      </c>
      <c r="AB77" s="2607">
        <f t="shared" si="46"/>
        <v>0</v>
      </c>
      <c r="AC77" s="2606">
        <f t="shared" si="41"/>
        <v>0</v>
      </c>
      <c r="AD77" s="2608">
        <f t="shared" si="51"/>
        <v>0</v>
      </c>
      <c r="AE77" s="2607">
        <f t="shared" si="35"/>
        <v>0</v>
      </c>
      <c r="AF77" s="525"/>
      <c r="AG77" s="2605">
        <f t="shared" si="36"/>
        <v>53</v>
      </c>
      <c r="AH77" s="2607">
        <f t="shared" si="47"/>
        <v>0</v>
      </c>
      <c r="AI77" s="2606">
        <f t="shared" si="42"/>
        <v>0</v>
      </c>
      <c r="AJ77" s="2608">
        <f t="shared" si="52"/>
        <v>0</v>
      </c>
      <c r="AK77" s="2607">
        <f t="shared" si="37"/>
        <v>0</v>
      </c>
      <c r="AL77" s="525"/>
      <c r="AM77" s="525"/>
      <c r="AN77" s="525"/>
      <c r="AO77" s="525"/>
      <c r="AP77" s="525"/>
      <c r="AQ77" s="525"/>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5"/>
      <c r="BX77" s="525"/>
      <c r="BY77" s="525"/>
      <c r="BZ77" s="525"/>
      <c r="CA77" s="525"/>
      <c r="CB77" s="525"/>
      <c r="CC77" s="525"/>
      <c r="CD77" s="525"/>
      <c r="CE77" s="525"/>
      <c r="CF77" s="525"/>
      <c r="CG77" s="525"/>
      <c r="CH77" s="525"/>
      <c r="CI77" s="525"/>
      <c r="CJ77" s="525"/>
      <c r="CK77" s="525"/>
      <c r="CL77" s="525"/>
      <c r="CM77" s="525"/>
      <c r="CN77" s="525"/>
      <c r="CO77" s="525"/>
      <c r="CP77" s="525"/>
      <c r="CQ77" s="525"/>
      <c r="CR77" s="525"/>
      <c r="CS77" s="525"/>
      <c r="CT77" s="525"/>
      <c r="CU77" s="525"/>
      <c r="CV77" s="525"/>
      <c r="CW77" s="525"/>
      <c r="CX77" s="525"/>
      <c r="CY77" s="525"/>
      <c r="CZ77" s="525"/>
      <c r="DA77" s="525"/>
      <c r="DB77" s="525"/>
      <c r="DC77" s="525"/>
      <c r="DD77" s="525"/>
      <c r="DE77" s="525"/>
      <c r="DF77" s="525"/>
      <c r="DG77" s="525"/>
      <c r="DH77" s="525"/>
      <c r="DI77" s="525"/>
      <c r="DJ77" s="525"/>
      <c r="DK77" s="525"/>
      <c r="DL77" s="525"/>
      <c r="DM77" s="525"/>
      <c r="DN77" s="525"/>
      <c r="DO77" s="525"/>
      <c r="DP77" s="525"/>
      <c r="DQ77" s="525"/>
      <c r="DR77" s="525"/>
      <c r="DS77" s="525"/>
      <c r="DT77" s="525"/>
      <c r="DU77" s="525"/>
      <c r="DV77" s="525"/>
      <c r="DW77" s="525"/>
      <c r="DX77" s="525"/>
      <c r="DY77" s="525"/>
      <c r="DZ77" s="525"/>
      <c r="EA77" s="525"/>
      <c r="EB77" s="525"/>
      <c r="EC77" s="525"/>
      <c r="ED77" s="525"/>
      <c r="EE77" s="525"/>
      <c r="EF77" s="525"/>
      <c r="EG77" s="525"/>
      <c r="EH77" s="525"/>
      <c r="EI77" s="525"/>
      <c r="EJ77" s="525"/>
      <c r="EK77" s="525"/>
      <c r="EL77" s="525"/>
      <c r="EM77" s="525"/>
      <c r="EN77" s="525"/>
      <c r="EO77" s="525"/>
      <c r="EP77" s="525"/>
      <c r="EQ77" s="525"/>
      <c r="ER77" s="525"/>
      <c r="ES77" s="525"/>
      <c r="ET77" s="525"/>
      <c r="EU77" s="525"/>
      <c r="EV77" s="525"/>
      <c r="EW77" s="525"/>
      <c r="EX77" s="525"/>
      <c r="EY77" s="525"/>
      <c r="EZ77" s="525"/>
      <c r="FA77" s="525"/>
      <c r="FB77" s="525"/>
      <c r="FC77" s="525"/>
      <c r="FD77" s="525"/>
      <c r="FE77" s="525"/>
      <c r="FF77" s="525"/>
      <c r="FG77" s="525"/>
      <c r="FH77" s="525"/>
      <c r="FI77" s="525"/>
      <c r="FJ77" s="525"/>
      <c r="FK77" s="525"/>
      <c r="FL77" s="525"/>
      <c r="FM77" s="525"/>
      <c r="FN77" s="525"/>
      <c r="FO77" s="525"/>
      <c r="FP77" s="525"/>
      <c r="FQ77" s="525"/>
      <c r="FR77" s="525"/>
      <c r="FS77" s="525"/>
      <c r="FT77" s="525"/>
      <c r="FU77" s="525"/>
      <c r="FV77" s="525"/>
      <c r="FW77" s="525"/>
      <c r="FX77" s="525"/>
      <c r="FY77" s="525"/>
      <c r="FZ77" s="525"/>
      <c r="GA77" s="525"/>
      <c r="GB77" s="525"/>
      <c r="GC77" s="525"/>
      <c r="GD77" s="525"/>
      <c r="GE77" s="525"/>
      <c r="GF77" s="525"/>
      <c r="GG77" s="525"/>
      <c r="GH77" s="525"/>
      <c r="GI77" s="525"/>
      <c r="GJ77" s="525"/>
      <c r="GK77" s="525"/>
      <c r="GL77" s="525"/>
      <c r="GM77" s="525"/>
      <c r="GN77" s="525"/>
      <c r="GO77" s="525"/>
      <c r="GP77" s="525"/>
      <c r="GQ77" s="525"/>
      <c r="GR77" s="525"/>
      <c r="GS77" s="525"/>
      <c r="GT77" s="525"/>
      <c r="GU77" s="525"/>
      <c r="GV77" s="525"/>
      <c r="GW77" s="525"/>
      <c r="GX77" s="525"/>
      <c r="GY77" s="525"/>
      <c r="GZ77" s="525"/>
      <c r="HA77" s="525"/>
      <c r="HB77" s="525"/>
      <c r="HC77" s="525"/>
      <c r="HD77" s="525"/>
      <c r="HE77" s="525"/>
      <c r="HF77" s="525"/>
      <c r="HG77" s="525"/>
      <c r="HH77" s="525"/>
      <c r="HI77" s="525"/>
      <c r="HJ77" s="525"/>
      <c r="HK77" s="525"/>
      <c r="HL77" s="525"/>
      <c r="HM77" s="525"/>
      <c r="HN77" s="525"/>
      <c r="HO77" s="525"/>
      <c r="HP77" s="525"/>
      <c r="HQ77" s="525"/>
      <c r="HR77" s="525"/>
      <c r="HS77" s="525"/>
      <c r="HT77" s="525"/>
      <c r="HU77" s="525"/>
      <c r="HV77" s="525"/>
      <c r="HW77" s="525"/>
      <c r="HX77" s="525"/>
      <c r="HY77" s="525"/>
      <c r="HZ77" s="525"/>
      <c r="IA77" s="525"/>
      <c r="IB77" s="525"/>
      <c r="IC77" s="525"/>
      <c r="ID77" s="525"/>
      <c r="IE77" s="525"/>
      <c r="IF77" s="525"/>
      <c r="IG77" s="525"/>
      <c r="IH77" s="525"/>
      <c r="II77" s="525"/>
      <c r="IJ77" s="525"/>
      <c r="IK77" s="525"/>
    </row>
    <row r="78" spans="1:245" s="976" customFormat="1" ht="20.100000000000001" customHeight="1" x14ac:dyDescent="0.25">
      <c r="A78" s="525"/>
      <c r="B78" s="985"/>
      <c r="C78" s="986"/>
      <c r="D78" s="986"/>
      <c r="E78" s="986"/>
      <c r="F78" s="986"/>
      <c r="G78" s="986"/>
      <c r="H78" s="525"/>
      <c r="I78" s="2605">
        <f t="shared" si="28"/>
        <v>54</v>
      </c>
      <c r="J78" s="2607">
        <f t="shared" si="43"/>
        <v>0</v>
      </c>
      <c r="K78" s="2606">
        <f t="shared" si="38"/>
        <v>0</v>
      </c>
      <c r="L78" s="2608">
        <f t="shared" si="48"/>
        <v>0</v>
      </c>
      <c r="M78" s="2607">
        <f t="shared" si="29"/>
        <v>0</v>
      </c>
      <c r="N78" s="525"/>
      <c r="O78" s="2605">
        <f t="shared" si="30"/>
        <v>54</v>
      </c>
      <c r="P78" s="2607">
        <f t="shared" si="44"/>
        <v>0</v>
      </c>
      <c r="Q78" s="2606">
        <f t="shared" si="39"/>
        <v>0</v>
      </c>
      <c r="R78" s="2608">
        <f t="shared" si="49"/>
        <v>0</v>
      </c>
      <c r="S78" s="2607">
        <f t="shared" si="31"/>
        <v>0</v>
      </c>
      <c r="T78" s="525"/>
      <c r="U78" s="2605">
        <f t="shared" si="32"/>
        <v>54</v>
      </c>
      <c r="V78" s="2607">
        <f t="shared" si="45"/>
        <v>0</v>
      </c>
      <c r="W78" s="2606">
        <f t="shared" si="40"/>
        <v>0</v>
      </c>
      <c r="X78" s="2608">
        <f t="shared" si="50"/>
        <v>0</v>
      </c>
      <c r="Y78" s="2607">
        <f t="shared" si="33"/>
        <v>0</v>
      </c>
      <c r="Z78" s="525"/>
      <c r="AA78" s="2605">
        <f t="shared" si="34"/>
        <v>54</v>
      </c>
      <c r="AB78" s="2607">
        <f t="shared" si="46"/>
        <v>0</v>
      </c>
      <c r="AC78" s="2606">
        <f t="shared" si="41"/>
        <v>0</v>
      </c>
      <c r="AD78" s="2608">
        <f t="shared" si="51"/>
        <v>0</v>
      </c>
      <c r="AE78" s="2607">
        <f t="shared" si="35"/>
        <v>0</v>
      </c>
      <c r="AF78" s="525"/>
      <c r="AG78" s="2605">
        <f t="shared" si="36"/>
        <v>54</v>
      </c>
      <c r="AH78" s="2607">
        <f t="shared" si="47"/>
        <v>0</v>
      </c>
      <c r="AI78" s="2606">
        <f t="shared" si="42"/>
        <v>0</v>
      </c>
      <c r="AJ78" s="2608">
        <f t="shared" si="52"/>
        <v>0</v>
      </c>
      <c r="AK78" s="2607">
        <f t="shared" si="37"/>
        <v>0</v>
      </c>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25"/>
      <c r="BN78" s="525"/>
      <c r="BO78" s="525"/>
      <c r="BP78" s="525"/>
      <c r="BQ78" s="525"/>
      <c r="BR78" s="525"/>
      <c r="BS78" s="525"/>
      <c r="BT78" s="525"/>
      <c r="BU78" s="525"/>
      <c r="BV78" s="525"/>
      <c r="BW78" s="525"/>
      <c r="BX78" s="525"/>
      <c r="BY78" s="525"/>
      <c r="BZ78" s="525"/>
      <c r="CA78" s="525"/>
      <c r="CB78" s="525"/>
      <c r="CC78" s="525"/>
      <c r="CD78" s="525"/>
      <c r="CE78" s="525"/>
      <c r="CF78" s="525"/>
      <c r="CG78" s="525"/>
      <c r="CH78" s="525"/>
      <c r="CI78" s="525"/>
      <c r="CJ78" s="525"/>
      <c r="CK78" s="525"/>
      <c r="CL78" s="525"/>
      <c r="CM78" s="525"/>
      <c r="CN78" s="525"/>
      <c r="CO78" s="525"/>
      <c r="CP78" s="525"/>
      <c r="CQ78" s="525"/>
      <c r="CR78" s="525"/>
      <c r="CS78" s="525"/>
      <c r="CT78" s="525"/>
      <c r="CU78" s="525"/>
      <c r="CV78" s="525"/>
      <c r="CW78" s="525"/>
      <c r="CX78" s="525"/>
      <c r="CY78" s="525"/>
      <c r="CZ78" s="525"/>
      <c r="DA78" s="525"/>
      <c r="DB78" s="525"/>
      <c r="DC78" s="525"/>
      <c r="DD78" s="525"/>
      <c r="DE78" s="525"/>
      <c r="DF78" s="525"/>
      <c r="DG78" s="525"/>
      <c r="DH78" s="525"/>
      <c r="DI78" s="525"/>
      <c r="DJ78" s="525"/>
      <c r="DK78" s="525"/>
      <c r="DL78" s="525"/>
      <c r="DM78" s="525"/>
      <c r="DN78" s="525"/>
      <c r="DO78" s="525"/>
      <c r="DP78" s="525"/>
      <c r="DQ78" s="525"/>
      <c r="DR78" s="525"/>
      <c r="DS78" s="525"/>
      <c r="DT78" s="525"/>
      <c r="DU78" s="525"/>
      <c r="DV78" s="525"/>
      <c r="DW78" s="525"/>
      <c r="DX78" s="525"/>
      <c r="DY78" s="525"/>
      <c r="DZ78" s="525"/>
      <c r="EA78" s="525"/>
      <c r="EB78" s="525"/>
      <c r="EC78" s="525"/>
      <c r="ED78" s="525"/>
      <c r="EE78" s="525"/>
      <c r="EF78" s="525"/>
      <c r="EG78" s="525"/>
      <c r="EH78" s="525"/>
      <c r="EI78" s="525"/>
      <c r="EJ78" s="525"/>
      <c r="EK78" s="525"/>
      <c r="EL78" s="525"/>
      <c r="EM78" s="525"/>
      <c r="EN78" s="525"/>
      <c r="EO78" s="525"/>
      <c r="EP78" s="525"/>
      <c r="EQ78" s="525"/>
      <c r="ER78" s="525"/>
      <c r="ES78" s="525"/>
      <c r="ET78" s="525"/>
      <c r="EU78" s="525"/>
      <c r="EV78" s="525"/>
      <c r="EW78" s="525"/>
      <c r="EX78" s="525"/>
      <c r="EY78" s="525"/>
      <c r="EZ78" s="525"/>
      <c r="FA78" s="525"/>
      <c r="FB78" s="525"/>
      <c r="FC78" s="525"/>
      <c r="FD78" s="525"/>
      <c r="FE78" s="525"/>
      <c r="FF78" s="525"/>
      <c r="FG78" s="525"/>
      <c r="FH78" s="525"/>
      <c r="FI78" s="525"/>
      <c r="FJ78" s="525"/>
      <c r="FK78" s="525"/>
      <c r="FL78" s="525"/>
      <c r="FM78" s="525"/>
      <c r="FN78" s="525"/>
      <c r="FO78" s="525"/>
      <c r="FP78" s="525"/>
      <c r="FQ78" s="525"/>
      <c r="FR78" s="525"/>
      <c r="FS78" s="525"/>
      <c r="FT78" s="525"/>
      <c r="FU78" s="525"/>
      <c r="FV78" s="525"/>
      <c r="FW78" s="525"/>
      <c r="FX78" s="525"/>
      <c r="FY78" s="525"/>
      <c r="FZ78" s="525"/>
      <c r="GA78" s="525"/>
      <c r="GB78" s="525"/>
      <c r="GC78" s="525"/>
      <c r="GD78" s="525"/>
      <c r="GE78" s="525"/>
      <c r="GF78" s="525"/>
      <c r="GG78" s="525"/>
      <c r="GH78" s="525"/>
      <c r="GI78" s="525"/>
      <c r="GJ78" s="525"/>
      <c r="GK78" s="525"/>
      <c r="GL78" s="525"/>
      <c r="GM78" s="525"/>
      <c r="GN78" s="525"/>
      <c r="GO78" s="525"/>
      <c r="GP78" s="525"/>
      <c r="GQ78" s="525"/>
      <c r="GR78" s="525"/>
      <c r="GS78" s="525"/>
      <c r="GT78" s="525"/>
      <c r="GU78" s="525"/>
      <c r="GV78" s="525"/>
      <c r="GW78" s="525"/>
      <c r="GX78" s="525"/>
      <c r="GY78" s="525"/>
      <c r="GZ78" s="525"/>
      <c r="HA78" s="525"/>
      <c r="HB78" s="525"/>
      <c r="HC78" s="525"/>
      <c r="HD78" s="525"/>
      <c r="HE78" s="525"/>
      <c r="HF78" s="525"/>
      <c r="HG78" s="525"/>
      <c r="HH78" s="525"/>
      <c r="HI78" s="525"/>
      <c r="HJ78" s="525"/>
      <c r="HK78" s="525"/>
      <c r="HL78" s="525"/>
      <c r="HM78" s="525"/>
      <c r="HN78" s="525"/>
      <c r="HO78" s="525"/>
      <c r="HP78" s="525"/>
      <c r="HQ78" s="525"/>
      <c r="HR78" s="525"/>
      <c r="HS78" s="525"/>
      <c r="HT78" s="525"/>
      <c r="HU78" s="525"/>
      <c r="HV78" s="525"/>
      <c r="HW78" s="525"/>
      <c r="HX78" s="525"/>
      <c r="HY78" s="525"/>
      <c r="HZ78" s="525"/>
      <c r="IA78" s="525"/>
      <c r="IB78" s="525"/>
      <c r="IC78" s="525"/>
      <c r="ID78" s="525"/>
      <c r="IE78" s="525"/>
      <c r="IF78" s="525"/>
      <c r="IG78" s="525"/>
      <c r="IH78" s="525"/>
      <c r="II78" s="525"/>
      <c r="IJ78" s="525"/>
      <c r="IK78" s="525"/>
    </row>
    <row r="79" spans="1:245" s="976" customFormat="1" ht="20.100000000000001" customHeight="1" x14ac:dyDescent="0.25">
      <c r="A79" s="525"/>
      <c r="B79" s="985"/>
      <c r="C79" s="986"/>
      <c r="D79" s="986"/>
      <c r="E79" s="986"/>
      <c r="F79" s="986"/>
      <c r="G79" s="986"/>
      <c r="H79" s="525"/>
      <c r="I79" s="2605">
        <f t="shared" si="28"/>
        <v>55</v>
      </c>
      <c r="J79" s="2607">
        <f t="shared" si="43"/>
        <v>0</v>
      </c>
      <c r="K79" s="2606">
        <f t="shared" si="38"/>
        <v>0</v>
      </c>
      <c r="L79" s="2608">
        <f t="shared" si="48"/>
        <v>0</v>
      </c>
      <c r="M79" s="2607">
        <f t="shared" si="29"/>
        <v>0</v>
      </c>
      <c r="N79" s="525"/>
      <c r="O79" s="2605">
        <f t="shared" si="30"/>
        <v>55</v>
      </c>
      <c r="P79" s="2607">
        <f t="shared" si="44"/>
        <v>0</v>
      </c>
      <c r="Q79" s="2606">
        <f t="shared" si="39"/>
        <v>0</v>
      </c>
      <c r="R79" s="2608">
        <f t="shared" si="49"/>
        <v>0</v>
      </c>
      <c r="S79" s="2607">
        <f t="shared" si="31"/>
        <v>0</v>
      </c>
      <c r="T79" s="525"/>
      <c r="U79" s="2605">
        <f t="shared" si="32"/>
        <v>55</v>
      </c>
      <c r="V79" s="2607">
        <f t="shared" si="45"/>
        <v>0</v>
      </c>
      <c r="W79" s="2606">
        <f t="shared" si="40"/>
        <v>0</v>
      </c>
      <c r="X79" s="2608">
        <f t="shared" si="50"/>
        <v>0</v>
      </c>
      <c r="Y79" s="2607">
        <f t="shared" si="33"/>
        <v>0</v>
      </c>
      <c r="Z79" s="525"/>
      <c r="AA79" s="2605">
        <f t="shared" si="34"/>
        <v>55</v>
      </c>
      <c r="AB79" s="2607">
        <f t="shared" si="46"/>
        <v>0</v>
      </c>
      <c r="AC79" s="2606">
        <f t="shared" si="41"/>
        <v>0</v>
      </c>
      <c r="AD79" s="2608">
        <f t="shared" si="51"/>
        <v>0</v>
      </c>
      <c r="AE79" s="2607">
        <f t="shared" si="35"/>
        <v>0</v>
      </c>
      <c r="AF79" s="525"/>
      <c r="AG79" s="2605">
        <f t="shared" si="36"/>
        <v>55</v>
      </c>
      <c r="AH79" s="2607">
        <f t="shared" si="47"/>
        <v>0</v>
      </c>
      <c r="AI79" s="2606">
        <f t="shared" si="42"/>
        <v>0</v>
      </c>
      <c r="AJ79" s="2608">
        <f t="shared" si="52"/>
        <v>0</v>
      </c>
      <c r="AK79" s="2607">
        <f t="shared" si="37"/>
        <v>0</v>
      </c>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25"/>
      <c r="BN79" s="525"/>
      <c r="BO79" s="525"/>
      <c r="BP79" s="525"/>
      <c r="BQ79" s="525"/>
      <c r="BR79" s="525"/>
      <c r="BS79" s="525"/>
      <c r="BT79" s="525"/>
      <c r="BU79" s="525"/>
      <c r="BV79" s="525"/>
      <c r="BW79" s="525"/>
      <c r="BX79" s="525"/>
      <c r="BY79" s="525"/>
      <c r="BZ79" s="525"/>
      <c r="CA79" s="525"/>
      <c r="CB79" s="525"/>
      <c r="CC79" s="525"/>
      <c r="CD79" s="525"/>
      <c r="CE79" s="525"/>
      <c r="CF79" s="525"/>
      <c r="CG79" s="525"/>
      <c r="CH79" s="525"/>
      <c r="CI79" s="525"/>
      <c r="CJ79" s="525"/>
      <c r="CK79" s="525"/>
      <c r="CL79" s="525"/>
      <c r="CM79" s="525"/>
      <c r="CN79" s="525"/>
      <c r="CO79" s="525"/>
      <c r="CP79" s="525"/>
      <c r="CQ79" s="525"/>
      <c r="CR79" s="525"/>
      <c r="CS79" s="525"/>
      <c r="CT79" s="525"/>
      <c r="CU79" s="525"/>
      <c r="CV79" s="525"/>
      <c r="CW79" s="525"/>
      <c r="CX79" s="525"/>
      <c r="CY79" s="525"/>
      <c r="CZ79" s="525"/>
      <c r="DA79" s="525"/>
      <c r="DB79" s="525"/>
      <c r="DC79" s="525"/>
      <c r="DD79" s="525"/>
      <c r="DE79" s="525"/>
      <c r="DF79" s="525"/>
      <c r="DG79" s="525"/>
      <c r="DH79" s="525"/>
      <c r="DI79" s="525"/>
      <c r="DJ79" s="525"/>
      <c r="DK79" s="525"/>
      <c r="DL79" s="525"/>
      <c r="DM79" s="525"/>
      <c r="DN79" s="525"/>
      <c r="DO79" s="525"/>
      <c r="DP79" s="525"/>
      <c r="DQ79" s="525"/>
      <c r="DR79" s="525"/>
      <c r="DS79" s="525"/>
      <c r="DT79" s="525"/>
      <c r="DU79" s="525"/>
      <c r="DV79" s="525"/>
      <c r="DW79" s="525"/>
      <c r="DX79" s="525"/>
      <c r="DY79" s="525"/>
      <c r="DZ79" s="525"/>
      <c r="EA79" s="525"/>
      <c r="EB79" s="525"/>
      <c r="EC79" s="525"/>
      <c r="ED79" s="525"/>
      <c r="EE79" s="525"/>
      <c r="EF79" s="525"/>
      <c r="EG79" s="525"/>
      <c r="EH79" s="525"/>
      <c r="EI79" s="525"/>
      <c r="EJ79" s="525"/>
      <c r="EK79" s="525"/>
      <c r="EL79" s="525"/>
      <c r="EM79" s="525"/>
      <c r="EN79" s="525"/>
      <c r="EO79" s="525"/>
      <c r="EP79" s="525"/>
      <c r="EQ79" s="525"/>
      <c r="ER79" s="525"/>
      <c r="ES79" s="525"/>
      <c r="ET79" s="525"/>
      <c r="EU79" s="525"/>
      <c r="EV79" s="525"/>
      <c r="EW79" s="525"/>
      <c r="EX79" s="525"/>
      <c r="EY79" s="525"/>
      <c r="EZ79" s="525"/>
      <c r="FA79" s="525"/>
      <c r="FB79" s="525"/>
      <c r="FC79" s="525"/>
      <c r="FD79" s="525"/>
      <c r="FE79" s="525"/>
      <c r="FF79" s="525"/>
      <c r="FG79" s="525"/>
      <c r="FH79" s="525"/>
      <c r="FI79" s="525"/>
      <c r="FJ79" s="525"/>
      <c r="FK79" s="525"/>
      <c r="FL79" s="525"/>
      <c r="FM79" s="525"/>
      <c r="FN79" s="525"/>
      <c r="FO79" s="525"/>
      <c r="FP79" s="525"/>
      <c r="FQ79" s="525"/>
      <c r="FR79" s="525"/>
      <c r="FS79" s="525"/>
      <c r="FT79" s="525"/>
      <c r="FU79" s="525"/>
      <c r="FV79" s="525"/>
      <c r="FW79" s="525"/>
      <c r="FX79" s="525"/>
      <c r="FY79" s="525"/>
      <c r="FZ79" s="525"/>
      <c r="GA79" s="525"/>
      <c r="GB79" s="525"/>
      <c r="GC79" s="525"/>
      <c r="GD79" s="525"/>
      <c r="GE79" s="525"/>
      <c r="GF79" s="525"/>
      <c r="GG79" s="525"/>
      <c r="GH79" s="525"/>
      <c r="GI79" s="525"/>
      <c r="GJ79" s="525"/>
      <c r="GK79" s="525"/>
      <c r="GL79" s="525"/>
      <c r="GM79" s="525"/>
      <c r="GN79" s="525"/>
      <c r="GO79" s="525"/>
      <c r="GP79" s="525"/>
      <c r="GQ79" s="525"/>
      <c r="GR79" s="525"/>
      <c r="GS79" s="525"/>
      <c r="GT79" s="525"/>
      <c r="GU79" s="525"/>
      <c r="GV79" s="525"/>
      <c r="GW79" s="525"/>
      <c r="GX79" s="525"/>
      <c r="GY79" s="525"/>
      <c r="GZ79" s="525"/>
      <c r="HA79" s="525"/>
      <c r="HB79" s="525"/>
      <c r="HC79" s="525"/>
      <c r="HD79" s="525"/>
      <c r="HE79" s="525"/>
      <c r="HF79" s="525"/>
      <c r="HG79" s="525"/>
      <c r="HH79" s="525"/>
      <c r="HI79" s="525"/>
      <c r="HJ79" s="525"/>
      <c r="HK79" s="525"/>
      <c r="HL79" s="525"/>
      <c r="HM79" s="525"/>
      <c r="HN79" s="525"/>
      <c r="HO79" s="525"/>
      <c r="HP79" s="525"/>
      <c r="HQ79" s="525"/>
      <c r="HR79" s="525"/>
      <c r="HS79" s="525"/>
      <c r="HT79" s="525"/>
      <c r="HU79" s="525"/>
      <c r="HV79" s="525"/>
      <c r="HW79" s="525"/>
      <c r="HX79" s="525"/>
      <c r="HY79" s="525"/>
      <c r="HZ79" s="525"/>
      <c r="IA79" s="525"/>
      <c r="IB79" s="525"/>
      <c r="IC79" s="525"/>
      <c r="ID79" s="525"/>
      <c r="IE79" s="525"/>
      <c r="IF79" s="525"/>
      <c r="IG79" s="525"/>
      <c r="IH79" s="525"/>
      <c r="II79" s="525"/>
      <c r="IJ79" s="525"/>
      <c r="IK79" s="525"/>
    </row>
    <row r="80" spans="1:245" s="976" customFormat="1" ht="20.100000000000001" customHeight="1" x14ac:dyDescent="0.25">
      <c r="A80" s="525"/>
      <c r="B80" s="985"/>
      <c r="C80" s="986"/>
      <c r="D80" s="986"/>
      <c r="E80" s="986"/>
      <c r="F80" s="986"/>
      <c r="G80" s="986"/>
      <c r="H80" s="525"/>
      <c r="I80" s="2605">
        <f t="shared" si="28"/>
        <v>56</v>
      </c>
      <c r="J80" s="2607">
        <f t="shared" si="43"/>
        <v>0</v>
      </c>
      <c r="K80" s="2606">
        <f t="shared" si="38"/>
        <v>0</v>
      </c>
      <c r="L80" s="2608">
        <f t="shared" si="48"/>
        <v>0</v>
      </c>
      <c r="M80" s="2607">
        <f t="shared" si="29"/>
        <v>0</v>
      </c>
      <c r="N80" s="525"/>
      <c r="O80" s="2605">
        <f t="shared" si="30"/>
        <v>56</v>
      </c>
      <c r="P80" s="2607">
        <f t="shared" si="44"/>
        <v>0</v>
      </c>
      <c r="Q80" s="2606">
        <f t="shared" si="39"/>
        <v>0</v>
      </c>
      <c r="R80" s="2608">
        <f t="shared" si="49"/>
        <v>0</v>
      </c>
      <c r="S80" s="2607">
        <f t="shared" si="31"/>
        <v>0</v>
      </c>
      <c r="T80" s="525"/>
      <c r="U80" s="2605">
        <f t="shared" si="32"/>
        <v>56</v>
      </c>
      <c r="V80" s="2607">
        <f t="shared" si="45"/>
        <v>0</v>
      </c>
      <c r="W80" s="2606">
        <f t="shared" si="40"/>
        <v>0</v>
      </c>
      <c r="X80" s="2608">
        <f t="shared" si="50"/>
        <v>0</v>
      </c>
      <c r="Y80" s="2607">
        <f t="shared" si="33"/>
        <v>0</v>
      </c>
      <c r="Z80" s="525"/>
      <c r="AA80" s="2605">
        <f t="shared" si="34"/>
        <v>56</v>
      </c>
      <c r="AB80" s="2607">
        <f t="shared" si="46"/>
        <v>0</v>
      </c>
      <c r="AC80" s="2606">
        <f t="shared" si="41"/>
        <v>0</v>
      </c>
      <c r="AD80" s="2608">
        <f t="shared" si="51"/>
        <v>0</v>
      </c>
      <c r="AE80" s="2607">
        <f t="shared" si="35"/>
        <v>0</v>
      </c>
      <c r="AF80" s="525"/>
      <c r="AG80" s="2605">
        <f t="shared" si="36"/>
        <v>56</v>
      </c>
      <c r="AH80" s="2607">
        <f t="shared" si="47"/>
        <v>0</v>
      </c>
      <c r="AI80" s="2606">
        <f t="shared" si="42"/>
        <v>0</v>
      </c>
      <c r="AJ80" s="2608">
        <f t="shared" si="52"/>
        <v>0</v>
      </c>
      <c r="AK80" s="2607">
        <f t="shared" si="37"/>
        <v>0</v>
      </c>
      <c r="AL80" s="525"/>
      <c r="AM80" s="525"/>
      <c r="AN80" s="525"/>
      <c r="AO80" s="525"/>
      <c r="AP80" s="525"/>
      <c r="AQ80" s="525"/>
      <c r="AR80" s="525"/>
      <c r="AS80" s="525"/>
      <c r="AT80" s="525"/>
      <c r="AU80" s="525"/>
      <c r="AV80" s="525"/>
      <c r="AW80" s="525"/>
      <c r="AX80" s="525"/>
      <c r="AY80" s="525"/>
      <c r="AZ80" s="525"/>
      <c r="BA80" s="525"/>
      <c r="BB80" s="525"/>
      <c r="BC80" s="525"/>
      <c r="BD80" s="525"/>
      <c r="BE80" s="525"/>
      <c r="BF80" s="525"/>
      <c r="BG80" s="525"/>
      <c r="BH80" s="525"/>
      <c r="BI80" s="525"/>
      <c r="BJ80" s="525"/>
      <c r="BK80" s="525"/>
      <c r="BL80" s="525"/>
      <c r="BM80" s="525"/>
      <c r="BN80" s="525"/>
      <c r="BO80" s="525"/>
      <c r="BP80" s="525"/>
      <c r="BQ80" s="525"/>
      <c r="BR80" s="525"/>
      <c r="BS80" s="525"/>
      <c r="BT80" s="525"/>
      <c r="BU80" s="525"/>
      <c r="BV80" s="525"/>
      <c r="BW80" s="525"/>
      <c r="BX80" s="525"/>
      <c r="BY80" s="525"/>
      <c r="BZ80" s="525"/>
      <c r="CA80" s="525"/>
      <c r="CB80" s="525"/>
      <c r="CC80" s="525"/>
      <c r="CD80" s="525"/>
      <c r="CE80" s="525"/>
      <c r="CF80" s="525"/>
      <c r="CG80" s="525"/>
      <c r="CH80" s="525"/>
      <c r="CI80" s="525"/>
      <c r="CJ80" s="525"/>
      <c r="CK80" s="525"/>
      <c r="CL80" s="525"/>
      <c r="CM80" s="525"/>
      <c r="CN80" s="525"/>
      <c r="CO80" s="525"/>
      <c r="CP80" s="525"/>
      <c r="CQ80" s="525"/>
      <c r="CR80" s="525"/>
      <c r="CS80" s="525"/>
      <c r="CT80" s="525"/>
      <c r="CU80" s="525"/>
      <c r="CV80" s="525"/>
      <c r="CW80" s="525"/>
      <c r="CX80" s="525"/>
      <c r="CY80" s="525"/>
      <c r="CZ80" s="525"/>
      <c r="DA80" s="525"/>
      <c r="DB80" s="525"/>
      <c r="DC80" s="525"/>
      <c r="DD80" s="525"/>
      <c r="DE80" s="525"/>
      <c r="DF80" s="525"/>
      <c r="DG80" s="525"/>
      <c r="DH80" s="525"/>
      <c r="DI80" s="525"/>
      <c r="DJ80" s="525"/>
      <c r="DK80" s="525"/>
      <c r="DL80" s="525"/>
      <c r="DM80" s="525"/>
      <c r="DN80" s="525"/>
      <c r="DO80" s="525"/>
      <c r="DP80" s="525"/>
      <c r="DQ80" s="525"/>
      <c r="DR80" s="525"/>
      <c r="DS80" s="525"/>
      <c r="DT80" s="525"/>
      <c r="DU80" s="525"/>
      <c r="DV80" s="525"/>
      <c r="DW80" s="525"/>
      <c r="DX80" s="525"/>
      <c r="DY80" s="525"/>
      <c r="DZ80" s="525"/>
      <c r="EA80" s="525"/>
      <c r="EB80" s="525"/>
      <c r="EC80" s="525"/>
      <c r="ED80" s="525"/>
      <c r="EE80" s="525"/>
      <c r="EF80" s="525"/>
      <c r="EG80" s="525"/>
      <c r="EH80" s="525"/>
      <c r="EI80" s="525"/>
      <c r="EJ80" s="525"/>
      <c r="EK80" s="525"/>
      <c r="EL80" s="525"/>
      <c r="EM80" s="525"/>
      <c r="EN80" s="525"/>
      <c r="EO80" s="525"/>
      <c r="EP80" s="525"/>
      <c r="EQ80" s="525"/>
      <c r="ER80" s="525"/>
      <c r="ES80" s="525"/>
      <c r="ET80" s="525"/>
      <c r="EU80" s="525"/>
      <c r="EV80" s="525"/>
      <c r="EW80" s="525"/>
      <c r="EX80" s="525"/>
      <c r="EY80" s="525"/>
      <c r="EZ80" s="525"/>
      <c r="FA80" s="525"/>
      <c r="FB80" s="525"/>
      <c r="FC80" s="525"/>
      <c r="FD80" s="525"/>
      <c r="FE80" s="525"/>
      <c r="FF80" s="525"/>
      <c r="FG80" s="525"/>
      <c r="FH80" s="525"/>
      <c r="FI80" s="525"/>
      <c r="FJ80" s="525"/>
      <c r="FK80" s="525"/>
      <c r="FL80" s="525"/>
      <c r="FM80" s="525"/>
      <c r="FN80" s="525"/>
      <c r="FO80" s="525"/>
      <c r="FP80" s="525"/>
      <c r="FQ80" s="525"/>
      <c r="FR80" s="525"/>
      <c r="FS80" s="525"/>
      <c r="FT80" s="525"/>
      <c r="FU80" s="525"/>
      <c r="FV80" s="525"/>
      <c r="FW80" s="525"/>
      <c r="FX80" s="525"/>
      <c r="FY80" s="525"/>
      <c r="FZ80" s="525"/>
      <c r="GA80" s="525"/>
      <c r="GB80" s="525"/>
      <c r="GC80" s="525"/>
      <c r="GD80" s="525"/>
      <c r="GE80" s="525"/>
      <c r="GF80" s="525"/>
      <c r="GG80" s="525"/>
      <c r="GH80" s="525"/>
      <c r="GI80" s="525"/>
      <c r="GJ80" s="525"/>
      <c r="GK80" s="525"/>
      <c r="GL80" s="525"/>
      <c r="GM80" s="525"/>
      <c r="GN80" s="525"/>
      <c r="GO80" s="525"/>
      <c r="GP80" s="525"/>
      <c r="GQ80" s="525"/>
      <c r="GR80" s="525"/>
      <c r="GS80" s="525"/>
      <c r="GT80" s="525"/>
      <c r="GU80" s="525"/>
      <c r="GV80" s="525"/>
      <c r="GW80" s="525"/>
      <c r="GX80" s="525"/>
      <c r="GY80" s="525"/>
      <c r="GZ80" s="525"/>
      <c r="HA80" s="525"/>
      <c r="HB80" s="525"/>
      <c r="HC80" s="525"/>
      <c r="HD80" s="525"/>
      <c r="HE80" s="525"/>
      <c r="HF80" s="525"/>
      <c r="HG80" s="525"/>
      <c r="HH80" s="525"/>
      <c r="HI80" s="525"/>
      <c r="HJ80" s="525"/>
      <c r="HK80" s="525"/>
      <c r="HL80" s="525"/>
      <c r="HM80" s="525"/>
      <c r="HN80" s="525"/>
      <c r="HO80" s="525"/>
      <c r="HP80" s="525"/>
      <c r="HQ80" s="525"/>
      <c r="HR80" s="525"/>
      <c r="HS80" s="525"/>
      <c r="HT80" s="525"/>
      <c r="HU80" s="525"/>
      <c r="HV80" s="525"/>
      <c r="HW80" s="525"/>
      <c r="HX80" s="525"/>
      <c r="HY80" s="525"/>
      <c r="HZ80" s="525"/>
      <c r="IA80" s="525"/>
      <c r="IB80" s="525"/>
      <c r="IC80" s="525"/>
      <c r="ID80" s="525"/>
      <c r="IE80" s="525"/>
      <c r="IF80" s="525"/>
      <c r="IG80" s="525"/>
      <c r="IH80" s="525"/>
      <c r="II80" s="525"/>
      <c r="IJ80" s="525"/>
      <c r="IK80" s="525"/>
    </row>
    <row r="81" spans="1:245" s="976" customFormat="1" ht="20.100000000000001" customHeight="1" x14ac:dyDescent="0.25">
      <c r="A81" s="525"/>
      <c r="B81" s="985"/>
      <c r="C81" s="986"/>
      <c r="D81" s="986"/>
      <c r="E81" s="986"/>
      <c r="F81" s="986"/>
      <c r="G81" s="986"/>
      <c r="H81" s="525"/>
      <c r="I81" s="2605">
        <f t="shared" si="28"/>
        <v>57</v>
      </c>
      <c r="J81" s="2607">
        <f t="shared" si="43"/>
        <v>0</v>
      </c>
      <c r="K81" s="2606">
        <f t="shared" si="38"/>
        <v>0</v>
      </c>
      <c r="L81" s="2608">
        <f t="shared" si="48"/>
        <v>0</v>
      </c>
      <c r="M81" s="2607">
        <f t="shared" si="29"/>
        <v>0</v>
      </c>
      <c r="N81" s="525"/>
      <c r="O81" s="2605">
        <f t="shared" si="30"/>
        <v>57</v>
      </c>
      <c r="P81" s="2607">
        <f t="shared" si="44"/>
        <v>0</v>
      </c>
      <c r="Q81" s="2606">
        <f t="shared" si="39"/>
        <v>0</v>
      </c>
      <c r="R81" s="2608">
        <f t="shared" si="49"/>
        <v>0</v>
      </c>
      <c r="S81" s="2607">
        <f t="shared" si="31"/>
        <v>0</v>
      </c>
      <c r="T81" s="525"/>
      <c r="U81" s="2605">
        <f t="shared" si="32"/>
        <v>57</v>
      </c>
      <c r="V81" s="2607">
        <f t="shared" si="45"/>
        <v>0</v>
      </c>
      <c r="W81" s="2606">
        <f t="shared" si="40"/>
        <v>0</v>
      </c>
      <c r="X81" s="2608">
        <f t="shared" si="50"/>
        <v>0</v>
      </c>
      <c r="Y81" s="2607">
        <f t="shared" si="33"/>
        <v>0</v>
      </c>
      <c r="Z81" s="525"/>
      <c r="AA81" s="2605">
        <f t="shared" si="34"/>
        <v>57</v>
      </c>
      <c r="AB81" s="2607">
        <f t="shared" si="46"/>
        <v>0</v>
      </c>
      <c r="AC81" s="2606">
        <f t="shared" si="41"/>
        <v>0</v>
      </c>
      <c r="AD81" s="2608">
        <f t="shared" si="51"/>
        <v>0</v>
      </c>
      <c r="AE81" s="2607">
        <f t="shared" si="35"/>
        <v>0</v>
      </c>
      <c r="AF81" s="525"/>
      <c r="AG81" s="2605">
        <f t="shared" si="36"/>
        <v>57</v>
      </c>
      <c r="AH81" s="2607">
        <f t="shared" si="47"/>
        <v>0</v>
      </c>
      <c r="AI81" s="2606">
        <f t="shared" si="42"/>
        <v>0</v>
      </c>
      <c r="AJ81" s="2608">
        <f t="shared" si="52"/>
        <v>0</v>
      </c>
      <c r="AK81" s="2607">
        <f t="shared" si="37"/>
        <v>0</v>
      </c>
      <c r="AL81" s="525"/>
      <c r="AM81" s="525"/>
      <c r="AN81" s="525"/>
      <c r="AO81" s="525"/>
      <c r="AP81" s="525"/>
      <c r="AQ81" s="525"/>
      <c r="AR81" s="525"/>
      <c r="AS81" s="525"/>
      <c r="AT81" s="525"/>
      <c r="AU81" s="525"/>
      <c r="AV81" s="525"/>
      <c r="AW81" s="525"/>
      <c r="AX81" s="525"/>
      <c r="AY81" s="525"/>
      <c r="AZ81" s="525"/>
      <c r="BA81" s="525"/>
      <c r="BB81" s="525"/>
      <c r="BC81" s="525"/>
      <c r="BD81" s="525"/>
      <c r="BE81" s="525"/>
      <c r="BF81" s="525"/>
      <c r="BG81" s="525"/>
      <c r="BH81" s="525"/>
      <c r="BI81" s="525"/>
      <c r="BJ81" s="525"/>
      <c r="BK81" s="525"/>
      <c r="BL81" s="525"/>
      <c r="BM81" s="525"/>
      <c r="BN81" s="525"/>
      <c r="BO81" s="525"/>
      <c r="BP81" s="525"/>
      <c r="BQ81" s="525"/>
      <c r="BR81" s="525"/>
      <c r="BS81" s="525"/>
      <c r="BT81" s="525"/>
      <c r="BU81" s="525"/>
      <c r="BV81" s="525"/>
      <c r="BW81" s="525"/>
      <c r="BX81" s="525"/>
      <c r="BY81" s="525"/>
      <c r="BZ81" s="525"/>
      <c r="CA81" s="525"/>
      <c r="CB81" s="525"/>
      <c r="CC81" s="525"/>
      <c r="CD81" s="525"/>
      <c r="CE81" s="525"/>
      <c r="CF81" s="525"/>
      <c r="CG81" s="525"/>
      <c r="CH81" s="525"/>
      <c r="CI81" s="525"/>
      <c r="CJ81" s="525"/>
      <c r="CK81" s="525"/>
      <c r="CL81" s="525"/>
      <c r="CM81" s="525"/>
      <c r="CN81" s="525"/>
      <c r="CO81" s="525"/>
      <c r="CP81" s="525"/>
      <c r="CQ81" s="525"/>
      <c r="CR81" s="525"/>
      <c r="CS81" s="525"/>
      <c r="CT81" s="525"/>
      <c r="CU81" s="525"/>
      <c r="CV81" s="525"/>
      <c r="CW81" s="525"/>
      <c r="CX81" s="525"/>
      <c r="CY81" s="525"/>
      <c r="CZ81" s="525"/>
      <c r="DA81" s="525"/>
      <c r="DB81" s="525"/>
      <c r="DC81" s="525"/>
      <c r="DD81" s="525"/>
      <c r="DE81" s="525"/>
      <c r="DF81" s="525"/>
      <c r="DG81" s="525"/>
      <c r="DH81" s="525"/>
      <c r="DI81" s="525"/>
      <c r="DJ81" s="525"/>
      <c r="DK81" s="525"/>
      <c r="DL81" s="525"/>
      <c r="DM81" s="525"/>
      <c r="DN81" s="525"/>
      <c r="DO81" s="525"/>
      <c r="DP81" s="525"/>
      <c r="DQ81" s="525"/>
      <c r="DR81" s="525"/>
      <c r="DS81" s="525"/>
      <c r="DT81" s="525"/>
      <c r="DU81" s="525"/>
      <c r="DV81" s="525"/>
      <c r="DW81" s="525"/>
      <c r="DX81" s="525"/>
      <c r="DY81" s="525"/>
      <c r="DZ81" s="525"/>
      <c r="EA81" s="525"/>
      <c r="EB81" s="525"/>
      <c r="EC81" s="525"/>
      <c r="ED81" s="525"/>
      <c r="EE81" s="525"/>
      <c r="EF81" s="525"/>
      <c r="EG81" s="525"/>
      <c r="EH81" s="525"/>
      <c r="EI81" s="525"/>
      <c r="EJ81" s="525"/>
      <c r="EK81" s="525"/>
      <c r="EL81" s="525"/>
      <c r="EM81" s="525"/>
      <c r="EN81" s="525"/>
      <c r="EO81" s="525"/>
      <c r="EP81" s="525"/>
      <c r="EQ81" s="525"/>
      <c r="ER81" s="525"/>
      <c r="ES81" s="525"/>
      <c r="ET81" s="525"/>
      <c r="EU81" s="525"/>
      <c r="EV81" s="525"/>
      <c r="EW81" s="525"/>
      <c r="EX81" s="525"/>
      <c r="EY81" s="525"/>
      <c r="EZ81" s="525"/>
      <c r="FA81" s="525"/>
      <c r="FB81" s="525"/>
      <c r="FC81" s="525"/>
      <c r="FD81" s="525"/>
      <c r="FE81" s="525"/>
      <c r="FF81" s="525"/>
      <c r="FG81" s="525"/>
      <c r="FH81" s="525"/>
      <c r="FI81" s="525"/>
      <c r="FJ81" s="525"/>
      <c r="FK81" s="525"/>
      <c r="FL81" s="525"/>
      <c r="FM81" s="525"/>
      <c r="FN81" s="525"/>
      <c r="FO81" s="525"/>
      <c r="FP81" s="525"/>
      <c r="FQ81" s="525"/>
      <c r="FR81" s="525"/>
      <c r="FS81" s="525"/>
      <c r="FT81" s="525"/>
      <c r="FU81" s="525"/>
      <c r="FV81" s="525"/>
      <c r="FW81" s="525"/>
      <c r="FX81" s="525"/>
      <c r="FY81" s="525"/>
      <c r="FZ81" s="525"/>
      <c r="GA81" s="525"/>
      <c r="GB81" s="525"/>
      <c r="GC81" s="525"/>
      <c r="GD81" s="525"/>
      <c r="GE81" s="525"/>
      <c r="GF81" s="525"/>
      <c r="GG81" s="525"/>
      <c r="GH81" s="525"/>
      <c r="GI81" s="525"/>
      <c r="GJ81" s="525"/>
      <c r="GK81" s="525"/>
      <c r="GL81" s="525"/>
      <c r="GM81" s="525"/>
      <c r="GN81" s="525"/>
      <c r="GO81" s="525"/>
      <c r="GP81" s="525"/>
      <c r="GQ81" s="525"/>
      <c r="GR81" s="525"/>
      <c r="GS81" s="525"/>
      <c r="GT81" s="525"/>
      <c r="GU81" s="525"/>
      <c r="GV81" s="525"/>
      <c r="GW81" s="525"/>
      <c r="GX81" s="525"/>
      <c r="GY81" s="525"/>
      <c r="GZ81" s="525"/>
      <c r="HA81" s="525"/>
      <c r="HB81" s="525"/>
      <c r="HC81" s="525"/>
      <c r="HD81" s="525"/>
      <c r="HE81" s="525"/>
      <c r="HF81" s="525"/>
      <c r="HG81" s="525"/>
      <c r="HH81" s="525"/>
      <c r="HI81" s="525"/>
      <c r="HJ81" s="525"/>
      <c r="HK81" s="525"/>
      <c r="HL81" s="525"/>
      <c r="HM81" s="525"/>
      <c r="HN81" s="525"/>
      <c r="HO81" s="525"/>
      <c r="HP81" s="525"/>
      <c r="HQ81" s="525"/>
      <c r="HR81" s="525"/>
      <c r="HS81" s="525"/>
      <c r="HT81" s="525"/>
      <c r="HU81" s="525"/>
      <c r="HV81" s="525"/>
      <c r="HW81" s="525"/>
      <c r="HX81" s="525"/>
      <c r="HY81" s="525"/>
      <c r="HZ81" s="525"/>
      <c r="IA81" s="525"/>
      <c r="IB81" s="525"/>
      <c r="IC81" s="525"/>
      <c r="ID81" s="525"/>
      <c r="IE81" s="525"/>
      <c r="IF81" s="525"/>
      <c r="IG81" s="525"/>
      <c r="IH81" s="525"/>
      <c r="II81" s="525"/>
      <c r="IJ81" s="525"/>
      <c r="IK81" s="525"/>
    </row>
    <row r="82" spans="1:245" s="976" customFormat="1" ht="20.100000000000001" customHeight="1" x14ac:dyDescent="0.25">
      <c r="A82" s="525"/>
      <c r="B82" s="985"/>
      <c r="C82" s="986"/>
      <c r="D82" s="986"/>
      <c r="E82" s="986"/>
      <c r="F82" s="986"/>
      <c r="G82" s="986"/>
      <c r="H82" s="525"/>
      <c r="I82" s="2605">
        <f t="shared" si="28"/>
        <v>58</v>
      </c>
      <c r="J82" s="2607">
        <f t="shared" si="43"/>
        <v>0</v>
      </c>
      <c r="K82" s="2606">
        <f t="shared" si="38"/>
        <v>0</v>
      </c>
      <c r="L82" s="2608">
        <f t="shared" si="48"/>
        <v>0</v>
      </c>
      <c r="M82" s="2607">
        <f t="shared" si="29"/>
        <v>0</v>
      </c>
      <c r="N82" s="525"/>
      <c r="O82" s="2605">
        <f t="shared" si="30"/>
        <v>58</v>
      </c>
      <c r="P82" s="2607">
        <f t="shared" si="44"/>
        <v>0</v>
      </c>
      <c r="Q82" s="2606">
        <f t="shared" si="39"/>
        <v>0</v>
      </c>
      <c r="R82" s="2608">
        <f t="shared" si="49"/>
        <v>0</v>
      </c>
      <c r="S82" s="2607">
        <f t="shared" si="31"/>
        <v>0</v>
      </c>
      <c r="T82" s="525"/>
      <c r="U82" s="2605">
        <f t="shared" si="32"/>
        <v>58</v>
      </c>
      <c r="V82" s="2607">
        <f t="shared" si="45"/>
        <v>0</v>
      </c>
      <c r="W82" s="2606">
        <f t="shared" si="40"/>
        <v>0</v>
      </c>
      <c r="X82" s="2608">
        <f t="shared" si="50"/>
        <v>0</v>
      </c>
      <c r="Y82" s="2607">
        <f t="shared" si="33"/>
        <v>0</v>
      </c>
      <c r="Z82" s="525"/>
      <c r="AA82" s="2605">
        <f t="shared" si="34"/>
        <v>58</v>
      </c>
      <c r="AB82" s="2607">
        <f t="shared" si="46"/>
        <v>0</v>
      </c>
      <c r="AC82" s="2606">
        <f t="shared" si="41"/>
        <v>0</v>
      </c>
      <c r="AD82" s="2608">
        <f t="shared" si="51"/>
        <v>0</v>
      </c>
      <c r="AE82" s="2607">
        <f t="shared" si="35"/>
        <v>0</v>
      </c>
      <c r="AF82" s="525"/>
      <c r="AG82" s="2605">
        <f t="shared" si="36"/>
        <v>58</v>
      </c>
      <c r="AH82" s="2607">
        <f t="shared" si="47"/>
        <v>0</v>
      </c>
      <c r="AI82" s="2606">
        <f t="shared" si="42"/>
        <v>0</v>
      </c>
      <c r="AJ82" s="2608">
        <f t="shared" si="52"/>
        <v>0</v>
      </c>
      <c r="AK82" s="2607">
        <f t="shared" si="37"/>
        <v>0</v>
      </c>
      <c r="AL82" s="525"/>
      <c r="AM82" s="525"/>
      <c r="AN82" s="525"/>
      <c r="AO82" s="525"/>
      <c r="AP82" s="525"/>
      <c r="AQ82" s="525"/>
      <c r="AR82" s="525"/>
      <c r="AS82" s="525"/>
      <c r="AT82" s="525"/>
      <c r="AU82" s="525"/>
      <c r="AV82" s="525"/>
      <c r="AW82" s="525"/>
      <c r="AX82" s="525"/>
      <c r="AY82" s="525"/>
      <c r="AZ82" s="525"/>
      <c r="BA82" s="525"/>
      <c r="BB82" s="525"/>
      <c r="BC82" s="525"/>
      <c r="BD82" s="525"/>
      <c r="BE82" s="525"/>
      <c r="BF82" s="525"/>
      <c r="BG82" s="525"/>
      <c r="BH82" s="525"/>
      <c r="BI82" s="525"/>
      <c r="BJ82" s="525"/>
      <c r="BK82" s="525"/>
      <c r="BL82" s="525"/>
      <c r="BM82" s="525"/>
      <c r="BN82" s="525"/>
      <c r="BO82" s="525"/>
      <c r="BP82" s="525"/>
      <c r="BQ82" s="525"/>
      <c r="BR82" s="525"/>
      <c r="BS82" s="525"/>
      <c r="BT82" s="525"/>
      <c r="BU82" s="525"/>
      <c r="BV82" s="525"/>
      <c r="BW82" s="525"/>
      <c r="BX82" s="525"/>
      <c r="BY82" s="525"/>
      <c r="BZ82" s="525"/>
      <c r="CA82" s="525"/>
      <c r="CB82" s="525"/>
      <c r="CC82" s="525"/>
      <c r="CD82" s="525"/>
      <c r="CE82" s="525"/>
      <c r="CF82" s="525"/>
      <c r="CG82" s="525"/>
      <c r="CH82" s="525"/>
      <c r="CI82" s="525"/>
      <c r="CJ82" s="525"/>
      <c r="CK82" s="525"/>
      <c r="CL82" s="525"/>
      <c r="CM82" s="525"/>
      <c r="CN82" s="525"/>
      <c r="CO82" s="525"/>
      <c r="CP82" s="525"/>
      <c r="CQ82" s="525"/>
      <c r="CR82" s="525"/>
      <c r="CS82" s="525"/>
      <c r="CT82" s="525"/>
      <c r="CU82" s="525"/>
      <c r="CV82" s="525"/>
      <c r="CW82" s="525"/>
      <c r="CX82" s="525"/>
      <c r="CY82" s="525"/>
      <c r="CZ82" s="525"/>
      <c r="DA82" s="525"/>
      <c r="DB82" s="525"/>
      <c r="DC82" s="525"/>
      <c r="DD82" s="525"/>
      <c r="DE82" s="525"/>
      <c r="DF82" s="525"/>
      <c r="DG82" s="525"/>
      <c r="DH82" s="525"/>
      <c r="DI82" s="525"/>
      <c r="DJ82" s="525"/>
      <c r="DK82" s="525"/>
      <c r="DL82" s="525"/>
      <c r="DM82" s="525"/>
      <c r="DN82" s="525"/>
      <c r="DO82" s="525"/>
      <c r="DP82" s="525"/>
      <c r="DQ82" s="525"/>
      <c r="DR82" s="525"/>
      <c r="DS82" s="525"/>
      <c r="DT82" s="525"/>
      <c r="DU82" s="525"/>
      <c r="DV82" s="525"/>
      <c r="DW82" s="525"/>
      <c r="DX82" s="525"/>
      <c r="DY82" s="525"/>
      <c r="DZ82" s="525"/>
      <c r="EA82" s="525"/>
      <c r="EB82" s="525"/>
      <c r="EC82" s="525"/>
      <c r="ED82" s="525"/>
      <c r="EE82" s="525"/>
      <c r="EF82" s="525"/>
      <c r="EG82" s="525"/>
      <c r="EH82" s="525"/>
      <c r="EI82" s="525"/>
      <c r="EJ82" s="525"/>
      <c r="EK82" s="525"/>
      <c r="EL82" s="525"/>
      <c r="EM82" s="525"/>
      <c r="EN82" s="525"/>
      <c r="EO82" s="525"/>
      <c r="EP82" s="525"/>
      <c r="EQ82" s="525"/>
      <c r="ER82" s="525"/>
      <c r="ES82" s="525"/>
      <c r="ET82" s="525"/>
      <c r="EU82" s="525"/>
      <c r="EV82" s="525"/>
      <c r="EW82" s="525"/>
      <c r="EX82" s="525"/>
      <c r="EY82" s="525"/>
      <c r="EZ82" s="525"/>
      <c r="FA82" s="525"/>
      <c r="FB82" s="525"/>
      <c r="FC82" s="525"/>
      <c r="FD82" s="525"/>
      <c r="FE82" s="525"/>
      <c r="FF82" s="525"/>
      <c r="FG82" s="525"/>
      <c r="FH82" s="525"/>
      <c r="FI82" s="525"/>
      <c r="FJ82" s="525"/>
      <c r="FK82" s="525"/>
      <c r="FL82" s="525"/>
      <c r="FM82" s="525"/>
      <c r="FN82" s="525"/>
      <c r="FO82" s="525"/>
      <c r="FP82" s="525"/>
      <c r="FQ82" s="525"/>
      <c r="FR82" s="525"/>
      <c r="FS82" s="525"/>
      <c r="FT82" s="525"/>
      <c r="FU82" s="525"/>
      <c r="FV82" s="525"/>
      <c r="FW82" s="525"/>
      <c r="FX82" s="525"/>
      <c r="FY82" s="525"/>
      <c r="FZ82" s="525"/>
      <c r="GA82" s="525"/>
      <c r="GB82" s="525"/>
      <c r="GC82" s="525"/>
      <c r="GD82" s="525"/>
      <c r="GE82" s="525"/>
      <c r="GF82" s="525"/>
      <c r="GG82" s="525"/>
      <c r="GH82" s="525"/>
      <c r="GI82" s="525"/>
      <c r="GJ82" s="525"/>
      <c r="GK82" s="525"/>
      <c r="GL82" s="525"/>
      <c r="GM82" s="525"/>
      <c r="GN82" s="525"/>
      <c r="GO82" s="525"/>
      <c r="GP82" s="525"/>
      <c r="GQ82" s="525"/>
      <c r="GR82" s="525"/>
      <c r="GS82" s="525"/>
      <c r="GT82" s="525"/>
      <c r="GU82" s="525"/>
      <c r="GV82" s="525"/>
      <c r="GW82" s="525"/>
      <c r="GX82" s="525"/>
      <c r="GY82" s="525"/>
      <c r="GZ82" s="525"/>
      <c r="HA82" s="525"/>
      <c r="HB82" s="525"/>
      <c r="HC82" s="525"/>
      <c r="HD82" s="525"/>
      <c r="HE82" s="525"/>
      <c r="HF82" s="525"/>
      <c r="HG82" s="525"/>
      <c r="HH82" s="525"/>
      <c r="HI82" s="525"/>
      <c r="HJ82" s="525"/>
      <c r="HK82" s="525"/>
      <c r="HL82" s="525"/>
      <c r="HM82" s="525"/>
      <c r="HN82" s="525"/>
      <c r="HO82" s="525"/>
      <c r="HP82" s="525"/>
      <c r="HQ82" s="525"/>
      <c r="HR82" s="525"/>
      <c r="HS82" s="525"/>
      <c r="HT82" s="525"/>
      <c r="HU82" s="525"/>
      <c r="HV82" s="525"/>
      <c r="HW82" s="525"/>
      <c r="HX82" s="525"/>
      <c r="HY82" s="525"/>
      <c r="HZ82" s="525"/>
      <c r="IA82" s="525"/>
      <c r="IB82" s="525"/>
      <c r="IC82" s="525"/>
      <c r="ID82" s="525"/>
      <c r="IE82" s="525"/>
      <c r="IF82" s="525"/>
      <c r="IG82" s="525"/>
      <c r="IH82" s="525"/>
      <c r="II82" s="525"/>
      <c r="IJ82" s="525"/>
      <c r="IK82" s="525"/>
    </row>
    <row r="83" spans="1:245" s="976" customFormat="1" ht="20.100000000000001" customHeight="1" x14ac:dyDescent="0.25">
      <c r="A83" s="525"/>
      <c r="B83" s="985"/>
      <c r="C83" s="986"/>
      <c r="D83" s="986"/>
      <c r="E83" s="986"/>
      <c r="F83" s="986"/>
      <c r="G83" s="986"/>
      <c r="H83" s="525"/>
      <c r="I83" s="2605">
        <f t="shared" si="28"/>
        <v>59</v>
      </c>
      <c r="J83" s="2607">
        <f t="shared" si="43"/>
        <v>0</v>
      </c>
      <c r="K83" s="2606">
        <f t="shared" si="38"/>
        <v>0</v>
      </c>
      <c r="L83" s="2608">
        <f t="shared" si="48"/>
        <v>0</v>
      </c>
      <c r="M83" s="2607">
        <f t="shared" si="29"/>
        <v>0</v>
      </c>
      <c r="N83" s="525"/>
      <c r="O83" s="2605">
        <f t="shared" si="30"/>
        <v>59</v>
      </c>
      <c r="P83" s="2607">
        <f t="shared" si="44"/>
        <v>0</v>
      </c>
      <c r="Q83" s="2606">
        <f t="shared" si="39"/>
        <v>0</v>
      </c>
      <c r="R83" s="2608">
        <f t="shared" si="49"/>
        <v>0</v>
      </c>
      <c r="S83" s="2607">
        <f t="shared" si="31"/>
        <v>0</v>
      </c>
      <c r="T83" s="525"/>
      <c r="U83" s="2605">
        <f t="shared" si="32"/>
        <v>59</v>
      </c>
      <c r="V83" s="2607">
        <f t="shared" si="45"/>
        <v>0</v>
      </c>
      <c r="W83" s="2606">
        <f t="shared" si="40"/>
        <v>0</v>
      </c>
      <c r="X83" s="2608">
        <f t="shared" si="50"/>
        <v>0</v>
      </c>
      <c r="Y83" s="2607">
        <f t="shared" si="33"/>
        <v>0</v>
      </c>
      <c r="Z83" s="525"/>
      <c r="AA83" s="2605">
        <f t="shared" si="34"/>
        <v>59</v>
      </c>
      <c r="AB83" s="2607">
        <f t="shared" si="46"/>
        <v>0</v>
      </c>
      <c r="AC83" s="2606">
        <f t="shared" si="41"/>
        <v>0</v>
      </c>
      <c r="AD83" s="2608">
        <f t="shared" si="51"/>
        <v>0</v>
      </c>
      <c r="AE83" s="2607">
        <f t="shared" si="35"/>
        <v>0</v>
      </c>
      <c r="AF83" s="525"/>
      <c r="AG83" s="2605">
        <f t="shared" si="36"/>
        <v>59</v>
      </c>
      <c r="AH83" s="2607">
        <f t="shared" si="47"/>
        <v>0</v>
      </c>
      <c r="AI83" s="2606">
        <f t="shared" si="42"/>
        <v>0</v>
      </c>
      <c r="AJ83" s="2608">
        <f t="shared" si="52"/>
        <v>0</v>
      </c>
      <c r="AK83" s="2607">
        <f t="shared" si="37"/>
        <v>0</v>
      </c>
      <c r="AL83" s="525"/>
      <c r="AM83" s="525"/>
      <c r="AN83" s="525"/>
      <c r="AO83" s="525"/>
      <c r="AP83" s="525"/>
      <c r="AQ83" s="525"/>
      <c r="AR83" s="525"/>
      <c r="AS83" s="525"/>
      <c r="AT83" s="525"/>
      <c r="AU83" s="525"/>
      <c r="AV83" s="525"/>
      <c r="AW83" s="525"/>
      <c r="AX83" s="525"/>
      <c r="AY83" s="525"/>
      <c r="AZ83" s="525"/>
      <c r="BA83" s="525"/>
      <c r="BB83" s="525"/>
      <c r="BC83" s="525"/>
      <c r="BD83" s="525"/>
      <c r="BE83" s="525"/>
      <c r="BF83" s="525"/>
      <c r="BG83" s="525"/>
      <c r="BH83" s="525"/>
      <c r="BI83" s="525"/>
      <c r="BJ83" s="525"/>
      <c r="BK83" s="525"/>
      <c r="BL83" s="525"/>
      <c r="BM83" s="525"/>
      <c r="BN83" s="525"/>
      <c r="BO83" s="525"/>
      <c r="BP83" s="525"/>
      <c r="BQ83" s="525"/>
      <c r="BR83" s="525"/>
      <c r="BS83" s="525"/>
      <c r="BT83" s="525"/>
      <c r="BU83" s="525"/>
      <c r="BV83" s="525"/>
      <c r="BW83" s="525"/>
      <c r="BX83" s="525"/>
      <c r="BY83" s="525"/>
      <c r="BZ83" s="525"/>
      <c r="CA83" s="525"/>
      <c r="CB83" s="525"/>
      <c r="CC83" s="525"/>
      <c r="CD83" s="525"/>
      <c r="CE83" s="525"/>
      <c r="CF83" s="525"/>
      <c r="CG83" s="525"/>
      <c r="CH83" s="525"/>
      <c r="CI83" s="525"/>
      <c r="CJ83" s="525"/>
      <c r="CK83" s="525"/>
      <c r="CL83" s="525"/>
      <c r="CM83" s="525"/>
      <c r="CN83" s="525"/>
      <c r="CO83" s="525"/>
      <c r="CP83" s="525"/>
      <c r="CQ83" s="525"/>
      <c r="CR83" s="525"/>
      <c r="CS83" s="525"/>
      <c r="CT83" s="525"/>
      <c r="CU83" s="525"/>
      <c r="CV83" s="525"/>
      <c r="CW83" s="525"/>
      <c r="CX83" s="525"/>
      <c r="CY83" s="525"/>
      <c r="CZ83" s="525"/>
      <c r="DA83" s="525"/>
      <c r="DB83" s="525"/>
      <c r="DC83" s="525"/>
      <c r="DD83" s="525"/>
      <c r="DE83" s="525"/>
      <c r="DF83" s="525"/>
      <c r="DG83" s="525"/>
      <c r="DH83" s="525"/>
      <c r="DI83" s="525"/>
      <c r="DJ83" s="525"/>
      <c r="DK83" s="525"/>
      <c r="DL83" s="525"/>
      <c r="DM83" s="525"/>
      <c r="DN83" s="525"/>
      <c r="DO83" s="525"/>
      <c r="DP83" s="525"/>
      <c r="DQ83" s="525"/>
      <c r="DR83" s="525"/>
      <c r="DS83" s="525"/>
      <c r="DT83" s="525"/>
      <c r="DU83" s="525"/>
      <c r="DV83" s="525"/>
      <c r="DW83" s="525"/>
      <c r="DX83" s="525"/>
      <c r="DY83" s="525"/>
      <c r="DZ83" s="525"/>
      <c r="EA83" s="525"/>
      <c r="EB83" s="525"/>
      <c r="EC83" s="525"/>
      <c r="ED83" s="525"/>
      <c r="EE83" s="525"/>
      <c r="EF83" s="525"/>
      <c r="EG83" s="525"/>
      <c r="EH83" s="525"/>
      <c r="EI83" s="525"/>
      <c r="EJ83" s="525"/>
      <c r="EK83" s="525"/>
      <c r="EL83" s="525"/>
      <c r="EM83" s="525"/>
      <c r="EN83" s="525"/>
      <c r="EO83" s="525"/>
      <c r="EP83" s="525"/>
      <c r="EQ83" s="525"/>
      <c r="ER83" s="525"/>
      <c r="ES83" s="525"/>
      <c r="ET83" s="525"/>
      <c r="EU83" s="525"/>
      <c r="EV83" s="525"/>
      <c r="EW83" s="525"/>
      <c r="EX83" s="525"/>
      <c r="EY83" s="525"/>
      <c r="EZ83" s="525"/>
      <c r="FA83" s="525"/>
      <c r="FB83" s="525"/>
      <c r="FC83" s="525"/>
      <c r="FD83" s="525"/>
      <c r="FE83" s="525"/>
      <c r="FF83" s="525"/>
      <c r="FG83" s="525"/>
      <c r="FH83" s="525"/>
      <c r="FI83" s="525"/>
      <c r="FJ83" s="525"/>
      <c r="FK83" s="525"/>
      <c r="FL83" s="525"/>
      <c r="FM83" s="525"/>
      <c r="FN83" s="525"/>
      <c r="FO83" s="525"/>
      <c r="FP83" s="525"/>
      <c r="FQ83" s="525"/>
      <c r="FR83" s="525"/>
      <c r="FS83" s="525"/>
      <c r="FT83" s="525"/>
      <c r="FU83" s="525"/>
      <c r="FV83" s="525"/>
      <c r="FW83" s="525"/>
      <c r="FX83" s="525"/>
      <c r="FY83" s="525"/>
      <c r="FZ83" s="525"/>
      <c r="GA83" s="525"/>
      <c r="GB83" s="525"/>
      <c r="GC83" s="525"/>
      <c r="GD83" s="525"/>
      <c r="GE83" s="525"/>
      <c r="GF83" s="525"/>
      <c r="GG83" s="525"/>
      <c r="GH83" s="525"/>
      <c r="GI83" s="525"/>
      <c r="GJ83" s="525"/>
      <c r="GK83" s="525"/>
      <c r="GL83" s="525"/>
      <c r="GM83" s="525"/>
      <c r="GN83" s="525"/>
      <c r="GO83" s="525"/>
      <c r="GP83" s="525"/>
      <c r="GQ83" s="525"/>
      <c r="GR83" s="525"/>
      <c r="GS83" s="525"/>
      <c r="GT83" s="525"/>
      <c r="GU83" s="525"/>
      <c r="GV83" s="525"/>
      <c r="GW83" s="525"/>
      <c r="GX83" s="525"/>
      <c r="GY83" s="525"/>
      <c r="GZ83" s="525"/>
      <c r="HA83" s="525"/>
      <c r="HB83" s="525"/>
      <c r="HC83" s="525"/>
      <c r="HD83" s="525"/>
      <c r="HE83" s="525"/>
      <c r="HF83" s="525"/>
      <c r="HG83" s="525"/>
      <c r="HH83" s="525"/>
      <c r="HI83" s="525"/>
      <c r="HJ83" s="525"/>
      <c r="HK83" s="525"/>
      <c r="HL83" s="525"/>
      <c r="HM83" s="525"/>
      <c r="HN83" s="525"/>
      <c r="HO83" s="525"/>
      <c r="HP83" s="525"/>
      <c r="HQ83" s="525"/>
      <c r="HR83" s="525"/>
      <c r="HS83" s="525"/>
      <c r="HT83" s="525"/>
      <c r="HU83" s="525"/>
      <c r="HV83" s="525"/>
      <c r="HW83" s="525"/>
      <c r="HX83" s="525"/>
      <c r="HY83" s="525"/>
      <c r="HZ83" s="525"/>
      <c r="IA83" s="525"/>
      <c r="IB83" s="525"/>
      <c r="IC83" s="525"/>
      <c r="ID83" s="525"/>
      <c r="IE83" s="525"/>
      <c r="IF83" s="525"/>
      <c r="IG83" s="525"/>
      <c r="IH83" s="525"/>
      <c r="II83" s="525"/>
      <c r="IJ83" s="525"/>
      <c r="IK83" s="525"/>
    </row>
    <row r="84" spans="1:245" s="976" customFormat="1" ht="20.100000000000001" customHeight="1" x14ac:dyDescent="0.25">
      <c r="A84" s="525"/>
      <c r="B84" s="985"/>
      <c r="C84" s="986"/>
      <c r="D84" s="986"/>
      <c r="E84" s="986"/>
      <c r="F84" s="986"/>
      <c r="G84" s="986"/>
      <c r="H84" s="525"/>
      <c r="I84" s="2605">
        <f t="shared" si="28"/>
        <v>60</v>
      </c>
      <c r="J84" s="2607">
        <f t="shared" si="43"/>
        <v>0</v>
      </c>
      <c r="K84" s="2606">
        <f t="shared" si="38"/>
        <v>0</v>
      </c>
      <c r="L84" s="2608">
        <f t="shared" si="48"/>
        <v>0</v>
      </c>
      <c r="M84" s="2607">
        <f t="shared" si="29"/>
        <v>0</v>
      </c>
      <c r="N84" s="525"/>
      <c r="O84" s="2605">
        <f t="shared" si="30"/>
        <v>60</v>
      </c>
      <c r="P84" s="2607">
        <f t="shared" si="44"/>
        <v>0</v>
      </c>
      <c r="Q84" s="2606">
        <f t="shared" si="39"/>
        <v>0</v>
      </c>
      <c r="R84" s="2608">
        <f t="shared" si="49"/>
        <v>0</v>
      </c>
      <c r="S84" s="2607">
        <f t="shared" si="31"/>
        <v>0</v>
      </c>
      <c r="T84" s="525"/>
      <c r="U84" s="2605">
        <f t="shared" si="32"/>
        <v>60</v>
      </c>
      <c r="V84" s="2607">
        <f t="shared" si="45"/>
        <v>0</v>
      </c>
      <c r="W84" s="2606">
        <f t="shared" si="40"/>
        <v>0</v>
      </c>
      <c r="X84" s="2608">
        <f t="shared" si="50"/>
        <v>0</v>
      </c>
      <c r="Y84" s="2607">
        <f t="shared" si="33"/>
        <v>0</v>
      </c>
      <c r="Z84" s="525"/>
      <c r="AA84" s="2605">
        <f t="shared" si="34"/>
        <v>60</v>
      </c>
      <c r="AB84" s="2607">
        <f t="shared" si="46"/>
        <v>0</v>
      </c>
      <c r="AC84" s="2606">
        <f t="shared" si="41"/>
        <v>0</v>
      </c>
      <c r="AD84" s="2608">
        <f t="shared" si="51"/>
        <v>0</v>
      </c>
      <c r="AE84" s="2607">
        <f t="shared" si="35"/>
        <v>0</v>
      </c>
      <c r="AF84" s="525"/>
      <c r="AG84" s="2605">
        <f t="shared" si="36"/>
        <v>60</v>
      </c>
      <c r="AH84" s="2607">
        <f t="shared" si="47"/>
        <v>0</v>
      </c>
      <c r="AI84" s="2606">
        <f t="shared" si="42"/>
        <v>0</v>
      </c>
      <c r="AJ84" s="2608">
        <f t="shared" si="52"/>
        <v>0</v>
      </c>
      <c r="AK84" s="2607">
        <f t="shared" si="37"/>
        <v>0</v>
      </c>
      <c r="AL84" s="525"/>
      <c r="AM84" s="525"/>
      <c r="AN84" s="525"/>
      <c r="AO84" s="525"/>
      <c r="AP84" s="525"/>
      <c r="AQ84" s="525"/>
      <c r="AR84" s="525"/>
      <c r="AS84" s="525"/>
      <c r="AT84" s="525"/>
      <c r="AU84" s="525"/>
      <c r="AV84" s="525"/>
      <c r="AW84" s="525"/>
      <c r="AX84" s="525"/>
      <c r="AY84" s="525"/>
      <c r="AZ84" s="525"/>
      <c r="BA84" s="525"/>
      <c r="BB84" s="525"/>
      <c r="BC84" s="525"/>
      <c r="BD84" s="525"/>
      <c r="BE84" s="525"/>
      <c r="BF84" s="525"/>
      <c r="BG84" s="525"/>
      <c r="BH84" s="525"/>
      <c r="BI84" s="525"/>
      <c r="BJ84" s="525"/>
      <c r="BK84" s="525"/>
      <c r="BL84" s="525"/>
      <c r="BM84" s="525"/>
      <c r="BN84" s="525"/>
      <c r="BO84" s="525"/>
      <c r="BP84" s="525"/>
      <c r="BQ84" s="525"/>
      <c r="BR84" s="525"/>
      <c r="BS84" s="525"/>
      <c r="BT84" s="525"/>
      <c r="BU84" s="525"/>
      <c r="BV84" s="525"/>
      <c r="BW84" s="525"/>
      <c r="BX84" s="525"/>
      <c r="BY84" s="525"/>
      <c r="BZ84" s="525"/>
      <c r="CA84" s="525"/>
      <c r="CB84" s="525"/>
      <c r="CC84" s="525"/>
      <c r="CD84" s="525"/>
      <c r="CE84" s="525"/>
      <c r="CF84" s="525"/>
      <c r="CG84" s="525"/>
      <c r="CH84" s="525"/>
      <c r="CI84" s="525"/>
      <c r="CJ84" s="525"/>
      <c r="CK84" s="525"/>
      <c r="CL84" s="525"/>
      <c r="CM84" s="525"/>
      <c r="CN84" s="525"/>
      <c r="CO84" s="525"/>
      <c r="CP84" s="525"/>
      <c r="CQ84" s="525"/>
      <c r="CR84" s="525"/>
      <c r="CS84" s="525"/>
      <c r="CT84" s="525"/>
      <c r="CU84" s="525"/>
      <c r="CV84" s="525"/>
      <c r="CW84" s="525"/>
      <c r="CX84" s="525"/>
      <c r="CY84" s="525"/>
      <c r="CZ84" s="525"/>
      <c r="DA84" s="525"/>
      <c r="DB84" s="525"/>
      <c r="DC84" s="525"/>
      <c r="DD84" s="525"/>
      <c r="DE84" s="525"/>
      <c r="DF84" s="525"/>
      <c r="DG84" s="525"/>
      <c r="DH84" s="525"/>
      <c r="DI84" s="525"/>
      <c r="DJ84" s="525"/>
      <c r="DK84" s="525"/>
      <c r="DL84" s="525"/>
      <c r="DM84" s="525"/>
      <c r="DN84" s="525"/>
      <c r="DO84" s="525"/>
      <c r="DP84" s="525"/>
      <c r="DQ84" s="525"/>
      <c r="DR84" s="525"/>
      <c r="DS84" s="525"/>
      <c r="DT84" s="525"/>
      <c r="DU84" s="525"/>
      <c r="DV84" s="525"/>
      <c r="DW84" s="525"/>
      <c r="DX84" s="525"/>
      <c r="DY84" s="525"/>
      <c r="DZ84" s="525"/>
      <c r="EA84" s="525"/>
      <c r="EB84" s="525"/>
      <c r="EC84" s="525"/>
      <c r="ED84" s="525"/>
      <c r="EE84" s="525"/>
      <c r="EF84" s="525"/>
      <c r="EG84" s="525"/>
      <c r="EH84" s="525"/>
      <c r="EI84" s="525"/>
      <c r="EJ84" s="525"/>
      <c r="EK84" s="525"/>
      <c r="EL84" s="525"/>
      <c r="EM84" s="525"/>
      <c r="EN84" s="525"/>
      <c r="EO84" s="525"/>
      <c r="EP84" s="525"/>
      <c r="EQ84" s="525"/>
      <c r="ER84" s="525"/>
      <c r="ES84" s="525"/>
      <c r="ET84" s="525"/>
      <c r="EU84" s="525"/>
      <c r="EV84" s="525"/>
      <c r="EW84" s="525"/>
      <c r="EX84" s="525"/>
      <c r="EY84" s="525"/>
      <c r="EZ84" s="525"/>
      <c r="FA84" s="525"/>
      <c r="FB84" s="525"/>
      <c r="FC84" s="525"/>
      <c r="FD84" s="525"/>
      <c r="FE84" s="525"/>
      <c r="FF84" s="525"/>
      <c r="FG84" s="525"/>
      <c r="FH84" s="525"/>
      <c r="FI84" s="525"/>
      <c r="FJ84" s="525"/>
      <c r="FK84" s="525"/>
      <c r="FL84" s="525"/>
      <c r="FM84" s="525"/>
      <c r="FN84" s="525"/>
      <c r="FO84" s="525"/>
      <c r="FP84" s="525"/>
      <c r="FQ84" s="525"/>
      <c r="FR84" s="525"/>
      <c r="FS84" s="525"/>
      <c r="FT84" s="525"/>
      <c r="FU84" s="525"/>
      <c r="FV84" s="525"/>
      <c r="FW84" s="525"/>
      <c r="FX84" s="525"/>
      <c r="FY84" s="525"/>
      <c r="FZ84" s="525"/>
      <c r="GA84" s="525"/>
      <c r="GB84" s="525"/>
      <c r="GC84" s="525"/>
      <c r="GD84" s="525"/>
      <c r="GE84" s="525"/>
      <c r="GF84" s="525"/>
      <c r="GG84" s="525"/>
      <c r="GH84" s="525"/>
      <c r="GI84" s="525"/>
      <c r="GJ84" s="525"/>
      <c r="GK84" s="525"/>
      <c r="GL84" s="525"/>
      <c r="GM84" s="525"/>
      <c r="GN84" s="525"/>
      <c r="GO84" s="525"/>
      <c r="GP84" s="525"/>
      <c r="GQ84" s="525"/>
      <c r="GR84" s="525"/>
      <c r="GS84" s="525"/>
      <c r="GT84" s="525"/>
      <c r="GU84" s="525"/>
      <c r="GV84" s="525"/>
      <c r="GW84" s="525"/>
      <c r="GX84" s="525"/>
      <c r="GY84" s="525"/>
      <c r="GZ84" s="525"/>
      <c r="HA84" s="525"/>
      <c r="HB84" s="525"/>
      <c r="HC84" s="525"/>
      <c r="HD84" s="525"/>
      <c r="HE84" s="525"/>
      <c r="HF84" s="525"/>
      <c r="HG84" s="525"/>
      <c r="HH84" s="525"/>
      <c r="HI84" s="525"/>
      <c r="HJ84" s="525"/>
      <c r="HK84" s="525"/>
      <c r="HL84" s="525"/>
      <c r="HM84" s="525"/>
      <c r="HN84" s="525"/>
      <c r="HO84" s="525"/>
      <c r="HP84" s="525"/>
      <c r="HQ84" s="525"/>
      <c r="HR84" s="525"/>
      <c r="HS84" s="525"/>
      <c r="HT84" s="525"/>
      <c r="HU84" s="525"/>
      <c r="HV84" s="525"/>
      <c r="HW84" s="525"/>
      <c r="HX84" s="525"/>
      <c r="HY84" s="525"/>
      <c r="HZ84" s="525"/>
      <c r="IA84" s="525"/>
      <c r="IB84" s="525"/>
      <c r="IC84" s="525"/>
      <c r="ID84" s="525"/>
      <c r="IE84" s="525"/>
      <c r="IF84" s="525"/>
      <c r="IG84" s="525"/>
      <c r="IH84" s="525"/>
      <c r="II84" s="525"/>
      <c r="IJ84" s="525"/>
      <c r="IK84" s="525"/>
    </row>
    <row r="85" spans="1:245" s="976" customFormat="1" ht="20.100000000000001" customHeight="1" x14ac:dyDescent="0.25">
      <c r="A85" s="525"/>
      <c r="B85" s="985"/>
      <c r="C85" s="986"/>
      <c r="D85" s="986"/>
      <c r="E85" s="986"/>
      <c r="F85" s="986"/>
      <c r="G85" s="986"/>
      <c r="H85" s="525"/>
      <c r="I85" s="2605">
        <f t="shared" si="28"/>
        <v>61</v>
      </c>
      <c r="J85" s="2607">
        <f t="shared" si="43"/>
        <v>0</v>
      </c>
      <c r="K85" s="2606">
        <f t="shared" si="38"/>
        <v>0</v>
      </c>
      <c r="L85" s="2608">
        <f t="shared" si="48"/>
        <v>0</v>
      </c>
      <c r="M85" s="2607">
        <f t="shared" si="29"/>
        <v>0</v>
      </c>
      <c r="N85" s="525"/>
      <c r="O85" s="2605">
        <f t="shared" si="30"/>
        <v>61</v>
      </c>
      <c r="P85" s="2607">
        <f t="shared" si="44"/>
        <v>0</v>
      </c>
      <c r="Q85" s="2606">
        <f t="shared" si="39"/>
        <v>0</v>
      </c>
      <c r="R85" s="2608">
        <f t="shared" si="49"/>
        <v>0</v>
      </c>
      <c r="S85" s="2607">
        <f t="shared" si="31"/>
        <v>0</v>
      </c>
      <c r="T85" s="525"/>
      <c r="U85" s="2605">
        <f t="shared" si="32"/>
        <v>61</v>
      </c>
      <c r="V85" s="2607">
        <f t="shared" si="45"/>
        <v>0</v>
      </c>
      <c r="W85" s="2606">
        <f t="shared" si="40"/>
        <v>0</v>
      </c>
      <c r="X85" s="2608">
        <f t="shared" si="50"/>
        <v>0</v>
      </c>
      <c r="Y85" s="2607">
        <f t="shared" si="33"/>
        <v>0</v>
      </c>
      <c r="Z85" s="525"/>
      <c r="AA85" s="2605">
        <f t="shared" si="34"/>
        <v>61</v>
      </c>
      <c r="AB85" s="2607">
        <f t="shared" si="46"/>
        <v>0</v>
      </c>
      <c r="AC85" s="2606">
        <f t="shared" si="41"/>
        <v>0</v>
      </c>
      <c r="AD85" s="2608">
        <f t="shared" si="51"/>
        <v>0</v>
      </c>
      <c r="AE85" s="2607">
        <f t="shared" si="35"/>
        <v>0</v>
      </c>
      <c r="AF85" s="525"/>
      <c r="AG85" s="2605">
        <f t="shared" si="36"/>
        <v>61</v>
      </c>
      <c r="AH85" s="2607">
        <f t="shared" si="47"/>
        <v>0</v>
      </c>
      <c r="AI85" s="2606">
        <f t="shared" si="42"/>
        <v>0</v>
      </c>
      <c r="AJ85" s="2608">
        <f t="shared" si="52"/>
        <v>0</v>
      </c>
      <c r="AK85" s="2607">
        <f t="shared" si="37"/>
        <v>0</v>
      </c>
      <c r="AL85" s="525"/>
      <c r="AM85" s="525"/>
      <c r="AN85" s="525"/>
      <c r="AO85" s="525"/>
      <c r="AP85" s="525"/>
      <c r="AQ85" s="525"/>
      <c r="AR85" s="525"/>
      <c r="AS85" s="525"/>
      <c r="AT85" s="525"/>
      <c r="AU85" s="525"/>
      <c r="AV85" s="525"/>
      <c r="AW85" s="525"/>
      <c r="AX85" s="525"/>
      <c r="AY85" s="525"/>
      <c r="AZ85" s="525"/>
      <c r="BA85" s="525"/>
      <c r="BB85" s="525"/>
      <c r="BC85" s="525"/>
      <c r="BD85" s="525"/>
      <c r="BE85" s="525"/>
      <c r="BF85" s="525"/>
      <c r="BG85" s="525"/>
      <c r="BH85" s="525"/>
      <c r="BI85" s="525"/>
      <c r="BJ85" s="525"/>
      <c r="BK85" s="525"/>
      <c r="BL85" s="525"/>
      <c r="BM85" s="525"/>
      <c r="BN85" s="525"/>
      <c r="BO85" s="525"/>
      <c r="BP85" s="525"/>
      <c r="BQ85" s="525"/>
      <c r="BR85" s="525"/>
      <c r="BS85" s="525"/>
      <c r="BT85" s="525"/>
      <c r="BU85" s="525"/>
      <c r="BV85" s="525"/>
      <c r="BW85" s="525"/>
      <c r="BX85" s="525"/>
      <c r="BY85" s="525"/>
      <c r="BZ85" s="525"/>
      <c r="CA85" s="525"/>
      <c r="CB85" s="525"/>
      <c r="CC85" s="525"/>
      <c r="CD85" s="525"/>
      <c r="CE85" s="525"/>
      <c r="CF85" s="525"/>
      <c r="CG85" s="525"/>
      <c r="CH85" s="525"/>
      <c r="CI85" s="525"/>
      <c r="CJ85" s="525"/>
      <c r="CK85" s="525"/>
      <c r="CL85" s="525"/>
      <c r="CM85" s="525"/>
      <c r="CN85" s="525"/>
      <c r="CO85" s="525"/>
      <c r="CP85" s="525"/>
      <c r="CQ85" s="525"/>
      <c r="CR85" s="525"/>
      <c r="CS85" s="525"/>
      <c r="CT85" s="525"/>
      <c r="CU85" s="525"/>
      <c r="CV85" s="525"/>
      <c r="CW85" s="525"/>
      <c r="CX85" s="525"/>
      <c r="CY85" s="525"/>
      <c r="CZ85" s="525"/>
      <c r="DA85" s="525"/>
      <c r="DB85" s="525"/>
      <c r="DC85" s="525"/>
      <c r="DD85" s="525"/>
      <c r="DE85" s="525"/>
      <c r="DF85" s="525"/>
      <c r="DG85" s="525"/>
      <c r="DH85" s="525"/>
      <c r="DI85" s="525"/>
      <c r="DJ85" s="525"/>
      <c r="DK85" s="525"/>
      <c r="DL85" s="525"/>
      <c r="DM85" s="525"/>
      <c r="DN85" s="525"/>
      <c r="DO85" s="525"/>
      <c r="DP85" s="525"/>
      <c r="DQ85" s="525"/>
      <c r="DR85" s="525"/>
      <c r="DS85" s="525"/>
      <c r="DT85" s="525"/>
      <c r="DU85" s="525"/>
      <c r="DV85" s="525"/>
      <c r="DW85" s="525"/>
      <c r="DX85" s="525"/>
      <c r="DY85" s="525"/>
      <c r="DZ85" s="525"/>
      <c r="EA85" s="525"/>
      <c r="EB85" s="525"/>
      <c r="EC85" s="525"/>
      <c r="ED85" s="525"/>
      <c r="EE85" s="525"/>
      <c r="EF85" s="525"/>
      <c r="EG85" s="525"/>
      <c r="EH85" s="525"/>
      <c r="EI85" s="525"/>
      <c r="EJ85" s="525"/>
      <c r="EK85" s="525"/>
      <c r="EL85" s="525"/>
      <c r="EM85" s="525"/>
      <c r="EN85" s="525"/>
      <c r="EO85" s="525"/>
      <c r="EP85" s="525"/>
      <c r="EQ85" s="525"/>
      <c r="ER85" s="525"/>
      <c r="ES85" s="525"/>
      <c r="ET85" s="525"/>
      <c r="EU85" s="525"/>
      <c r="EV85" s="525"/>
      <c r="EW85" s="525"/>
      <c r="EX85" s="525"/>
      <c r="EY85" s="525"/>
      <c r="EZ85" s="525"/>
      <c r="FA85" s="525"/>
      <c r="FB85" s="525"/>
      <c r="FC85" s="525"/>
      <c r="FD85" s="525"/>
      <c r="FE85" s="525"/>
      <c r="FF85" s="525"/>
      <c r="FG85" s="525"/>
      <c r="FH85" s="525"/>
      <c r="FI85" s="525"/>
      <c r="FJ85" s="525"/>
      <c r="FK85" s="525"/>
      <c r="FL85" s="525"/>
      <c r="FM85" s="525"/>
      <c r="FN85" s="525"/>
      <c r="FO85" s="525"/>
      <c r="FP85" s="525"/>
      <c r="FQ85" s="525"/>
      <c r="FR85" s="525"/>
      <c r="FS85" s="525"/>
      <c r="FT85" s="525"/>
      <c r="FU85" s="525"/>
      <c r="FV85" s="525"/>
      <c r="FW85" s="525"/>
      <c r="FX85" s="525"/>
      <c r="FY85" s="525"/>
      <c r="FZ85" s="525"/>
      <c r="GA85" s="525"/>
      <c r="GB85" s="525"/>
      <c r="GC85" s="525"/>
      <c r="GD85" s="525"/>
      <c r="GE85" s="525"/>
      <c r="GF85" s="525"/>
      <c r="GG85" s="525"/>
      <c r="GH85" s="525"/>
      <c r="GI85" s="525"/>
      <c r="GJ85" s="525"/>
      <c r="GK85" s="525"/>
      <c r="GL85" s="525"/>
      <c r="GM85" s="525"/>
      <c r="GN85" s="525"/>
      <c r="GO85" s="525"/>
      <c r="GP85" s="525"/>
      <c r="GQ85" s="525"/>
      <c r="GR85" s="525"/>
      <c r="GS85" s="525"/>
      <c r="GT85" s="525"/>
      <c r="GU85" s="525"/>
      <c r="GV85" s="525"/>
      <c r="GW85" s="525"/>
      <c r="GX85" s="525"/>
      <c r="GY85" s="525"/>
      <c r="GZ85" s="525"/>
      <c r="HA85" s="525"/>
      <c r="HB85" s="525"/>
      <c r="HC85" s="525"/>
      <c r="HD85" s="525"/>
      <c r="HE85" s="525"/>
      <c r="HF85" s="525"/>
      <c r="HG85" s="525"/>
      <c r="HH85" s="525"/>
      <c r="HI85" s="525"/>
      <c r="HJ85" s="525"/>
      <c r="HK85" s="525"/>
      <c r="HL85" s="525"/>
      <c r="HM85" s="525"/>
      <c r="HN85" s="525"/>
      <c r="HO85" s="525"/>
      <c r="HP85" s="525"/>
      <c r="HQ85" s="525"/>
      <c r="HR85" s="525"/>
      <c r="HS85" s="525"/>
      <c r="HT85" s="525"/>
      <c r="HU85" s="525"/>
      <c r="HV85" s="525"/>
      <c r="HW85" s="525"/>
      <c r="HX85" s="525"/>
      <c r="HY85" s="525"/>
      <c r="HZ85" s="525"/>
      <c r="IA85" s="525"/>
      <c r="IB85" s="525"/>
      <c r="IC85" s="525"/>
      <c r="ID85" s="525"/>
      <c r="IE85" s="525"/>
      <c r="IF85" s="525"/>
      <c r="IG85" s="525"/>
      <c r="IH85" s="525"/>
      <c r="II85" s="525"/>
      <c r="IJ85" s="525"/>
      <c r="IK85" s="525"/>
    </row>
    <row r="86" spans="1:245" s="976" customFormat="1" ht="20.100000000000001" customHeight="1" x14ac:dyDescent="0.25">
      <c r="A86" s="525"/>
      <c r="B86" s="985"/>
      <c r="C86" s="986"/>
      <c r="D86" s="986"/>
      <c r="E86" s="986"/>
      <c r="F86" s="986"/>
      <c r="G86" s="986"/>
      <c r="H86" s="525"/>
      <c r="I86" s="2605">
        <f t="shared" si="28"/>
        <v>62</v>
      </c>
      <c r="J86" s="2607">
        <f t="shared" si="43"/>
        <v>0</v>
      </c>
      <c r="K86" s="2606">
        <f t="shared" si="38"/>
        <v>0</v>
      </c>
      <c r="L86" s="2608">
        <f t="shared" si="48"/>
        <v>0</v>
      </c>
      <c r="M86" s="2607">
        <f t="shared" si="29"/>
        <v>0</v>
      </c>
      <c r="N86" s="525"/>
      <c r="O86" s="2605">
        <f t="shared" si="30"/>
        <v>62</v>
      </c>
      <c r="P86" s="2607">
        <f t="shared" si="44"/>
        <v>0</v>
      </c>
      <c r="Q86" s="2606">
        <f t="shared" si="39"/>
        <v>0</v>
      </c>
      <c r="R86" s="2608">
        <f t="shared" si="49"/>
        <v>0</v>
      </c>
      <c r="S86" s="2607">
        <f t="shared" si="31"/>
        <v>0</v>
      </c>
      <c r="T86" s="525"/>
      <c r="U86" s="2605">
        <f t="shared" si="32"/>
        <v>62</v>
      </c>
      <c r="V86" s="2607">
        <f t="shared" si="45"/>
        <v>0</v>
      </c>
      <c r="W86" s="2606">
        <f t="shared" si="40"/>
        <v>0</v>
      </c>
      <c r="X86" s="2608">
        <f t="shared" si="50"/>
        <v>0</v>
      </c>
      <c r="Y86" s="2607">
        <f t="shared" si="33"/>
        <v>0</v>
      </c>
      <c r="Z86" s="525"/>
      <c r="AA86" s="2605">
        <f t="shared" si="34"/>
        <v>62</v>
      </c>
      <c r="AB86" s="2607">
        <f t="shared" si="46"/>
        <v>0</v>
      </c>
      <c r="AC86" s="2606">
        <f t="shared" si="41"/>
        <v>0</v>
      </c>
      <c r="AD86" s="2608">
        <f t="shared" si="51"/>
        <v>0</v>
      </c>
      <c r="AE86" s="2607">
        <f t="shared" si="35"/>
        <v>0</v>
      </c>
      <c r="AF86" s="525"/>
      <c r="AG86" s="2605">
        <f t="shared" si="36"/>
        <v>62</v>
      </c>
      <c r="AH86" s="2607">
        <f t="shared" si="47"/>
        <v>0</v>
      </c>
      <c r="AI86" s="2606">
        <f t="shared" si="42"/>
        <v>0</v>
      </c>
      <c r="AJ86" s="2608">
        <f t="shared" si="52"/>
        <v>0</v>
      </c>
      <c r="AK86" s="2607">
        <f t="shared" si="37"/>
        <v>0</v>
      </c>
      <c r="AL86" s="525"/>
      <c r="AM86" s="525"/>
      <c r="AN86" s="525"/>
      <c r="AO86" s="525"/>
      <c r="AP86" s="525"/>
      <c r="AQ86" s="525"/>
      <c r="AR86" s="525"/>
      <c r="AS86" s="525"/>
      <c r="AT86" s="525"/>
      <c r="AU86" s="525"/>
      <c r="AV86" s="525"/>
      <c r="AW86" s="525"/>
      <c r="AX86" s="525"/>
      <c r="AY86" s="525"/>
      <c r="AZ86" s="525"/>
      <c r="BA86" s="525"/>
      <c r="BB86" s="525"/>
      <c r="BC86" s="525"/>
      <c r="BD86" s="525"/>
      <c r="BE86" s="525"/>
      <c r="BF86" s="525"/>
      <c r="BG86" s="525"/>
      <c r="BH86" s="525"/>
      <c r="BI86" s="525"/>
      <c r="BJ86" s="525"/>
      <c r="BK86" s="525"/>
      <c r="BL86" s="525"/>
      <c r="BM86" s="525"/>
      <c r="BN86" s="525"/>
      <c r="BO86" s="525"/>
      <c r="BP86" s="525"/>
      <c r="BQ86" s="525"/>
      <c r="BR86" s="525"/>
      <c r="BS86" s="525"/>
      <c r="BT86" s="525"/>
      <c r="BU86" s="525"/>
      <c r="BV86" s="525"/>
      <c r="BW86" s="525"/>
      <c r="BX86" s="525"/>
      <c r="BY86" s="525"/>
      <c r="BZ86" s="525"/>
      <c r="CA86" s="525"/>
      <c r="CB86" s="525"/>
      <c r="CC86" s="525"/>
      <c r="CD86" s="525"/>
      <c r="CE86" s="525"/>
      <c r="CF86" s="525"/>
      <c r="CG86" s="525"/>
      <c r="CH86" s="525"/>
      <c r="CI86" s="525"/>
      <c r="CJ86" s="525"/>
      <c r="CK86" s="525"/>
      <c r="CL86" s="525"/>
      <c r="CM86" s="525"/>
      <c r="CN86" s="525"/>
      <c r="CO86" s="525"/>
      <c r="CP86" s="525"/>
      <c r="CQ86" s="525"/>
      <c r="CR86" s="525"/>
      <c r="CS86" s="525"/>
      <c r="CT86" s="525"/>
      <c r="CU86" s="525"/>
      <c r="CV86" s="525"/>
      <c r="CW86" s="525"/>
      <c r="CX86" s="525"/>
      <c r="CY86" s="525"/>
      <c r="CZ86" s="525"/>
      <c r="DA86" s="525"/>
      <c r="DB86" s="525"/>
      <c r="DC86" s="525"/>
      <c r="DD86" s="525"/>
      <c r="DE86" s="525"/>
      <c r="DF86" s="525"/>
      <c r="DG86" s="525"/>
      <c r="DH86" s="525"/>
      <c r="DI86" s="525"/>
      <c r="DJ86" s="525"/>
      <c r="DK86" s="525"/>
      <c r="DL86" s="525"/>
      <c r="DM86" s="525"/>
      <c r="DN86" s="525"/>
      <c r="DO86" s="525"/>
      <c r="DP86" s="525"/>
      <c r="DQ86" s="525"/>
      <c r="DR86" s="525"/>
      <c r="DS86" s="525"/>
      <c r="DT86" s="525"/>
      <c r="DU86" s="525"/>
      <c r="DV86" s="525"/>
      <c r="DW86" s="525"/>
      <c r="DX86" s="525"/>
      <c r="DY86" s="525"/>
      <c r="DZ86" s="525"/>
      <c r="EA86" s="525"/>
      <c r="EB86" s="525"/>
      <c r="EC86" s="525"/>
      <c r="ED86" s="525"/>
      <c r="EE86" s="525"/>
      <c r="EF86" s="525"/>
      <c r="EG86" s="525"/>
      <c r="EH86" s="525"/>
      <c r="EI86" s="525"/>
      <c r="EJ86" s="525"/>
      <c r="EK86" s="525"/>
      <c r="EL86" s="525"/>
      <c r="EM86" s="525"/>
      <c r="EN86" s="525"/>
      <c r="EO86" s="525"/>
      <c r="EP86" s="525"/>
      <c r="EQ86" s="525"/>
      <c r="ER86" s="525"/>
      <c r="ES86" s="525"/>
      <c r="ET86" s="525"/>
      <c r="EU86" s="525"/>
      <c r="EV86" s="525"/>
      <c r="EW86" s="525"/>
      <c r="EX86" s="525"/>
      <c r="EY86" s="525"/>
      <c r="EZ86" s="525"/>
      <c r="FA86" s="525"/>
      <c r="FB86" s="525"/>
      <c r="FC86" s="525"/>
      <c r="FD86" s="525"/>
      <c r="FE86" s="525"/>
      <c r="FF86" s="525"/>
      <c r="FG86" s="525"/>
      <c r="FH86" s="525"/>
      <c r="FI86" s="525"/>
      <c r="FJ86" s="525"/>
      <c r="FK86" s="525"/>
      <c r="FL86" s="525"/>
      <c r="FM86" s="525"/>
      <c r="FN86" s="525"/>
      <c r="FO86" s="525"/>
      <c r="FP86" s="525"/>
      <c r="FQ86" s="525"/>
      <c r="FR86" s="525"/>
      <c r="FS86" s="525"/>
      <c r="FT86" s="525"/>
      <c r="FU86" s="525"/>
      <c r="FV86" s="525"/>
      <c r="FW86" s="525"/>
      <c r="FX86" s="525"/>
      <c r="FY86" s="525"/>
      <c r="FZ86" s="525"/>
      <c r="GA86" s="525"/>
      <c r="GB86" s="525"/>
      <c r="GC86" s="525"/>
      <c r="GD86" s="525"/>
      <c r="GE86" s="525"/>
      <c r="GF86" s="525"/>
      <c r="GG86" s="525"/>
      <c r="GH86" s="525"/>
      <c r="GI86" s="525"/>
      <c r="GJ86" s="525"/>
      <c r="GK86" s="525"/>
      <c r="GL86" s="525"/>
      <c r="GM86" s="525"/>
      <c r="GN86" s="525"/>
      <c r="GO86" s="525"/>
      <c r="GP86" s="525"/>
      <c r="GQ86" s="525"/>
      <c r="GR86" s="525"/>
      <c r="GS86" s="525"/>
      <c r="GT86" s="525"/>
      <c r="GU86" s="525"/>
      <c r="GV86" s="525"/>
      <c r="GW86" s="525"/>
      <c r="GX86" s="525"/>
      <c r="GY86" s="525"/>
      <c r="GZ86" s="525"/>
      <c r="HA86" s="525"/>
      <c r="HB86" s="525"/>
      <c r="HC86" s="525"/>
      <c r="HD86" s="525"/>
      <c r="HE86" s="525"/>
      <c r="HF86" s="525"/>
      <c r="HG86" s="525"/>
      <c r="HH86" s="525"/>
      <c r="HI86" s="525"/>
      <c r="HJ86" s="525"/>
      <c r="HK86" s="525"/>
      <c r="HL86" s="525"/>
      <c r="HM86" s="525"/>
      <c r="HN86" s="525"/>
      <c r="HO86" s="525"/>
      <c r="HP86" s="525"/>
      <c r="HQ86" s="525"/>
      <c r="HR86" s="525"/>
      <c r="HS86" s="525"/>
      <c r="HT86" s="525"/>
      <c r="HU86" s="525"/>
      <c r="HV86" s="525"/>
      <c r="HW86" s="525"/>
      <c r="HX86" s="525"/>
      <c r="HY86" s="525"/>
      <c r="HZ86" s="525"/>
      <c r="IA86" s="525"/>
      <c r="IB86" s="525"/>
      <c r="IC86" s="525"/>
      <c r="ID86" s="525"/>
      <c r="IE86" s="525"/>
      <c r="IF86" s="525"/>
      <c r="IG86" s="525"/>
      <c r="IH86" s="525"/>
      <c r="II86" s="525"/>
      <c r="IJ86" s="525"/>
      <c r="IK86" s="525"/>
    </row>
    <row r="87" spans="1:245" s="976" customFormat="1" ht="20.100000000000001" customHeight="1" x14ac:dyDescent="0.25">
      <c r="A87" s="525"/>
      <c r="B87" s="985"/>
      <c r="C87" s="986"/>
      <c r="D87" s="986"/>
      <c r="E87" s="986"/>
      <c r="F87" s="986"/>
      <c r="G87" s="986"/>
      <c r="H87" s="525"/>
      <c r="I87" s="2605">
        <f t="shared" si="28"/>
        <v>63</v>
      </c>
      <c r="J87" s="2607">
        <f t="shared" si="43"/>
        <v>0</v>
      </c>
      <c r="K87" s="2606">
        <f t="shared" si="38"/>
        <v>0</v>
      </c>
      <c r="L87" s="2608">
        <f t="shared" si="48"/>
        <v>0</v>
      </c>
      <c r="M87" s="2607">
        <f t="shared" si="29"/>
        <v>0</v>
      </c>
      <c r="N87" s="525"/>
      <c r="O87" s="2605">
        <f t="shared" si="30"/>
        <v>63</v>
      </c>
      <c r="P87" s="2607">
        <f t="shared" si="44"/>
        <v>0</v>
      </c>
      <c r="Q87" s="2606">
        <f t="shared" si="39"/>
        <v>0</v>
      </c>
      <c r="R87" s="2608">
        <f t="shared" si="49"/>
        <v>0</v>
      </c>
      <c r="S87" s="2607">
        <f t="shared" si="31"/>
        <v>0</v>
      </c>
      <c r="T87" s="525"/>
      <c r="U87" s="2605">
        <f t="shared" si="32"/>
        <v>63</v>
      </c>
      <c r="V87" s="2607">
        <f t="shared" si="45"/>
        <v>0</v>
      </c>
      <c r="W87" s="2606">
        <f t="shared" si="40"/>
        <v>0</v>
      </c>
      <c r="X87" s="2608">
        <f t="shared" si="50"/>
        <v>0</v>
      </c>
      <c r="Y87" s="2607">
        <f t="shared" si="33"/>
        <v>0</v>
      </c>
      <c r="Z87" s="525"/>
      <c r="AA87" s="2605">
        <f t="shared" si="34"/>
        <v>63</v>
      </c>
      <c r="AB87" s="2607">
        <f t="shared" si="46"/>
        <v>0</v>
      </c>
      <c r="AC87" s="2606">
        <f t="shared" si="41"/>
        <v>0</v>
      </c>
      <c r="AD87" s="2608">
        <f t="shared" si="51"/>
        <v>0</v>
      </c>
      <c r="AE87" s="2607">
        <f t="shared" si="35"/>
        <v>0</v>
      </c>
      <c r="AF87" s="525"/>
      <c r="AG87" s="2605">
        <f t="shared" si="36"/>
        <v>63</v>
      </c>
      <c r="AH87" s="2607">
        <f t="shared" si="47"/>
        <v>0</v>
      </c>
      <c r="AI87" s="2606">
        <f t="shared" si="42"/>
        <v>0</v>
      </c>
      <c r="AJ87" s="2608">
        <f t="shared" si="52"/>
        <v>0</v>
      </c>
      <c r="AK87" s="2607">
        <f t="shared" si="37"/>
        <v>0</v>
      </c>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5"/>
      <c r="BS87" s="525"/>
      <c r="BT87" s="525"/>
      <c r="BU87" s="525"/>
      <c r="BV87" s="525"/>
      <c r="BW87" s="525"/>
      <c r="BX87" s="525"/>
      <c r="BY87" s="525"/>
      <c r="BZ87" s="525"/>
      <c r="CA87" s="525"/>
      <c r="CB87" s="525"/>
      <c r="CC87" s="525"/>
      <c r="CD87" s="525"/>
      <c r="CE87" s="525"/>
      <c r="CF87" s="525"/>
      <c r="CG87" s="525"/>
      <c r="CH87" s="525"/>
      <c r="CI87" s="525"/>
      <c r="CJ87" s="525"/>
      <c r="CK87" s="525"/>
      <c r="CL87" s="525"/>
      <c r="CM87" s="525"/>
      <c r="CN87" s="525"/>
      <c r="CO87" s="525"/>
      <c r="CP87" s="525"/>
      <c r="CQ87" s="525"/>
      <c r="CR87" s="525"/>
      <c r="CS87" s="525"/>
      <c r="CT87" s="525"/>
      <c r="CU87" s="525"/>
      <c r="CV87" s="525"/>
      <c r="CW87" s="525"/>
      <c r="CX87" s="525"/>
      <c r="CY87" s="525"/>
      <c r="CZ87" s="525"/>
      <c r="DA87" s="525"/>
      <c r="DB87" s="525"/>
      <c r="DC87" s="525"/>
      <c r="DD87" s="525"/>
      <c r="DE87" s="525"/>
      <c r="DF87" s="525"/>
      <c r="DG87" s="525"/>
      <c r="DH87" s="525"/>
      <c r="DI87" s="525"/>
      <c r="DJ87" s="525"/>
      <c r="DK87" s="525"/>
      <c r="DL87" s="525"/>
      <c r="DM87" s="525"/>
      <c r="DN87" s="525"/>
      <c r="DO87" s="525"/>
      <c r="DP87" s="525"/>
      <c r="DQ87" s="525"/>
      <c r="DR87" s="525"/>
      <c r="DS87" s="525"/>
      <c r="DT87" s="525"/>
      <c r="DU87" s="525"/>
      <c r="DV87" s="525"/>
      <c r="DW87" s="525"/>
      <c r="DX87" s="525"/>
      <c r="DY87" s="525"/>
      <c r="DZ87" s="525"/>
      <c r="EA87" s="525"/>
      <c r="EB87" s="525"/>
      <c r="EC87" s="525"/>
      <c r="ED87" s="525"/>
      <c r="EE87" s="525"/>
      <c r="EF87" s="525"/>
      <c r="EG87" s="525"/>
      <c r="EH87" s="525"/>
      <c r="EI87" s="525"/>
      <c r="EJ87" s="525"/>
      <c r="EK87" s="525"/>
      <c r="EL87" s="525"/>
      <c r="EM87" s="525"/>
      <c r="EN87" s="525"/>
      <c r="EO87" s="525"/>
      <c r="EP87" s="525"/>
      <c r="EQ87" s="525"/>
      <c r="ER87" s="525"/>
      <c r="ES87" s="525"/>
      <c r="ET87" s="525"/>
      <c r="EU87" s="525"/>
      <c r="EV87" s="525"/>
      <c r="EW87" s="525"/>
      <c r="EX87" s="525"/>
      <c r="EY87" s="525"/>
      <c r="EZ87" s="525"/>
      <c r="FA87" s="525"/>
      <c r="FB87" s="525"/>
      <c r="FC87" s="525"/>
      <c r="FD87" s="525"/>
      <c r="FE87" s="525"/>
      <c r="FF87" s="525"/>
      <c r="FG87" s="525"/>
      <c r="FH87" s="525"/>
      <c r="FI87" s="525"/>
      <c r="FJ87" s="525"/>
      <c r="FK87" s="525"/>
      <c r="FL87" s="525"/>
      <c r="FM87" s="525"/>
      <c r="FN87" s="525"/>
      <c r="FO87" s="525"/>
      <c r="FP87" s="525"/>
      <c r="FQ87" s="525"/>
      <c r="FR87" s="525"/>
      <c r="FS87" s="525"/>
      <c r="FT87" s="525"/>
      <c r="FU87" s="525"/>
      <c r="FV87" s="525"/>
      <c r="FW87" s="525"/>
      <c r="FX87" s="525"/>
      <c r="FY87" s="525"/>
      <c r="FZ87" s="525"/>
      <c r="GA87" s="525"/>
      <c r="GB87" s="525"/>
      <c r="GC87" s="525"/>
      <c r="GD87" s="525"/>
      <c r="GE87" s="525"/>
      <c r="GF87" s="525"/>
      <c r="GG87" s="525"/>
      <c r="GH87" s="525"/>
      <c r="GI87" s="525"/>
      <c r="GJ87" s="525"/>
      <c r="GK87" s="525"/>
      <c r="GL87" s="525"/>
      <c r="GM87" s="525"/>
      <c r="GN87" s="525"/>
      <c r="GO87" s="525"/>
      <c r="GP87" s="525"/>
      <c r="GQ87" s="525"/>
      <c r="GR87" s="525"/>
      <c r="GS87" s="525"/>
      <c r="GT87" s="525"/>
      <c r="GU87" s="525"/>
      <c r="GV87" s="525"/>
      <c r="GW87" s="525"/>
      <c r="GX87" s="525"/>
      <c r="GY87" s="525"/>
      <c r="GZ87" s="525"/>
      <c r="HA87" s="525"/>
      <c r="HB87" s="525"/>
      <c r="HC87" s="525"/>
      <c r="HD87" s="525"/>
      <c r="HE87" s="525"/>
      <c r="HF87" s="525"/>
      <c r="HG87" s="525"/>
      <c r="HH87" s="525"/>
      <c r="HI87" s="525"/>
      <c r="HJ87" s="525"/>
      <c r="HK87" s="525"/>
      <c r="HL87" s="525"/>
      <c r="HM87" s="525"/>
      <c r="HN87" s="525"/>
      <c r="HO87" s="525"/>
      <c r="HP87" s="525"/>
      <c r="HQ87" s="525"/>
      <c r="HR87" s="525"/>
      <c r="HS87" s="525"/>
      <c r="HT87" s="525"/>
      <c r="HU87" s="525"/>
      <c r="HV87" s="525"/>
      <c r="HW87" s="525"/>
      <c r="HX87" s="525"/>
      <c r="HY87" s="525"/>
      <c r="HZ87" s="525"/>
      <c r="IA87" s="525"/>
      <c r="IB87" s="525"/>
      <c r="IC87" s="525"/>
      <c r="ID87" s="525"/>
      <c r="IE87" s="525"/>
      <c r="IF87" s="525"/>
      <c r="IG87" s="525"/>
      <c r="IH87" s="525"/>
      <c r="II87" s="525"/>
      <c r="IJ87" s="525"/>
      <c r="IK87" s="525"/>
    </row>
    <row r="88" spans="1:245" s="976" customFormat="1" ht="20.100000000000001" customHeight="1" x14ac:dyDescent="0.25">
      <c r="A88" s="525"/>
      <c r="B88" s="985"/>
      <c r="C88" s="986"/>
      <c r="D88" s="986"/>
      <c r="E88" s="986"/>
      <c r="F88" s="986"/>
      <c r="G88" s="986"/>
      <c r="H88" s="525"/>
      <c r="I88" s="2605">
        <f t="shared" si="28"/>
        <v>64</v>
      </c>
      <c r="J88" s="2607">
        <f t="shared" si="43"/>
        <v>0</v>
      </c>
      <c r="K88" s="2606">
        <f t="shared" si="38"/>
        <v>0</v>
      </c>
      <c r="L88" s="2608">
        <f t="shared" si="48"/>
        <v>0</v>
      </c>
      <c r="M88" s="2607">
        <f t="shared" si="29"/>
        <v>0</v>
      </c>
      <c r="N88" s="525"/>
      <c r="O88" s="2605">
        <f t="shared" si="30"/>
        <v>64</v>
      </c>
      <c r="P88" s="2607">
        <f t="shared" si="44"/>
        <v>0</v>
      </c>
      <c r="Q88" s="2606">
        <f t="shared" si="39"/>
        <v>0</v>
      </c>
      <c r="R88" s="2608">
        <f t="shared" si="49"/>
        <v>0</v>
      </c>
      <c r="S88" s="2607">
        <f t="shared" si="31"/>
        <v>0</v>
      </c>
      <c r="T88" s="525"/>
      <c r="U88" s="2605">
        <f t="shared" si="32"/>
        <v>64</v>
      </c>
      <c r="V88" s="2607">
        <f t="shared" si="45"/>
        <v>0</v>
      </c>
      <c r="W88" s="2606">
        <f t="shared" si="40"/>
        <v>0</v>
      </c>
      <c r="X88" s="2608">
        <f t="shared" si="50"/>
        <v>0</v>
      </c>
      <c r="Y88" s="2607">
        <f t="shared" si="33"/>
        <v>0</v>
      </c>
      <c r="Z88" s="525"/>
      <c r="AA88" s="2605">
        <f t="shared" si="34"/>
        <v>64</v>
      </c>
      <c r="AB88" s="2607">
        <f t="shared" si="46"/>
        <v>0</v>
      </c>
      <c r="AC88" s="2606">
        <f t="shared" si="41"/>
        <v>0</v>
      </c>
      <c r="AD88" s="2608">
        <f t="shared" si="51"/>
        <v>0</v>
      </c>
      <c r="AE88" s="2607">
        <f t="shared" si="35"/>
        <v>0</v>
      </c>
      <c r="AF88" s="525"/>
      <c r="AG88" s="2605">
        <f t="shared" si="36"/>
        <v>64</v>
      </c>
      <c r="AH88" s="2607">
        <f t="shared" si="47"/>
        <v>0</v>
      </c>
      <c r="AI88" s="2606">
        <f t="shared" si="42"/>
        <v>0</v>
      </c>
      <c r="AJ88" s="2608">
        <f t="shared" si="52"/>
        <v>0</v>
      </c>
      <c r="AK88" s="2607">
        <f t="shared" si="37"/>
        <v>0</v>
      </c>
      <c r="AL88" s="525"/>
      <c r="AM88" s="525"/>
      <c r="AN88" s="525"/>
      <c r="AO88" s="525"/>
      <c r="AP88" s="525"/>
      <c r="AQ88" s="525"/>
      <c r="AR88" s="525"/>
      <c r="AS88" s="525"/>
      <c r="AT88" s="525"/>
      <c r="AU88" s="525"/>
      <c r="AV88" s="525"/>
      <c r="AW88" s="525"/>
      <c r="AX88" s="525"/>
      <c r="AY88" s="525"/>
      <c r="AZ88" s="525"/>
      <c r="BA88" s="525"/>
      <c r="BB88" s="525"/>
      <c r="BC88" s="525"/>
      <c r="BD88" s="525"/>
      <c r="BE88" s="525"/>
      <c r="BF88" s="525"/>
      <c r="BG88" s="525"/>
      <c r="BH88" s="525"/>
      <c r="BI88" s="525"/>
      <c r="BJ88" s="525"/>
      <c r="BK88" s="525"/>
      <c r="BL88" s="525"/>
      <c r="BM88" s="525"/>
      <c r="BN88" s="525"/>
      <c r="BO88" s="525"/>
      <c r="BP88" s="525"/>
      <c r="BQ88" s="525"/>
      <c r="BR88" s="525"/>
      <c r="BS88" s="525"/>
      <c r="BT88" s="525"/>
      <c r="BU88" s="525"/>
      <c r="BV88" s="525"/>
      <c r="BW88" s="525"/>
      <c r="BX88" s="525"/>
      <c r="BY88" s="525"/>
      <c r="BZ88" s="525"/>
      <c r="CA88" s="525"/>
      <c r="CB88" s="525"/>
      <c r="CC88" s="525"/>
      <c r="CD88" s="525"/>
      <c r="CE88" s="525"/>
      <c r="CF88" s="525"/>
      <c r="CG88" s="525"/>
      <c r="CH88" s="525"/>
      <c r="CI88" s="525"/>
      <c r="CJ88" s="525"/>
      <c r="CK88" s="525"/>
      <c r="CL88" s="525"/>
      <c r="CM88" s="525"/>
      <c r="CN88" s="525"/>
      <c r="CO88" s="525"/>
      <c r="CP88" s="525"/>
      <c r="CQ88" s="525"/>
      <c r="CR88" s="525"/>
      <c r="CS88" s="525"/>
      <c r="CT88" s="525"/>
      <c r="CU88" s="525"/>
      <c r="CV88" s="525"/>
      <c r="CW88" s="525"/>
      <c r="CX88" s="525"/>
      <c r="CY88" s="525"/>
      <c r="CZ88" s="525"/>
      <c r="DA88" s="525"/>
      <c r="DB88" s="525"/>
      <c r="DC88" s="525"/>
      <c r="DD88" s="525"/>
      <c r="DE88" s="525"/>
      <c r="DF88" s="525"/>
      <c r="DG88" s="525"/>
      <c r="DH88" s="525"/>
      <c r="DI88" s="525"/>
      <c r="DJ88" s="525"/>
      <c r="DK88" s="525"/>
      <c r="DL88" s="525"/>
      <c r="DM88" s="525"/>
      <c r="DN88" s="525"/>
      <c r="DO88" s="525"/>
      <c r="DP88" s="525"/>
      <c r="DQ88" s="525"/>
      <c r="DR88" s="525"/>
      <c r="DS88" s="525"/>
      <c r="DT88" s="525"/>
      <c r="DU88" s="525"/>
      <c r="DV88" s="525"/>
      <c r="DW88" s="525"/>
      <c r="DX88" s="525"/>
      <c r="DY88" s="525"/>
      <c r="DZ88" s="525"/>
      <c r="EA88" s="525"/>
      <c r="EB88" s="525"/>
      <c r="EC88" s="525"/>
      <c r="ED88" s="525"/>
      <c r="EE88" s="525"/>
      <c r="EF88" s="525"/>
      <c r="EG88" s="525"/>
      <c r="EH88" s="525"/>
      <c r="EI88" s="525"/>
      <c r="EJ88" s="525"/>
      <c r="EK88" s="525"/>
      <c r="EL88" s="525"/>
      <c r="EM88" s="525"/>
      <c r="EN88" s="525"/>
      <c r="EO88" s="525"/>
      <c r="EP88" s="525"/>
      <c r="EQ88" s="525"/>
      <c r="ER88" s="525"/>
      <c r="ES88" s="525"/>
      <c r="ET88" s="525"/>
      <c r="EU88" s="525"/>
      <c r="EV88" s="525"/>
      <c r="EW88" s="525"/>
      <c r="EX88" s="525"/>
      <c r="EY88" s="525"/>
      <c r="EZ88" s="525"/>
      <c r="FA88" s="525"/>
      <c r="FB88" s="525"/>
      <c r="FC88" s="525"/>
      <c r="FD88" s="525"/>
      <c r="FE88" s="525"/>
      <c r="FF88" s="525"/>
      <c r="FG88" s="525"/>
      <c r="FH88" s="525"/>
      <c r="FI88" s="525"/>
      <c r="FJ88" s="525"/>
      <c r="FK88" s="525"/>
      <c r="FL88" s="525"/>
      <c r="FM88" s="525"/>
      <c r="FN88" s="525"/>
      <c r="FO88" s="525"/>
      <c r="FP88" s="525"/>
      <c r="FQ88" s="525"/>
      <c r="FR88" s="525"/>
      <c r="FS88" s="525"/>
      <c r="FT88" s="525"/>
      <c r="FU88" s="525"/>
      <c r="FV88" s="525"/>
      <c r="FW88" s="525"/>
      <c r="FX88" s="525"/>
      <c r="FY88" s="525"/>
      <c r="FZ88" s="525"/>
      <c r="GA88" s="525"/>
      <c r="GB88" s="525"/>
      <c r="GC88" s="525"/>
      <c r="GD88" s="525"/>
      <c r="GE88" s="525"/>
      <c r="GF88" s="525"/>
      <c r="GG88" s="525"/>
      <c r="GH88" s="525"/>
      <c r="GI88" s="525"/>
      <c r="GJ88" s="525"/>
      <c r="GK88" s="525"/>
      <c r="GL88" s="525"/>
      <c r="GM88" s="525"/>
      <c r="GN88" s="525"/>
      <c r="GO88" s="525"/>
      <c r="GP88" s="525"/>
      <c r="GQ88" s="525"/>
      <c r="GR88" s="525"/>
      <c r="GS88" s="525"/>
      <c r="GT88" s="525"/>
      <c r="GU88" s="525"/>
      <c r="GV88" s="525"/>
      <c r="GW88" s="525"/>
      <c r="GX88" s="525"/>
      <c r="GY88" s="525"/>
      <c r="GZ88" s="525"/>
      <c r="HA88" s="525"/>
      <c r="HB88" s="525"/>
      <c r="HC88" s="525"/>
      <c r="HD88" s="525"/>
      <c r="HE88" s="525"/>
      <c r="HF88" s="525"/>
      <c r="HG88" s="525"/>
      <c r="HH88" s="525"/>
      <c r="HI88" s="525"/>
      <c r="HJ88" s="525"/>
      <c r="HK88" s="525"/>
      <c r="HL88" s="525"/>
      <c r="HM88" s="525"/>
      <c r="HN88" s="525"/>
      <c r="HO88" s="525"/>
      <c r="HP88" s="525"/>
      <c r="HQ88" s="525"/>
      <c r="HR88" s="525"/>
      <c r="HS88" s="525"/>
      <c r="HT88" s="525"/>
      <c r="HU88" s="525"/>
      <c r="HV88" s="525"/>
      <c r="HW88" s="525"/>
      <c r="HX88" s="525"/>
      <c r="HY88" s="525"/>
      <c r="HZ88" s="525"/>
      <c r="IA88" s="525"/>
      <c r="IB88" s="525"/>
      <c r="IC88" s="525"/>
      <c r="ID88" s="525"/>
      <c r="IE88" s="525"/>
      <c r="IF88" s="525"/>
      <c r="IG88" s="525"/>
      <c r="IH88" s="525"/>
      <c r="II88" s="525"/>
      <c r="IJ88" s="525"/>
      <c r="IK88" s="525"/>
    </row>
    <row r="89" spans="1:245" s="976" customFormat="1" ht="20.100000000000001" customHeight="1" x14ac:dyDescent="0.25">
      <c r="A89" s="525"/>
      <c r="B89" s="985"/>
      <c r="C89" s="986"/>
      <c r="D89" s="986"/>
      <c r="E89" s="986"/>
      <c r="F89" s="986"/>
      <c r="G89" s="986"/>
      <c r="H89" s="525"/>
      <c r="I89" s="2605">
        <f t="shared" si="28"/>
        <v>65</v>
      </c>
      <c r="J89" s="2607">
        <f t="shared" ref="J89:J156" si="53">ROUND(IF(I89&gt;annuité_emprunt1,0,IF(I89&gt;différé_emprunt1,-PMT((taux_emprunt1/périodicité_emprunt1),(annuité_emprunt1-différé_emprunt1),emprunt1),emprunt1*taux_emprunt1/périodicité_emprunt1)),2)</f>
        <v>0</v>
      </c>
      <c r="K89" s="2606">
        <f t="shared" si="38"/>
        <v>0</v>
      </c>
      <c r="L89" s="2608">
        <f t="shared" si="48"/>
        <v>0</v>
      </c>
      <c r="M89" s="2607">
        <f t="shared" si="29"/>
        <v>0</v>
      </c>
      <c r="N89" s="525"/>
      <c r="O89" s="2605">
        <f t="shared" si="30"/>
        <v>65</v>
      </c>
      <c r="P89" s="2607">
        <f t="shared" ref="P89:P156" si="54">ROUND(IF(O89&gt;annuité_emprunt2,0,IF(O89&gt;différé_emprunt2,-PMT((taux_emprunt2/périodicité_emprunt2),(annuité_emprunt2-différé_emprunt2),emprunt2),emprunt2*taux_emprunt2/périodicité_emprunt2)),2)</f>
        <v>0</v>
      </c>
      <c r="Q89" s="2606">
        <f t="shared" si="39"/>
        <v>0</v>
      </c>
      <c r="R89" s="2608">
        <f t="shared" si="49"/>
        <v>0</v>
      </c>
      <c r="S89" s="2607">
        <f t="shared" si="31"/>
        <v>0</v>
      </c>
      <c r="T89" s="525"/>
      <c r="U89" s="2605">
        <f t="shared" si="32"/>
        <v>65</v>
      </c>
      <c r="V89" s="2607">
        <f t="shared" ref="V89:V120" si="55">ROUND(IF(U89&gt;annuité_emprunt3,0,IF(U89&gt;différé_emprunt3,-PMT((taux_emprunt3/périodicité_emprunt3),(annuité_emprunt3-différé_emprunt3),emprunt3),emprunt3*taux_emprunt3/périodicité_emprunt3)),2)</f>
        <v>0</v>
      </c>
      <c r="W89" s="2606">
        <f t="shared" si="40"/>
        <v>0</v>
      </c>
      <c r="X89" s="2608">
        <f t="shared" si="50"/>
        <v>0</v>
      </c>
      <c r="Y89" s="2607">
        <f t="shared" si="33"/>
        <v>0</v>
      </c>
      <c r="Z89" s="525"/>
      <c r="AA89" s="2605">
        <f t="shared" si="34"/>
        <v>65</v>
      </c>
      <c r="AB89" s="2607">
        <f t="shared" ref="AB89:AB120" si="56">ROUND(IF(AA89&gt;annuité_emprunt4,0,IF(AA89&gt;différé_emprunt4,-PMT((taux_emprunt4/périodicité_emprunt4),(annuité_emprunt4-différé_emprunt4),emprunt4),emprunt4*taux_emprunt4/périodicité_emprunt4)),2)</f>
        <v>0</v>
      </c>
      <c r="AC89" s="2606">
        <f t="shared" si="41"/>
        <v>0</v>
      </c>
      <c r="AD89" s="2608">
        <f t="shared" si="51"/>
        <v>0</v>
      </c>
      <c r="AE89" s="2607">
        <f t="shared" si="35"/>
        <v>0</v>
      </c>
      <c r="AF89" s="525"/>
      <c r="AG89" s="2605">
        <f t="shared" si="36"/>
        <v>65</v>
      </c>
      <c r="AH89" s="2607">
        <f t="shared" ref="AH89:AH120" si="57">ROUND(IF(AG89&gt;annuité_emprunt5,0,IF(AG89&gt;différé_emprunt5,-PMT((taux_emprunt5/périodicité_emprunt5),(annuité_emprunt5-différé_emprunt5),emprunt5),emprunt5*taux_emprunt5/périodicité_emprunt5)),2)</f>
        <v>0</v>
      </c>
      <c r="AI89" s="2606">
        <f t="shared" si="42"/>
        <v>0</v>
      </c>
      <c r="AJ89" s="2608">
        <f t="shared" si="52"/>
        <v>0</v>
      </c>
      <c r="AK89" s="2607">
        <f t="shared" si="37"/>
        <v>0</v>
      </c>
      <c r="AL89" s="525"/>
      <c r="AM89" s="525"/>
      <c r="AN89" s="525"/>
      <c r="AO89" s="525"/>
      <c r="AP89" s="525"/>
      <c r="AQ89" s="525"/>
      <c r="AR89" s="525"/>
      <c r="AS89" s="525"/>
      <c r="AT89" s="525"/>
      <c r="AU89" s="525"/>
      <c r="AV89" s="525"/>
      <c r="AW89" s="525"/>
      <c r="AX89" s="525"/>
      <c r="AY89" s="525"/>
      <c r="AZ89" s="525"/>
      <c r="BA89" s="525"/>
      <c r="BB89" s="525"/>
      <c r="BC89" s="525"/>
      <c r="BD89" s="525"/>
      <c r="BE89" s="525"/>
      <c r="BF89" s="525"/>
      <c r="BG89" s="525"/>
      <c r="BH89" s="525"/>
      <c r="BI89" s="525"/>
      <c r="BJ89" s="525"/>
      <c r="BK89" s="525"/>
      <c r="BL89" s="525"/>
      <c r="BM89" s="525"/>
      <c r="BN89" s="525"/>
      <c r="BO89" s="525"/>
      <c r="BP89" s="525"/>
      <c r="BQ89" s="525"/>
      <c r="BR89" s="525"/>
      <c r="BS89" s="525"/>
      <c r="BT89" s="525"/>
      <c r="BU89" s="525"/>
      <c r="BV89" s="525"/>
      <c r="BW89" s="525"/>
      <c r="BX89" s="525"/>
      <c r="BY89" s="525"/>
      <c r="BZ89" s="525"/>
      <c r="CA89" s="525"/>
      <c r="CB89" s="525"/>
      <c r="CC89" s="525"/>
      <c r="CD89" s="525"/>
      <c r="CE89" s="525"/>
      <c r="CF89" s="525"/>
      <c r="CG89" s="525"/>
      <c r="CH89" s="525"/>
      <c r="CI89" s="525"/>
      <c r="CJ89" s="525"/>
      <c r="CK89" s="525"/>
      <c r="CL89" s="525"/>
      <c r="CM89" s="525"/>
      <c r="CN89" s="525"/>
      <c r="CO89" s="525"/>
      <c r="CP89" s="525"/>
      <c r="CQ89" s="525"/>
      <c r="CR89" s="525"/>
      <c r="CS89" s="525"/>
      <c r="CT89" s="525"/>
      <c r="CU89" s="525"/>
      <c r="CV89" s="525"/>
      <c r="CW89" s="525"/>
      <c r="CX89" s="525"/>
      <c r="CY89" s="525"/>
      <c r="CZ89" s="525"/>
      <c r="DA89" s="525"/>
      <c r="DB89" s="525"/>
      <c r="DC89" s="525"/>
      <c r="DD89" s="525"/>
      <c r="DE89" s="525"/>
      <c r="DF89" s="525"/>
      <c r="DG89" s="525"/>
      <c r="DH89" s="525"/>
      <c r="DI89" s="525"/>
      <c r="DJ89" s="525"/>
      <c r="DK89" s="525"/>
      <c r="DL89" s="525"/>
      <c r="DM89" s="525"/>
      <c r="DN89" s="525"/>
      <c r="DO89" s="525"/>
      <c r="DP89" s="525"/>
      <c r="DQ89" s="525"/>
      <c r="DR89" s="525"/>
      <c r="DS89" s="525"/>
      <c r="DT89" s="525"/>
      <c r="DU89" s="525"/>
      <c r="DV89" s="525"/>
      <c r="DW89" s="525"/>
      <c r="DX89" s="525"/>
      <c r="DY89" s="525"/>
      <c r="DZ89" s="525"/>
      <c r="EA89" s="525"/>
      <c r="EB89" s="525"/>
      <c r="EC89" s="525"/>
      <c r="ED89" s="525"/>
      <c r="EE89" s="525"/>
      <c r="EF89" s="525"/>
      <c r="EG89" s="525"/>
      <c r="EH89" s="525"/>
      <c r="EI89" s="525"/>
      <c r="EJ89" s="525"/>
      <c r="EK89" s="525"/>
      <c r="EL89" s="525"/>
      <c r="EM89" s="525"/>
      <c r="EN89" s="525"/>
      <c r="EO89" s="525"/>
      <c r="EP89" s="525"/>
      <c r="EQ89" s="525"/>
      <c r="ER89" s="525"/>
      <c r="ES89" s="525"/>
      <c r="ET89" s="525"/>
      <c r="EU89" s="525"/>
      <c r="EV89" s="525"/>
      <c r="EW89" s="525"/>
      <c r="EX89" s="525"/>
      <c r="EY89" s="525"/>
      <c r="EZ89" s="525"/>
      <c r="FA89" s="525"/>
      <c r="FB89" s="525"/>
      <c r="FC89" s="525"/>
      <c r="FD89" s="525"/>
      <c r="FE89" s="525"/>
      <c r="FF89" s="525"/>
      <c r="FG89" s="525"/>
      <c r="FH89" s="525"/>
      <c r="FI89" s="525"/>
      <c r="FJ89" s="525"/>
      <c r="FK89" s="525"/>
      <c r="FL89" s="525"/>
      <c r="FM89" s="525"/>
      <c r="FN89" s="525"/>
      <c r="FO89" s="525"/>
      <c r="FP89" s="525"/>
      <c r="FQ89" s="525"/>
      <c r="FR89" s="525"/>
      <c r="FS89" s="525"/>
      <c r="FT89" s="525"/>
      <c r="FU89" s="525"/>
      <c r="FV89" s="525"/>
      <c r="FW89" s="525"/>
      <c r="FX89" s="525"/>
      <c r="FY89" s="525"/>
      <c r="FZ89" s="525"/>
      <c r="GA89" s="525"/>
      <c r="GB89" s="525"/>
      <c r="GC89" s="525"/>
      <c r="GD89" s="525"/>
      <c r="GE89" s="525"/>
      <c r="GF89" s="525"/>
      <c r="GG89" s="525"/>
      <c r="GH89" s="525"/>
      <c r="GI89" s="525"/>
      <c r="GJ89" s="525"/>
      <c r="GK89" s="525"/>
      <c r="GL89" s="525"/>
      <c r="GM89" s="525"/>
      <c r="GN89" s="525"/>
      <c r="GO89" s="525"/>
      <c r="GP89" s="525"/>
      <c r="GQ89" s="525"/>
      <c r="GR89" s="525"/>
      <c r="GS89" s="525"/>
      <c r="GT89" s="525"/>
      <c r="GU89" s="525"/>
      <c r="GV89" s="525"/>
      <c r="GW89" s="525"/>
      <c r="GX89" s="525"/>
      <c r="GY89" s="525"/>
      <c r="GZ89" s="525"/>
      <c r="HA89" s="525"/>
      <c r="HB89" s="525"/>
      <c r="HC89" s="525"/>
      <c r="HD89" s="525"/>
      <c r="HE89" s="525"/>
      <c r="HF89" s="525"/>
      <c r="HG89" s="525"/>
      <c r="HH89" s="525"/>
      <c r="HI89" s="525"/>
      <c r="HJ89" s="525"/>
      <c r="HK89" s="525"/>
      <c r="HL89" s="525"/>
      <c r="HM89" s="525"/>
      <c r="HN89" s="525"/>
      <c r="HO89" s="525"/>
      <c r="HP89" s="525"/>
      <c r="HQ89" s="525"/>
      <c r="HR89" s="525"/>
      <c r="HS89" s="525"/>
      <c r="HT89" s="525"/>
      <c r="HU89" s="525"/>
      <c r="HV89" s="525"/>
      <c r="HW89" s="525"/>
      <c r="HX89" s="525"/>
      <c r="HY89" s="525"/>
      <c r="HZ89" s="525"/>
      <c r="IA89" s="525"/>
      <c r="IB89" s="525"/>
      <c r="IC89" s="525"/>
      <c r="ID89" s="525"/>
      <c r="IE89" s="525"/>
      <c r="IF89" s="525"/>
      <c r="IG89" s="525"/>
      <c r="IH89" s="525"/>
      <c r="II89" s="525"/>
      <c r="IJ89" s="525"/>
      <c r="IK89" s="525"/>
    </row>
    <row r="90" spans="1:245" s="976" customFormat="1" ht="20.100000000000001" customHeight="1" x14ac:dyDescent="0.25">
      <c r="A90" s="525"/>
      <c r="B90" s="985"/>
      <c r="C90" s="986"/>
      <c r="D90" s="986"/>
      <c r="E90" s="986"/>
      <c r="F90" s="986"/>
      <c r="G90" s="986"/>
      <c r="H90" s="525"/>
      <c r="I90" s="2605">
        <f t="shared" si="28"/>
        <v>66</v>
      </c>
      <c r="J90" s="2607">
        <f t="shared" si="53"/>
        <v>0</v>
      </c>
      <c r="K90" s="2606">
        <f t="shared" si="38"/>
        <v>0</v>
      </c>
      <c r="L90" s="2608">
        <f t="shared" ref="L90:L105" si="58">ROUND(IF(J90=0,0,IF(I90=annuité_emprunt1,M89,IF(I90&gt;différé_emprunt1,-PPMT((taux_emprunt1/périodicité_emprunt1),I90-différé_emprunt1,(annuité_emprunt1-différé_emprunt1),emprunt1),0))),2)</f>
        <v>0</v>
      </c>
      <c r="M90" s="2607">
        <f t="shared" si="29"/>
        <v>0</v>
      </c>
      <c r="N90" s="525"/>
      <c r="O90" s="2605">
        <f t="shared" si="30"/>
        <v>66</v>
      </c>
      <c r="P90" s="2607">
        <f t="shared" si="54"/>
        <v>0</v>
      </c>
      <c r="Q90" s="2606">
        <f t="shared" si="39"/>
        <v>0</v>
      </c>
      <c r="R90" s="2608">
        <f t="shared" ref="R90:R105" si="59">ROUND(IF(P90=0,0,IF(O90=annuité_emprunt2,S89,IF(O90&gt;différé_emprunt2,-PPMT((taux_emprunt2/périodicité_emprunt2),O90-différé_emprunt2,(annuité_emprunt2-différé_emprunt2),emprunt2),0))),2)</f>
        <v>0</v>
      </c>
      <c r="S90" s="2607">
        <f t="shared" si="31"/>
        <v>0</v>
      </c>
      <c r="T90" s="525"/>
      <c r="U90" s="2605">
        <f t="shared" si="32"/>
        <v>66</v>
      </c>
      <c r="V90" s="2607">
        <f t="shared" si="55"/>
        <v>0</v>
      </c>
      <c r="W90" s="2606">
        <f t="shared" si="40"/>
        <v>0</v>
      </c>
      <c r="X90" s="2608">
        <f t="shared" ref="X90:X121" si="60">ROUND(IF(V90=0,0,IF(U90=annuité_emprunt3,Y89,IF(U90&gt;différé_emprunt3,-PPMT((taux_emprunt3/périodicité_emprunt3),U90-différé_emprunt3,(annuité_emprunt3-différé_emprunt3),emprunt3),0))),2)</f>
        <v>0</v>
      </c>
      <c r="Y90" s="2607">
        <f t="shared" si="33"/>
        <v>0</v>
      </c>
      <c r="Z90" s="525"/>
      <c r="AA90" s="2605">
        <f t="shared" si="34"/>
        <v>66</v>
      </c>
      <c r="AB90" s="2607">
        <f t="shared" si="56"/>
        <v>0</v>
      </c>
      <c r="AC90" s="2606">
        <f t="shared" si="41"/>
        <v>0</v>
      </c>
      <c r="AD90" s="2608">
        <f t="shared" ref="AD90:AD121" si="61">ROUND(IF(AB90=0,0,IF(AA90=annuité_emprunt4,AE89,IF(AA90&gt;différé_emprunt4,-PPMT((taux_emprunt4/périodicité_emprunt4),AA90-différé_emprunt4,(annuité_emprunt4-différé_emprunt4),emprunt4),0))),2)</f>
        <v>0</v>
      </c>
      <c r="AE90" s="2607">
        <f t="shared" si="35"/>
        <v>0</v>
      </c>
      <c r="AF90" s="525"/>
      <c r="AG90" s="2605">
        <f t="shared" si="36"/>
        <v>66</v>
      </c>
      <c r="AH90" s="2607">
        <f t="shared" si="57"/>
        <v>0</v>
      </c>
      <c r="AI90" s="2606">
        <f t="shared" si="42"/>
        <v>0</v>
      </c>
      <c r="AJ90" s="2608">
        <f t="shared" ref="AJ90:AJ121" si="62">ROUND(IF(AH90=0,0,IF(AG90=annuité_emprunt5,AK89,IF(AG90&gt;différé_emprunt5,-PPMT((taux_emprunt5/périodicité_emprunt5),AG90-différé_emprunt5,(annuité_emprunt5-différé_emprunt5),emprunt5),0))),2)</f>
        <v>0</v>
      </c>
      <c r="AK90" s="2607">
        <f t="shared" si="37"/>
        <v>0</v>
      </c>
      <c r="AL90" s="525"/>
      <c r="AM90" s="525"/>
      <c r="AN90" s="525"/>
      <c r="AO90" s="525"/>
      <c r="AP90" s="525"/>
      <c r="AQ90" s="525"/>
      <c r="AR90" s="525"/>
      <c r="AS90" s="525"/>
      <c r="AT90" s="525"/>
      <c r="AU90" s="525"/>
      <c r="AV90" s="525"/>
      <c r="AW90" s="525"/>
      <c r="AX90" s="525"/>
      <c r="AY90" s="525"/>
      <c r="AZ90" s="525"/>
      <c r="BA90" s="525"/>
      <c r="BB90" s="525"/>
      <c r="BC90" s="525"/>
      <c r="BD90" s="525"/>
      <c r="BE90" s="525"/>
      <c r="BF90" s="525"/>
      <c r="BG90" s="525"/>
      <c r="BH90" s="525"/>
      <c r="BI90" s="525"/>
      <c r="BJ90" s="525"/>
      <c r="BK90" s="525"/>
      <c r="BL90" s="525"/>
      <c r="BM90" s="525"/>
      <c r="BN90" s="525"/>
      <c r="BO90" s="525"/>
      <c r="BP90" s="525"/>
      <c r="BQ90" s="525"/>
      <c r="BR90" s="525"/>
      <c r="BS90" s="525"/>
      <c r="BT90" s="525"/>
      <c r="BU90" s="525"/>
      <c r="BV90" s="525"/>
      <c r="BW90" s="525"/>
      <c r="BX90" s="525"/>
      <c r="BY90" s="525"/>
      <c r="BZ90" s="525"/>
      <c r="CA90" s="525"/>
      <c r="CB90" s="525"/>
      <c r="CC90" s="525"/>
      <c r="CD90" s="525"/>
      <c r="CE90" s="525"/>
      <c r="CF90" s="525"/>
      <c r="CG90" s="525"/>
      <c r="CH90" s="525"/>
      <c r="CI90" s="525"/>
      <c r="CJ90" s="525"/>
      <c r="CK90" s="525"/>
      <c r="CL90" s="525"/>
      <c r="CM90" s="525"/>
      <c r="CN90" s="525"/>
      <c r="CO90" s="525"/>
      <c r="CP90" s="525"/>
      <c r="CQ90" s="525"/>
      <c r="CR90" s="525"/>
      <c r="CS90" s="525"/>
      <c r="CT90" s="525"/>
      <c r="CU90" s="525"/>
      <c r="CV90" s="525"/>
      <c r="CW90" s="525"/>
      <c r="CX90" s="525"/>
      <c r="CY90" s="525"/>
      <c r="CZ90" s="525"/>
      <c r="DA90" s="525"/>
      <c r="DB90" s="525"/>
      <c r="DC90" s="525"/>
      <c r="DD90" s="525"/>
      <c r="DE90" s="525"/>
      <c r="DF90" s="525"/>
      <c r="DG90" s="525"/>
      <c r="DH90" s="525"/>
      <c r="DI90" s="525"/>
      <c r="DJ90" s="525"/>
      <c r="DK90" s="525"/>
      <c r="DL90" s="525"/>
      <c r="DM90" s="525"/>
      <c r="DN90" s="525"/>
      <c r="DO90" s="525"/>
      <c r="DP90" s="525"/>
      <c r="DQ90" s="525"/>
      <c r="DR90" s="525"/>
      <c r="DS90" s="525"/>
      <c r="DT90" s="525"/>
      <c r="DU90" s="525"/>
      <c r="DV90" s="525"/>
      <c r="DW90" s="525"/>
      <c r="DX90" s="525"/>
      <c r="DY90" s="525"/>
      <c r="DZ90" s="525"/>
      <c r="EA90" s="525"/>
      <c r="EB90" s="525"/>
      <c r="EC90" s="525"/>
      <c r="ED90" s="525"/>
      <c r="EE90" s="525"/>
      <c r="EF90" s="525"/>
      <c r="EG90" s="525"/>
      <c r="EH90" s="525"/>
      <c r="EI90" s="525"/>
      <c r="EJ90" s="525"/>
      <c r="EK90" s="525"/>
      <c r="EL90" s="525"/>
      <c r="EM90" s="525"/>
      <c r="EN90" s="525"/>
      <c r="EO90" s="525"/>
      <c r="EP90" s="525"/>
      <c r="EQ90" s="525"/>
      <c r="ER90" s="525"/>
      <c r="ES90" s="525"/>
      <c r="ET90" s="525"/>
      <c r="EU90" s="525"/>
      <c r="EV90" s="525"/>
      <c r="EW90" s="525"/>
      <c r="EX90" s="525"/>
      <c r="EY90" s="525"/>
      <c r="EZ90" s="525"/>
      <c r="FA90" s="525"/>
      <c r="FB90" s="525"/>
      <c r="FC90" s="525"/>
      <c r="FD90" s="525"/>
      <c r="FE90" s="525"/>
      <c r="FF90" s="525"/>
      <c r="FG90" s="525"/>
      <c r="FH90" s="525"/>
      <c r="FI90" s="525"/>
      <c r="FJ90" s="525"/>
      <c r="FK90" s="525"/>
      <c r="FL90" s="525"/>
      <c r="FM90" s="525"/>
      <c r="FN90" s="525"/>
      <c r="FO90" s="525"/>
      <c r="FP90" s="525"/>
      <c r="FQ90" s="525"/>
      <c r="FR90" s="525"/>
      <c r="FS90" s="525"/>
      <c r="FT90" s="525"/>
      <c r="FU90" s="525"/>
      <c r="FV90" s="525"/>
      <c r="FW90" s="525"/>
      <c r="FX90" s="525"/>
      <c r="FY90" s="525"/>
      <c r="FZ90" s="525"/>
      <c r="GA90" s="525"/>
      <c r="GB90" s="525"/>
      <c r="GC90" s="525"/>
      <c r="GD90" s="525"/>
      <c r="GE90" s="525"/>
      <c r="GF90" s="525"/>
      <c r="GG90" s="525"/>
      <c r="GH90" s="525"/>
      <c r="GI90" s="525"/>
      <c r="GJ90" s="525"/>
      <c r="GK90" s="525"/>
      <c r="GL90" s="525"/>
      <c r="GM90" s="525"/>
      <c r="GN90" s="525"/>
      <c r="GO90" s="525"/>
      <c r="GP90" s="525"/>
      <c r="GQ90" s="525"/>
      <c r="GR90" s="525"/>
      <c r="GS90" s="525"/>
      <c r="GT90" s="525"/>
      <c r="GU90" s="525"/>
      <c r="GV90" s="525"/>
      <c r="GW90" s="525"/>
      <c r="GX90" s="525"/>
      <c r="GY90" s="525"/>
      <c r="GZ90" s="525"/>
      <c r="HA90" s="525"/>
      <c r="HB90" s="525"/>
      <c r="HC90" s="525"/>
      <c r="HD90" s="525"/>
      <c r="HE90" s="525"/>
      <c r="HF90" s="525"/>
      <c r="HG90" s="525"/>
      <c r="HH90" s="525"/>
      <c r="HI90" s="525"/>
      <c r="HJ90" s="525"/>
      <c r="HK90" s="525"/>
      <c r="HL90" s="525"/>
      <c r="HM90" s="525"/>
      <c r="HN90" s="525"/>
      <c r="HO90" s="525"/>
      <c r="HP90" s="525"/>
      <c r="HQ90" s="525"/>
      <c r="HR90" s="525"/>
      <c r="HS90" s="525"/>
      <c r="HT90" s="525"/>
      <c r="HU90" s="525"/>
      <c r="HV90" s="525"/>
      <c r="HW90" s="525"/>
      <c r="HX90" s="525"/>
      <c r="HY90" s="525"/>
      <c r="HZ90" s="525"/>
      <c r="IA90" s="525"/>
      <c r="IB90" s="525"/>
      <c r="IC90" s="525"/>
      <c r="ID90" s="525"/>
      <c r="IE90" s="525"/>
      <c r="IF90" s="525"/>
      <c r="IG90" s="525"/>
      <c r="IH90" s="525"/>
      <c r="II90" s="525"/>
      <c r="IJ90" s="525"/>
      <c r="IK90" s="525"/>
    </row>
    <row r="91" spans="1:245" s="976" customFormat="1" ht="20.100000000000001" customHeight="1" x14ac:dyDescent="0.25">
      <c r="A91" s="525"/>
      <c r="B91" s="985"/>
      <c r="C91" s="986"/>
      <c r="D91" s="986"/>
      <c r="E91" s="986"/>
      <c r="F91" s="986"/>
      <c r="G91" s="986"/>
      <c r="H91" s="525"/>
      <c r="I91" s="2605">
        <f t="shared" ref="I91:I154" si="63">1+I90</f>
        <v>67</v>
      </c>
      <c r="J91" s="2607">
        <f t="shared" si="53"/>
        <v>0</v>
      </c>
      <c r="K91" s="2606">
        <f t="shared" si="38"/>
        <v>0</v>
      </c>
      <c r="L91" s="2608">
        <f t="shared" si="58"/>
        <v>0</v>
      </c>
      <c r="M91" s="2607">
        <f t="shared" ref="M91:M154" si="64">M90-L91</f>
        <v>0</v>
      </c>
      <c r="N91" s="525"/>
      <c r="O91" s="2605">
        <f t="shared" ref="O91:O154" si="65">1+O90</f>
        <v>67</v>
      </c>
      <c r="P91" s="2607">
        <f t="shared" si="54"/>
        <v>0</v>
      </c>
      <c r="Q91" s="2606">
        <f t="shared" si="39"/>
        <v>0</v>
      </c>
      <c r="R91" s="2608">
        <f t="shared" si="59"/>
        <v>0</v>
      </c>
      <c r="S91" s="2607">
        <f t="shared" ref="S91:S154" si="66">S90-R91</f>
        <v>0</v>
      </c>
      <c r="T91" s="525"/>
      <c r="U91" s="2605">
        <f t="shared" ref="U91:U154" si="67">1+U90</f>
        <v>67</v>
      </c>
      <c r="V91" s="2607">
        <f t="shared" si="55"/>
        <v>0</v>
      </c>
      <c r="W91" s="2606">
        <f t="shared" si="40"/>
        <v>0</v>
      </c>
      <c r="X91" s="2608">
        <f t="shared" si="60"/>
        <v>0</v>
      </c>
      <c r="Y91" s="2607">
        <f t="shared" ref="Y91:Y154" si="68">Y90-X91</f>
        <v>0</v>
      </c>
      <c r="Z91" s="525"/>
      <c r="AA91" s="2605">
        <f t="shared" ref="AA91:AA154" si="69">1+AA90</f>
        <v>67</v>
      </c>
      <c r="AB91" s="2607">
        <f t="shared" si="56"/>
        <v>0</v>
      </c>
      <c r="AC91" s="2606">
        <f t="shared" si="41"/>
        <v>0</v>
      </c>
      <c r="AD91" s="2608">
        <f t="shared" si="61"/>
        <v>0</v>
      </c>
      <c r="AE91" s="2607">
        <f t="shared" ref="AE91:AE154" si="70">AE90-AD91</f>
        <v>0</v>
      </c>
      <c r="AF91" s="525"/>
      <c r="AG91" s="2605">
        <f t="shared" ref="AG91:AG154" si="71">1+AG90</f>
        <v>67</v>
      </c>
      <c r="AH91" s="2607">
        <f t="shared" si="57"/>
        <v>0</v>
      </c>
      <c r="AI91" s="2606">
        <f t="shared" si="42"/>
        <v>0</v>
      </c>
      <c r="AJ91" s="2608">
        <f t="shared" si="62"/>
        <v>0</v>
      </c>
      <c r="AK91" s="2607">
        <f t="shared" ref="AK91:AK154" si="72">AK90-AJ91</f>
        <v>0</v>
      </c>
      <c r="AL91" s="525"/>
      <c r="AM91" s="525"/>
      <c r="AN91" s="525"/>
      <c r="AO91" s="525"/>
      <c r="AP91" s="525"/>
      <c r="AQ91" s="525"/>
      <c r="AR91" s="525"/>
      <c r="AS91" s="525"/>
      <c r="AT91" s="525"/>
      <c r="AU91" s="525"/>
      <c r="AV91" s="525"/>
      <c r="AW91" s="525"/>
      <c r="AX91" s="525"/>
      <c r="AY91" s="525"/>
      <c r="AZ91" s="525"/>
      <c r="BA91" s="525"/>
      <c r="BB91" s="525"/>
      <c r="BC91" s="525"/>
      <c r="BD91" s="525"/>
      <c r="BE91" s="525"/>
      <c r="BF91" s="525"/>
      <c r="BG91" s="525"/>
      <c r="BH91" s="525"/>
      <c r="BI91" s="525"/>
      <c r="BJ91" s="525"/>
      <c r="BK91" s="525"/>
      <c r="BL91" s="525"/>
      <c r="BM91" s="525"/>
      <c r="BN91" s="525"/>
      <c r="BO91" s="525"/>
      <c r="BP91" s="525"/>
      <c r="BQ91" s="525"/>
      <c r="BR91" s="525"/>
      <c r="BS91" s="525"/>
      <c r="BT91" s="525"/>
      <c r="BU91" s="525"/>
      <c r="BV91" s="525"/>
      <c r="BW91" s="525"/>
      <c r="BX91" s="525"/>
      <c r="BY91" s="525"/>
      <c r="BZ91" s="525"/>
      <c r="CA91" s="525"/>
      <c r="CB91" s="525"/>
      <c r="CC91" s="525"/>
      <c r="CD91" s="525"/>
      <c r="CE91" s="525"/>
      <c r="CF91" s="525"/>
      <c r="CG91" s="525"/>
      <c r="CH91" s="525"/>
      <c r="CI91" s="525"/>
      <c r="CJ91" s="525"/>
      <c r="CK91" s="525"/>
      <c r="CL91" s="525"/>
      <c r="CM91" s="525"/>
      <c r="CN91" s="525"/>
      <c r="CO91" s="525"/>
      <c r="CP91" s="525"/>
      <c r="CQ91" s="525"/>
      <c r="CR91" s="525"/>
      <c r="CS91" s="525"/>
      <c r="CT91" s="525"/>
      <c r="CU91" s="525"/>
      <c r="CV91" s="525"/>
      <c r="CW91" s="525"/>
      <c r="CX91" s="525"/>
      <c r="CY91" s="525"/>
      <c r="CZ91" s="525"/>
      <c r="DA91" s="525"/>
      <c r="DB91" s="525"/>
      <c r="DC91" s="525"/>
      <c r="DD91" s="525"/>
      <c r="DE91" s="525"/>
      <c r="DF91" s="525"/>
      <c r="DG91" s="525"/>
      <c r="DH91" s="525"/>
      <c r="DI91" s="525"/>
      <c r="DJ91" s="525"/>
      <c r="DK91" s="525"/>
      <c r="DL91" s="525"/>
      <c r="DM91" s="525"/>
      <c r="DN91" s="525"/>
      <c r="DO91" s="525"/>
      <c r="DP91" s="525"/>
      <c r="DQ91" s="525"/>
      <c r="DR91" s="525"/>
      <c r="DS91" s="525"/>
      <c r="DT91" s="525"/>
      <c r="DU91" s="525"/>
      <c r="DV91" s="525"/>
      <c r="DW91" s="525"/>
      <c r="DX91" s="525"/>
      <c r="DY91" s="525"/>
      <c r="DZ91" s="525"/>
      <c r="EA91" s="525"/>
      <c r="EB91" s="525"/>
      <c r="EC91" s="525"/>
      <c r="ED91" s="525"/>
      <c r="EE91" s="525"/>
      <c r="EF91" s="525"/>
      <c r="EG91" s="525"/>
      <c r="EH91" s="525"/>
      <c r="EI91" s="525"/>
      <c r="EJ91" s="525"/>
      <c r="EK91" s="525"/>
      <c r="EL91" s="525"/>
      <c r="EM91" s="525"/>
      <c r="EN91" s="525"/>
      <c r="EO91" s="525"/>
      <c r="EP91" s="525"/>
      <c r="EQ91" s="525"/>
      <c r="ER91" s="525"/>
      <c r="ES91" s="525"/>
      <c r="ET91" s="525"/>
      <c r="EU91" s="525"/>
      <c r="EV91" s="525"/>
      <c r="EW91" s="525"/>
      <c r="EX91" s="525"/>
      <c r="EY91" s="525"/>
      <c r="EZ91" s="525"/>
      <c r="FA91" s="525"/>
      <c r="FB91" s="525"/>
      <c r="FC91" s="525"/>
      <c r="FD91" s="525"/>
      <c r="FE91" s="525"/>
      <c r="FF91" s="525"/>
      <c r="FG91" s="525"/>
      <c r="FH91" s="525"/>
      <c r="FI91" s="525"/>
      <c r="FJ91" s="525"/>
      <c r="FK91" s="525"/>
      <c r="FL91" s="525"/>
      <c r="FM91" s="525"/>
      <c r="FN91" s="525"/>
      <c r="FO91" s="525"/>
      <c r="FP91" s="525"/>
      <c r="FQ91" s="525"/>
      <c r="FR91" s="525"/>
      <c r="FS91" s="525"/>
      <c r="FT91" s="525"/>
      <c r="FU91" s="525"/>
      <c r="FV91" s="525"/>
      <c r="FW91" s="525"/>
      <c r="FX91" s="525"/>
      <c r="FY91" s="525"/>
      <c r="FZ91" s="525"/>
      <c r="GA91" s="525"/>
      <c r="GB91" s="525"/>
      <c r="GC91" s="525"/>
      <c r="GD91" s="525"/>
      <c r="GE91" s="525"/>
      <c r="GF91" s="525"/>
      <c r="GG91" s="525"/>
      <c r="GH91" s="525"/>
      <c r="GI91" s="525"/>
      <c r="GJ91" s="525"/>
      <c r="GK91" s="525"/>
      <c r="GL91" s="525"/>
      <c r="GM91" s="525"/>
      <c r="GN91" s="525"/>
      <c r="GO91" s="525"/>
      <c r="GP91" s="525"/>
      <c r="GQ91" s="525"/>
      <c r="GR91" s="525"/>
      <c r="GS91" s="525"/>
      <c r="GT91" s="525"/>
      <c r="GU91" s="525"/>
      <c r="GV91" s="525"/>
      <c r="GW91" s="525"/>
      <c r="GX91" s="525"/>
      <c r="GY91" s="525"/>
      <c r="GZ91" s="525"/>
      <c r="HA91" s="525"/>
      <c r="HB91" s="525"/>
      <c r="HC91" s="525"/>
      <c r="HD91" s="525"/>
      <c r="HE91" s="525"/>
      <c r="HF91" s="525"/>
      <c r="HG91" s="525"/>
      <c r="HH91" s="525"/>
      <c r="HI91" s="525"/>
      <c r="HJ91" s="525"/>
      <c r="HK91" s="525"/>
      <c r="HL91" s="525"/>
      <c r="HM91" s="525"/>
      <c r="HN91" s="525"/>
      <c r="HO91" s="525"/>
      <c r="HP91" s="525"/>
      <c r="HQ91" s="525"/>
      <c r="HR91" s="525"/>
      <c r="HS91" s="525"/>
      <c r="HT91" s="525"/>
      <c r="HU91" s="525"/>
      <c r="HV91" s="525"/>
      <c r="HW91" s="525"/>
      <c r="HX91" s="525"/>
      <c r="HY91" s="525"/>
      <c r="HZ91" s="525"/>
      <c r="IA91" s="525"/>
      <c r="IB91" s="525"/>
      <c r="IC91" s="525"/>
      <c r="ID91" s="525"/>
      <c r="IE91" s="525"/>
      <c r="IF91" s="525"/>
      <c r="IG91" s="525"/>
      <c r="IH91" s="525"/>
      <c r="II91" s="525"/>
      <c r="IJ91" s="525"/>
      <c r="IK91" s="525"/>
    </row>
    <row r="92" spans="1:245" s="976" customFormat="1" ht="20.100000000000001" customHeight="1" x14ac:dyDescent="0.25">
      <c r="A92" s="525"/>
      <c r="B92" s="985"/>
      <c r="C92" s="986"/>
      <c r="D92" s="986"/>
      <c r="E92" s="986"/>
      <c r="F92" s="986"/>
      <c r="G92" s="986"/>
      <c r="H92" s="525"/>
      <c r="I92" s="2605">
        <f t="shared" si="63"/>
        <v>68</v>
      </c>
      <c r="J92" s="2607">
        <f t="shared" si="53"/>
        <v>0</v>
      </c>
      <c r="K92" s="2606">
        <f t="shared" ref="K92:K155" si="73">IF(J92=0,0,J92-L92)</f>
        <v>0</v>
      </c>
      <c r="L92" s="2608">
        <f t="shared" si="58"/>
        <v>0</v>
      </c>
      <c r="M92" s="2607">
        <f t="shared" si="64"/>
        <v>0</v>
      </c>
      <c r="N92" s="525"/>
      <c r="O92" s="2605">
        <f t="shared" si="65"/>
        <v>68</v>
      </c>
      <c r="P92" s="2607">
        <f t="shared" si="54"/>
        <v>0</v>
      </c>
      <c r="Q92" s="2606">
        <f t="shared" ref="Q92:Q155" si="74">IF(P92=0,0,P92-R92)</f>
        <v>0</v>
      </c>
      <c r="R92" s="2608">
        <f t="shared" si="59"/>
        <v>0</v>
      </c>
      <c r="S92" s="2607">
        <f t="shared" si="66"/>
        <v>0</v>
      </c>
      <c r="T92" s="525"/>
      <c r="U92" s="2605">
        <f t="shared" si="67"/>
        <v>68</v>
      </c>
      <c r="V92" s="2607">
        <f t="shared" si="55"/>
        <v>0</v>
      </c>
      <c r="W92" s="2606">
        <f t="shared" ref="W92:W155" si="75">IF(V92=0,0,V92-X92)</f>
        <v>0</v>
      </c>
      <c r="X92" s="2608">
        <f t="shared" si="60"/>
        <v>0</v>
      </c>
      <c r="Y92" s="2607">
        <f t="shared" si="68"/>
        <v>0</v>
      </c>
      <c r="Z92" s="525"/>
      <c r="AA92" s="2605">
        <f t="shared" si="69"/>
        <v>68</v>
      </c>
      <c r="AB92" s="2607">
        <f t="shared" si="56"/>
        <v>0</v>
      </c>
      <c r="AC92" s="2606">
        <f t="shared" ref="AC92:AC155" si="76">IF(AB92=0,0,AB92-AD92)</f>
        <v>0</v>
      </c>
      <c r="AD92" s="2608">
        <f t="shared" si="61"/>
        <v>0</v>
      </c>
      <c r="AE92" s="2607">
        <f t="shared" si="70"/>
        <v>0</v>
      </c>
      <c r="AF92" s="525"/>
      <c r="AG92" s="2605">
        <f t="shared" si="71"/>
        <v>68</v>
      </c>
      <c r="AH92" s="2607">
        <f t="shared" si="57"/>
        <v>0</v>
      </c>
      <c r="AI92" s="2606">
        <f t="shared" ref="AI92:AI155" si="77">IF(AH92=0,0,AH92-AJ92)</f>
        <v>0</v>
      </c>
      <c r="AJ92" s="2608">
        <f t="shared" si="62"/>
        <v>0</v>
      </c>
      <c r="AK92" s="2607">
        <f t="shared" si="72"/>
        <v>0</v>
      </c>
      <c r="AL92" s="525"/>
      <c r="AM92" s="525"/>
      <c r="AN92" s="525"/>
      <c r="AO92" s="525"/>
      <c r="AP92" s="525"/>
      <c r="AQ92" s="525"/>
      <c r="AR92" s="525"/>
      <c r="AS92" s="525"/>
      <c r="AT92" s="525"/>
      <c r="AU92" s="525"/>
      <c r="AV92" s="525"/>
      <c r="AW92" s="525"/>
      <c r="AX92" s="525"/>
      <c r="AY92" s="525"/>
      <c r="AZ92" s="525"/>
      <c r="BA92" s="525"/>
      <c r="BB92" s="525"/>
      <c r="BC92" s="525"/>
      <c r="BD92" s="525"/>
      <c r="BE92" s="525"/>
      <c r="BF92" s="525"/>
      <c r="BG92" s="525"/>
      <c r="BH92" s="525"/>
      <c r="BI92" s="525"/>
      <c r="BJ92" s="525"/>
      <c r="BK92" s="525"/>
      <c r="BL92" s="525"/>
      <c r="BM92" s="525"/>
      <c r="BN92" s="525"/>
      <c r="BO92" s="525"/>
      <c r="BP92" s="525"/>
      <c r="BQ92" s="525"/>
      <c r="BR92" s="525"/>
      <c r="BS92" s="525"/>
      <c r="BT92" s="525"/>
      <c r="BU92" s="525"/>
      <c r="BV92" s="525"/>
      <c r="BW92" s="525"/>
      <c r="BX92" s="525"/>
      <c r="BY92" s="525"/>
      <c r="BZ92" s="525"/>
      <c r="CA92" s="525"/>
      <c r="CB92" s="525"/>
      <c r="CC92" s="525"/>
      <c r="CD92" s="525"/>
      <c r="CE92" s="525"/>
      <c r="CF92" s="525"/>
      <c r="CG92" s="525"/>
      <c r="CH92" s="525"/>
      <c r="CI92" s="525"/>
      <c r="CJ92" s="525"/>
      <c r="CK92" s="525"/>
      <c r="CL92" s="525"/>
      <c r="CM92" s="525"/>
      <c r="CN92" s="525"/>
      <c r="CO92" s="525"/>
      <c r="CP92" s="525"/>
      <c r="CQ92" s="525"/>
      <c r="CR92" s="525"/>
      <c r="CS92" s="525"/>
      <c r="CT92" s="525"/>
      <c r="CU92" s="525"/>
      <c r="CV92" s="525"/>
      <c r="CW92" s="525"/>
      <c r="CX92" s="525"/>
      <c r="CY92" s="525"/>
      <c r="CZ92" s="525"/>
      <c r="DA92" s="525"/>
      <c r="DB92" s="525"/>
      <c r="DC92" s="525"/>
      <c r="DD92" s="525"/>
      <c r="DE92" s="525"/>
      <c r="DF92" s="525"/>
      <c r="DG92" s="525"/>
      <c r="DH92" s="525"/>
      <c r="DI92" s="525"/>
      <c r="DJ92" s="525"/>
      <c r="DK92" s="525"/>
      <c r="DL92" s="525"/>
      <c r="DM92" s="525"/>
      <c r="DN92" s="525"/>
      <c r="DO92" s="525"/>
      <c r="DP92" s="525"/>
      <c r="DQ92" s="525"/>
      <c r="DR92" s="525"/>
      <c r="DS92" s="525"/>
      <c r="DT92" s="525"/>
      <c r="DU92" s="525"/>
      <c r="DV92" s="525"/>
      <c r="DW92" s="525"/>
      <c r="DX92" s="525"/>
      <c r="DY92" s="525"/>
      <c r="DZ92" s="525"/>
      <c r="EA92" s="525"/>
      <c r="EB92" s="525"/>
      <c r="EC92" s="525"/>
      <c r="ED92" s="525"/>
      <c r="EE92" s="525"/>
      <c r="EF92" s="525"/>
      <c r="EG92" s="525"/>
      <c r="EH92" s="525"/>
      <c r="EI92" s="525"/>
      <c r="EJ92" s="525"/>
      <c r="EK92" s="525"/>
      <c r="EL92" s="525"/>
      <c r="EM92" s="525"/>
      <c r="EN92" s="525"/>
      <c r="EO92" s="525"/>
      <c r="EP92" s="525"/>
      <c r="EQ92" s="525"/>
      <c r="ER92" s="525"/>
      <c r="ES92" s="525"/>
      <c r="ET92" s="525"/>
      <c r="EU92" s="525"/>
      <c r="EV92" s="525"/>
      <c r="EW92" s="525"/>
      <c r="EX92" s="525"/>
      <c r="EY92" s="525"/>
      <c r="EZ92" s="525"/>
      <c r="FA92" s="525"/>
      <c r="FB92" s="525"/>
      <c r="FC92" s="525"/>
      <c r="FD92" s="525"/>
      <c r="FE92" s="525"/>
      <c r="FF92" s="525"/>
      <c r="FG92" s="525"/>
      <c r="FH92" s="525"/>
      <c r="FI92" s="525"/>
      <c r="FJ92" s="525"/>
      <c r="FK92" s="525"/>
      <c r="FL92" s="525"/>
      <c r="FM92" s="525"/>
      <c r="FN92" s="525"/>
      <c r="FO92" s="525"/>
      <c r="FP92" s="525"/>
      <c r="FQ92" s="525"/>
      <c r="FR92" s="525"/>
      <c r="FS92" s="525"/>
      <c r="FT92" s="525"/>
      <c r="FU92" s="525"/>
      <c r="FV92" s="525"/>
      <c r="FW92" s="525"/>
      <c r="FX92" s="525"/>
      <c r="FY92" s="525"/>
      <c r="FZ92" s="525"/>
      <c r="GA92" s="525"/>
      <c r="GB92" s="525"/>
      <c r="GC92" s="525"/>
      <c r="GD92" s="525"/>
      <c r="GE92" s="525"/>
      <c r="GF92" s="525"/>
      <c r="GG92" s="525"/>
      <c r="GH92" s="525"/>
      <c r="GI92" s="525"/>
      <c r="GJ92" s="525"/>
      <c r="GK92" s="525"/>
      <c r="GL92" s="525"/>
      <c r="GM92" s="525"/>
      <c r="GN92" s="525"/>
      <c r="GO92" s="525"/>
      <c r="GP92" s="525"/>
      <c r="GQ92" s="525"/>
      <c r="GR92" s="525"/>
      <c r="GS92" s="525"/>
      <c r="GT92" s="525"/>
      <c r="GU92" s="525"/>
      <c r="GV92" s="525"/>
      <c r="GW92" s="525"/>
      <c r="GX92" s="525"/>
      <c r="GY92" s="525"/>
      <c r="GZ92" s="525"/>
      <c r="HA92" s="525"/>
      <c r="HB92" s="525"/>
      <c r="HC92" s="525"/>
      <c r="HD92" s="525"/>
      <c r="HE92" s="525"/>
      <c r="HF92" s="525"/>
      <c r="HG92" s="525"/>
      <c r="HH92" s="525"/>
      <c r="HI92" s="525"/>
      <c r="HJ92" s="525"/>
      <c r="HK92" s="525"/>
      <c r="HL92" s="525"/>
      <c r="HM92" s="525"/>
      <c r="HN92" s="525"/>
      <c r="HO92" s="525"/>
      <c r="HP92" s="525"/>
      <c r="HQ92" s="525"/>
      <c r="HR92" s="525"/>
      <c r="HS92" s="525"/>
      <c r="HT92" s="525"/>
      <c r="HU92" s="525"/>
      <c r="HV92" s="525"/>
      <c r="HW92" s="525"/>
      <c r="HX92" s="525"/>
      <c r="HY92" s="525"/>
      <c r="HZ92" s="525"/>
      <c r="IA92" s="525"/>
      <c r="IB92" s="525"/>
      <c r="IC92" s="525"/>
      <c r="ID92" s="525"/>
      <c r="IE92" s="525"/>
      <c r="IF92" s="525"/>
      <c r="IG92" s="525"/>
      <c r="IH92" s="525"/>
      <c r="II92" s="525"/>
      <c r="IJ92" s="525"/>
      <c r="IK92" s="525"/>
    </row>
    <row r="93" spans="1:245" s="976" customFormat="1" ht="20.100000000000001" customHeight="1" x14ac:dyDescent="0.25">
      <c r="A93" s="525"/>
      <c r="B93" s="985"/>
      <c r="C93" s="986"/>
      <c r="D93" s="986"/>
      <c r="E93" s="986"/>
      <c r="F93" s="986"/>
      <c r="G93" s="986"/>
      <c r="H93" s="525"/>
      <c r="I93" s="2605">
        <f t="shared" si="63"/>
        <v>69</v>
      </c>
      <c r="J93" s="2607">
        <f t="shared" si="53"/>
        <v>0</v>
      </c>
      <c r="K93" s="2606">
        <f t="shared" si="73"/>
        <v>0</v>
      </c>
      <c r="L93" s="2608">
        <f t="shared" si="58"/>
        <v>0</v>
      </c>
      <c r="M93" s="2607">
        <f t="shared" si="64"/>
        <v>0</v>
      </c>
      <c r="N93" s="525"/>
      <c r="O93" s="2605">
        <f t="shared" si="65"/>
        <v>69</v>
      </c>
      <c r="P93" s="2607">
        <f t="shared" si="54"/>
        <v>0</v>
      </c>
      <c r="Q93" s="2606">
        <f t="shared" si="74"/>
        <v>0</v>
      </c>
      <c r="R93" s="2608">
        <f t="shared" si="59"/>
        <v>0</v>
      </c>
      <c r="S93" s="2607">
        <f t="shared" si="66"/>
        <v>0</v>
      </c>
      <c r="T93" s="525"/>
      <c r="U93" s="2605">
        <f t="shared" si="67"/>
        <v>69</v>
      </c>
      <c r="V93" s="2607">
        <f t="shared" si="55"/>
        <v>0</v>
      </c>
      <c r="W93" s="2606">
        <f t="shared" si="75"/>
        <v>0</v>
      </c>
      <c r="X93" s="2608">
        <f t="shared" si="60"/>
        <v>0</v>
      </c>
      <c r="Y93" s="2607">
        <f t="shared" si="68"/>
        <v>0</v>
      </c>
      <c r="Z93" s="525"/>
      <c r="AA93" s="2605">
        <f t="shared" si="69"/>
        <v>69</v>
      </c>
      <c r="AB93" s="2607">
        <f t="shared" si="56"/>
        <v>0</v>
      </c>
      <c r="AC93" s="2606">
        <f t="shared" si="76"/>
        <v>0</v>
      </c>
      <c r="AD93" s="2608">
        <f t="shared" si="61"/>
        <v>0</v>
      </c>
      <c r="AE93" s="2607">
        <f t="shared" si="70"/>
        <v>0</v>
      </c>
      <c r="AF93" s="525"/>
      <c r="AG93" s="2605">
        <f t="shared" si="71"/>
        <v>69</v>
      </c>
      <c r="AH93" s="2607">
        <f t="shared" si="57"/>
        <v>0</v>
      </c>
      <c r="AI93" s="2606">
        <f t="shared" si="77"/>
        <v>0</v>
      </c>
      <c r="AJ93" s="2608">
        <f t="shared" si="62"/>
        <v>0</v>
      </c>
      <c r="AK93" s="2607">
        <f t="shared" si="72"/>
        <v>0</v>
      </c>
      <c r="AL93" s="525"/>
      <c r="AM93" s="525"/>
      <c r="AN93" s="525"/>
      <c r="AO93" s="525"/>
      <c r="AP93" s="525"/>
      <c r="AQ93" s="525"/>
      <c r="AR93" s="525"/>
      <c r="AS93" s="525"/>
      <c r="AT93" s="525"/>
      <c r="AU93" s="525"/>
      <c r="AV93" s="525"/>
      <c r="AW93" s="525"/>
      <c r="AX93" s="525"/>
      <c r="AY93" s="525"/>
      <c r="AZ93" s="525"/>
      <c r="BA93" s="525"/>
      <c r="BB93" s="525"/>
      <c r="BC93" s="525"/>
      <c r="BD93" s="525"/>
      <c r="BE93" s="525"/>
      <c r="BF93" s="525"/>
      <c r="BG93" s="525"/>
      <c r="BH93" s="525"/>
      <c r="BI93" s="525"/>
      <c r="BJ93" s="525"/>
      <c r="BK93" s="525"/>
      <c r="BL93" s="525"/>
      <c r="BM93" s="525"/>
      <c r="BN93" s="525"/>
      <c r="BO93" s="525"/>
      <c r="BP93" s="525"/>
      <c r="BQ93" s="525"/>
      <c r="BR93" s="525"/>
      <c r="BS93" s="525"/>
      <c r="BT93" s="525"/>
      <c r="BU93" s="525"/>
      <c r="BV93" s="525"/>
      <c r="BW93" s="525"/>
      <c r="BX93" s="525"/>
      <c r="BY93" s="525"/>
      <c r="BZ93" s="525"/>
      <c r="CA93" s="525"/>
      <c r="CB93" s="525"/>
      <c r="CC93" s="525"/>
      <c r="CD93" s="525"/>
      <c r="CE93" s="525"/>
      <c r="CF93" s="525"/>
      <c r="CG93" s="525"/>
      <c r="CH93" s="525"/>
      <c r="CI93" s="525"/>
      <c r="CJ93" s="525"/>
      <c r="CK93" s="525"/>
      <c r="CL93" s="525"/>
      <c r="CM93" s="525"/>
      <c r="CN93" s="525"/>
      <c r="CO93" s="525"/>
      <c r="CP93" s="525"/>
      <c r="CQ93" s="525"/>
      <c r="CR93" s="525"/>
      <c r="CS93" s="525"/>
      <c r="CT93" s="525"/>
      <c r="CU93" s="525"/>
      <c r="CV93" s="525"/>
      <c r="CW93" s="525"/>
      <c r="CX93" s="525"/>
      <c r="CY93" s="525"/>
      <c r="CZ93" s="525"/>
      <c r="DA93" s="525"/>
      <c r="DB93" s="525"/>
      <c r="DC93" s="525"/>
      <c r="DD93" s="525"/>
      <c r="DE93" s="525"/>
      <c r="DF93" s="525"/>
      <c r="DG93" s="525"/>
      <c r="DH93" s="525"/>
      <c r="DI93" s="525"/>
      <c r="DJ93" s="525"/>
      <c r="DK93" s="525"/>
      <c r="DL93" s="525"/>
      <c r="DM93" s="525"/>
      <c r="DN93" s="525"/>
      <c r="DO93" s="525"/>
      <c r="DP93" s="525"/>
      <c r="DQ93" s="525"/>
      <c r="DR93" s="525"/>
      <c r="DS93" s="525"/>
      <c r="DT93" s="525"/>
      <c r="DU93" s="525"/>
      <c r="DV93" s="525"/>
      <c r="DW93" s="525"/>
      <c r="DX93" s="525"/>
      <c r="DY93" s="525"/>
      <c r="DZ93" s="525"/>
      <c r="EA93" s="525"/>
      <c r="EB93" s="525"/>
      <c r="EC93" s="525"/>
      <c r="ED93" s="525"/>
      <c r="EE93" s="525"/>
      <c r="EF93" s="525"/>
      <c r="EG93" s="525"/>
      <c r="EH93" s="525"/>
      <c r="EI93" s="525"/>
      <c r="EJ93" s="525"/>
      <c r="EK93" s="525"/>
      <c r="EL93" s="525"/>
      <c r="EM93" s="525"/>
      <c r="EN93" s="525"/>
      <c r="EO93" s="525"/>
      <c r="EP93" s="525"/>
      <c r="EQ93" s="525"/>
      <c r="ER93" s="525"/>
      <c r="ES93" s="525"/>
      <c r="ET93" s="525"/>
      <c r="EU93" s="525"/>
      <c r="EV93" s="525"/>
      <c r="EW93" s="525"/>
      <c r="EX93" s="525"/>
      <c r="EY93" s="525"/>
      <c r="EZ93" s="525"/>
      <c r="FA93" s="525"/>
      <c r="FB93" s="525"/>
      <c r="FC93" s="525"/>
      <c r="FD93" s="525"/>
      <c r="FE93" s="525"/>
      <c r="FF93" s="525"/>
      <c r="FG93" s="525"/>
      <c r="FH93" s="525"/>
      <c r="FI93" s="525"/>
      <c r="FJ93" s="525"/>
      <c r="FK93" s="525"/>
      <c r="FL93" s="525"/>
      <c r="FM93" s="525"/>
      <c r="FN93" s="525"/>
      <c r="FO93" s="525"/>
      <c r="FP93" s="525"/>
      <c r="FQ93" s="525"/>
      <c r="FR93" s="525"/>
      <c r="FS93" s="525"/>
      <c r="FT93" s="525"/>
      <c r="FU93" s="525"/>
      <c r="FV93" s="525"/>
      <c r="FW93" s="525"/>
      <c r="FX93" s="525"/>
      <c r="FY93" s="525"/>
      <c r="FZ93" s="525"/>
      <c r="GA93" s="525"/>
      <c r="GB93" s="525"/>
      <c r="GC93" s="525"/>
      <c r="GD93" s="525"/>
      <c r="GE93" s="525"/>
      <c r="GF93" s="525"/>
      <c r="GG93" s="525"/>
      <c r="GH93" s="525"/>
      <c r="GI93" s="525"/>
      <c r="GJ93" s="525"/>
      <c r="GK93" s="525"/>
      <c r="GL93" s="525"/>
      <c r="GM93" s="525"/>
      <c r="GN93" s="525"/>
      <c r="GO93" s="525"/>
      <c r="GP93" s="525"/>
      <c r="GQ93" s="525"/>
      <c r="GR93" s="525"/>
      <c r="GS93" s="525"/>
      <c r="GT93" s="525"/>
      <c r="GU93" s="525"/>
      <c r="GV93" s="525"/>
      <c r="GW93" s="525"/>
      <c r="GX93" s="525"/>
      <c r="GY93" s="525"/>
      <c r="GZ93" s="525"/>
      <c r="HA93" s="525"/>
      <c r="HB93" s="525"/>
      <c r="HC93" s="525"/>
      <c r="HD93" s="525"/>
      <c r="HE93" s="525"/>
      <c r="HF93" s="525"/>
      <c r="HG93" s="525"/>
      <c r="HH93" s="525"/>
      <c r="HI93" s="525"/>
      <c r="HJ93" s="525"/>
      <c r="HK93" s="525"/>
      <c r="HL93" s="525"/>
      <c r="HM93" s="525"/>
      <c r="HN93" s="525"/>
      <c r="HO93" s="525"/>
      <c r="HP93" s="525"/>
      <c r="HQ93" s="525"/>
      <c r="HR93" s="525"/>
      <c r="HS93" s="525"/>
      <c r="HT93" s="525"/>
      <c r="HU93" s="525"/>
      <c r="HV93" s="525"/>
      <c r="HW93" s="525"/>
      <c r="HX93" s="525"/>
      <c r="HY93" s="525"/>
      <c r="HZ93" s="525"/>
      <c r="IA93" s="525"/>
      <c r="IB93" s="525"/>
      <c r="IC93" s="525"/>
      <c r="ID93" s="525"/>
      <c r="IE93" s="525"/>
      <c r="IF93" s="525"/>
      <c r="IG93" s="525"/>
      <c r="IH93" s="525"/>
      <c r="II93" s="525"/>
      <c r="IJ93" s="525"/>
      <c r="IK93" s="525"/>
    </row>
    <row r="94" spans="1:245" s="976" customFormat="1" ht="20.100000000000001" customHeight="1" x14ac:dyDescent="0.25">
      <c r="A94" s="525"/>
      <c r="B94" s="985"/>
      <c r="C94" s="986"/>
      <c r="D94" s="986"/>
      <c r="E94" s="986"/>
      <c r="F94" s="986"/>
      <c r="G94" s="986"/>
      <c r="H94" s="525"/>
      <c r="I94" s="2605">
        <f t="shared" si="63"/>
        <v>70</v>
      </c>
      <c r="J94" s="2607">
        <f t="shared" si="53"/>
        <v>0</v>
      </c>
      <c r="K94" s="2606">
        <f t="shared" si="73"/>
        <v>0</v>
      </c>
      <c r="L94" s="2608">
        <f t="shared" si="58"/>
        <v>0</v>
      </c>
      <c r="M94" s="2607">
        <f t="shared" si="64"/>
        <v>0</v>
      </c>
      <c r="N94" s="525"/>
      <c r="O94" s="2605">
        <f t="shared" si="65"/>
        <v>70</v>
      </c>
      <c r="P94" s="2607">
        <f t="shared" si="54"/>
        <v>0</v>
      </c>
      <c r="Q94" s="2606">
        <f t="shared" si="74"/>
        <v>0</v>
      </c>
      <c r="R94" s="2608">
        <f t="shared" si="59"/>
        <v>0</v>
      </c>
      <c r="S94" s="2607">
        <f t="shared" si="66"/>
        <v>0</v>
      </c>
      <c r="T94" s="525"/>
      <c r="U94" s="2605">
        <f t="shared" si="67"/>
        <v>70</v>
      </c>
      <c r="V94" s="2607">
        <f t="shared" si="55"/>
        <v>0</v>
      </c>
      <c r="W94" s="2606">
        <f t="shared" si="75"/>
        <v>0</v>
      </c>
      <c r="X94" s="2608">
        <f t="shared" si="60"/>
        <v>0</v>
      </c>
      <c r="Y94" s="2607">
        <f t="shared" si="68"/>
        <v>0</v>
      </c>
      <c r="Z94" s="525"/>
      <c r="AA94" s="2605">
        <f t="shared" si="69"/>
        <v>70</v>
      </c>
      <c r="AB94" s="2607">
        <f t="shared" si="56"/>
        <v>0</v>
      </c>
      <c r="AC94" s="2606">
        <f t="shared" si="76"/>
        <v>0</v>
      </c>
      <c r="AD94" s="2608">
        <f t="shared" si="61"/>
        <v>0</v>
      </c>
      <c r="AE94" s="2607">
        <f t="shared" si="70"/>
        <v>0</v>
      </c>
      <c r="AF94" s="525"/>
      <c r="AG94" s="2605">
        <f t="shared" si="71"/>
        <v>70</v>
      </c>
      <c r="AH94" s="2607">
        <f t="shared" si="57"/>
        <v>0</v>
      </c>
      <c r="AI94" s="2606">
        <f t="shared" si="77"/>
        <v>0</v>
      </c>
      <c r="AJ94" s="2608">
        <f t="shared" si="62"/>
        <v>0</v>
      </c>
      <c r="AK94" s="2607">
        <f t="shared" si="72"/>
        <v>0</v>
      </c>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c r="BZ94" s="525"/>
      <c r="CA94" s="525"/>
      <c r="CB94" s="525"/>
      <c r="CC94" s="525"/>
      <c r="CD94" s="525"/>
      <c r="CE94" s="525"/>
      <c r="CF94" s="525"/>
      <c r="CG94" s="525"/>
      <c r="CH94" s="525"/>
      <c r="CI94" s="525"/>
      <c r="CJ94" s="525"/>
      <c r="CK94" s="525"/>
      <c r="CL94" s="525"/>
      <c r="CM94" s="525"/>
      <c r="CN94" s="525"/>
      <c r="CO94" s="525"/>
      <c r="CP94" s="525"/>
      <c r="CQ94" s="525"/>
      <c r="CR94" s="525"/>
      <c r="CS94" s="525"/>
      <c r="CT94" s="525"/>
      <c r="CU94" s="525"/>
      <c r="CV94" s="525"/>
      <c r="CW94" s="525"/>
      <c r="CX94" s="525"/>
      <c r="CY94" s="525"/>
      <c r="CZ94" s="525"/>
      <c r="DA94" s="525"/>
      <c r="DB94" s="525"/>
      <c r="DC94" s="525"/>
      <c r="DD94" s="525"/>
      <c r="DE94" s="525"/>
      <c r="DF94" s="525"/>
      <c r="DG94" s="525"/>
      <c r="DH94" s="525"/>
      <c r="DI94" s="525"/>
      <c r="DJ94" s="525"/>
      <c r="DK94" s="525"/>
      <c r="DL94" s="525"/>
      <c r="DM94" s="525"/>
      <c r="DN94" s="525"/>
      <c r="DO94" s="525"/>
      <c r="DP94" s="525"/>
      <c r="DQ94" s="525"/>
      <c r="DR94" s="525"/>
      <c r="DS94" s="525"/>
      <c r="DT94" s="525"/>
      <c r="DU94" s="525"/>
      <c r="DV94" s="525"/>
      <c r="DW94" s="525"/>
      <c r="DX94" s="525"/>
      <c r="DY94" s="525"/>
      <c r="DZ94" s="525"/>
      <c r="EA94" s="525"/>
      <c r="EB94" s="525"/>
      <c r="EC94" s="525"/>
      <c r="ED94" s="525"/>
      <c r="EE94" s="525"/>
      <c r="EF94" s="525"/>
      <c r="EG94" s="525"/>
      <c r="EH94" s="525"/>
      <c r="EI94" s="525"/>
      <c r="EJ94" s="525"/>
      <c r="EK94" s="525"/>
      <c r="EL94" s="525"/>
      <c r="EM94" s="525"/>
      <c r="EN94" s="525"/>
      <c r="EO94" s="525"/>
      <c r="EP94" s="525"/>
      <c r="EQ94" s="525"/>
      <c r="ER94" s="525"/>
      <c r="ES94" s="525"/>
      <c r="ET94" s="525"/>
      <c r="EU94" s="525"/>
      <c r="EV94" s="525"/>
      <c r="EW94" s="525"/>
      <c r="EX94" s="525"/>
      <c r="EY94" s="525"/>
      <c r="EZ94" s="525"/>
      <c r="FA94" s="525"/>
      <c r="FB94" s="525"/>
      <c r="FC94" s="525"/>
      <c r="FD94" s="525"/>
      <c r="FE94" s="525"/>
      <c r="FF94" s="525"/>
      <c r="FG94" s="525"/>
      <c r="FH94" s="525"/>
      <c r="FI94" s="525"/>
      <c r="FJ94" s="525"/>
      <c r="FK94" s="525"/>
      <c r="FL94" s="525"/>
      <c r="FM94" s="525"/>
      <c r="FN94" s="525"/>
      <c r="FO94" s="525"/>
      <c r="FP94" s="525"/>
      <c r="FQ94" s="525"/>
      <c r="FR94" s="525"/>
      <c r="FS94" s="525"/>
      <c r="FT94" s="525"/>
      <c r="FU94" s="525"/>
      <c r="FV94" s="525"/>
      <c r="FW94" s="525"/>
      <c r="FX94" s="525"/>
      <c r="FY94" s="525"/>
      <c r="FZ94" s="525"/>
      <c r="GA94" s="525"/>
      <c r="GB94" s="525"/>
      <c r="GC94" s="525"/>
      <c r="GD94" s="525"/>
      <c r="GE94" s="525"/>
      <c r="GF94" s="525"/>
      <c r="GG94" s="525"/>
      <c r="GH94" s="525"/>
      <c r="GI94" s="525"/>
      <c r="GJ94" s="525"/>
      <c r="GK94" s="525"/>
      <c r="GL94" s="525"/>
      <c r="GM94" s="525"/>
      <c r="GN94" s="525"/>
      <c r="GO94" s="525"/>
      <c r="GP94" s="525"/>
      <c r="GQ94" s="525"/>
      <c r="GR94" s="525"/>
      <c r="GS94" s="525"/>
      <c r="GT94" s="525"/>
      <c r="GU94" s="525"/>
      <c r="GV94" s="525"/>
      <c r="GW94" s="525"/>
      <c r="GX94" s="525"/>
      <c r="GY94" s="525"/>
      <c r="GZ94" s="525"/>
      <c r="HA94" s="525"/>
      <c r="HB94" s="525"/>
      <c r="HC94" s="525"/>
      <c r="HD94" s="525"/>
      <c r="HE94" s="525"/>
      <c r="HF94" s="525"/>
      <c r="HG94" s="525"/>
      <c r="HH94" s="525"/>
      <c r="HI94" s="525"/>
      <c r="HJ94" s="525"/>
      <c r="HK94" s="525"/>
      <c r="HL94" s="525"/>
      <c r="HM94" s="525"/>
      <c r="HN94" s="525"/>
      <c r="HO94" s="525"/>
      <c r="HP94" s="525"/>
      <c r="HQ94" s="525"/>
      <c r="HR94" s="525"/>
      <c r="HS94" s="525"/>
      <c r="HT94" s="525"/>
      <c r="HU94" s="525"/>
      <c r="HV94" s="525"/>
      <c r="HW94" s="525"/>
      <c r="HX94" s="525"/>
      <c r="HY94" s="525"/>
      <c r="HZ94" s="525"/>
      <c r="IA94" s="525"/>
      <c r="IB94" s="525"/>
      <c r="IC94" s="525"/>
      <c r="ID94" s="525"/>
      <c r="IE94" s="525"/>
      <c r="IF94" s="525"/>
      <c r="IG94" s="525"/>
      <c r="IH94" s="525"/>
      <c r="II94" s="525"/>
      <c r="IJ94" s="525"/>
      <c r="IK94" s="525"/>
    </row>
    <row r="95" spans="1:245" s="976" customFormat="1" ht="20.100000000000001" customHeight="1" x14ac:dyDescent="0.25">
      <c r="A95" s="525"/>
      <c r="B95" s="985"/>
      <c r="C95" s="986"/>
      <c r="D95" s="986"/>
      <c r="E95" s="986"/>
      <c r="F95" s="986"/>
      <c r="G95" s="986"/>
      <c r="H95" s="525"/>
      <c r="I95" s="2605">
        <f t="shared" si="63"/>
        <v>71</v>
      </c>
      <c r="J95" s="2607">
        <f t="shared" si="53"/>
        <v>0</v>
      </c>
      <c r="K95" s="2606">
        <f t="shared" si="73"/>
        <v>0</v>
      </c>
      <c r="L95" s="2608">
        <f t="shared" si="58"/>
        <v>0</v>
      </c>
      <c r="M95" s="2607">
        <f t="shared" si="64"/>
        <v>0</v>
      </c>
      <c r="N95" s="525"/>
      <c r="O95" s="2605">
        <f t="shared" si="65"/>
        <v>71</v>
      </c>
      <c r="P95" s="2607">
        <f t="shared" si="54"/>
        <v>0</v>
      </c>
      <c r="Q95" s="2606">
        <f t="shared" si="74"/>
        <v>0</v>
      </c>
      <c r="R95" s="2608">
        <f t="shared" si="59"/>
        <v>0</v>
      </c>
      <c r="S95" s="2607">
        <f t="shared" si="66"/>
        <v>0</v>
      </c>
      <c r="T95" s="525"/>
      <c r="U95" s="2605">
        <f t="shared" si="67"/>
        <v>71</v>
      </c>
      <c r="V95" s="2607">
        <f t="shared" si="55"/>
        <v>0</v>
      </c>
      <c r="W95" s="2606">
        <f t="shared" si="75"/>
        <v>0</v>
      </c>
      <c r="X95" s="2608">
        <f t="shared" si="60"/>
        <v>0</v>
      </c>
      <c r="Y95" s="2607">
        <f t="shared" si="68"/>
        <v>0</v>
      </c>
      <c r="Z95" s="525"/>
      <c r="AA95" s="2605">
        <f t="shared" si="69"/>
        <v>71</v>
      </c>
      <c r="AB95" s="2607">
        <f t="shared" si="56"/>
        <v>0</v>
      </c>
      <c r="AC95" s="2606">
        <f t="shared" si="76"/>
        <v>0</v>
      </c>
      <c r="AD95" s="2608">
        <f t="shared" si="61"/>
        <v>0</v>
      </c>
      <c r="AE95" s="2607">
        <f t="shared" si="70"/>
        <v>0</v>
      </c>
      <c r="AF95" s="525"/>
      <c r="AG95" s="2605">
        <f t="shared" si="71"/>
        <v>71</v>
      </c>
      <c r="AH95" s="2607">
        <f t="shared" si="57"/>
        <v>0</v>
      </c>
      <c r="AI95" s="2606">
        <f t="shared" si="77"/>
        <v>0</v>
      </c>
      <c r="AJ95" s="2608">
        <f t="shared" si="62"/>
        <v>0</v>
      </c>
      <c r="AK95" s="2607">
        <f t="shared" si="72"/>
        <v>0</v>
      </c>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525"/>
      <c r="BW95" s="525"/>
      <c r="BX95" s="525"/>
      <c r="BY95" s="525"/>
      <c r="BZ95" s="525"/>
      <c r="CA95" s="525"/>
      <c r="CB95" s="525"/>
      <c r="CC95" s="525"/>
      <c r="CD95" s="525"/>
      <c r="CE95" s="525"/>
      <c r="CF95" s="525"/>
      <c r="CG95" s="525"/>
      <c r="CH95" s="525"/>
      <c r="CI95" s="525"/>
      <c r="CJ95" s="525"/>
      <c r="CK95" s="525"/>
      <c r="CL95" s="525"/>
      <c r="CM95" s="525"/>
      <c r="CN95" s="525"/>
      <c r="CO95" s="525"/>
      <c r="CP95" s="525"/>
      <c r="CQ95" s="525"/>
      <c r="CR95" s="525"/>
      <c r="CS95" s="525"/>
      <c r="CT95" s="525"/>
      <c r="CU95" s="525"/>
      <c r="CV95" s="525"/>
      <c r="CW95" s="525"/>
      <c r="CX95" s="525"/>
      <c r="CY95" s="525"/>
      <c r="CZ95" s="525"/>
      <c r="DA95" s="525"/>
      <c r="DB95" s="525"/>
      <c r="DC95" s="525"/>
      <c r="DD95" s="525"/>
      <c r="DE95" s="525"/>
      <c r="DF95" s="525"/>
      <c r="DG95" s="525"/>
      <c r="DH95" s="525"/>
      <c r="DI95" s="525"/>
      <c r="DJ95" s="525"/>
      <c r="DK95" s="525"/>
      <c r="DL95" s="525"/>
      <c r="DM95" s="525"/>
      <c r="DN95" s="525"/>
      <c r="DO95" s="525"/>
      <c r="DP95" s="525"/>
      <c r="DQ95" s="525"/>
      <c r="DR95" s="525"/>
      <c r="DS95" s="525"/>
      <c r="DT95" s="525"/>
      <c r="DU95" s="525"/>
      <c r="DV95" s="525"/>
      <c r="DW95" s="525"/>
      <c r="DX95" s="525"/>
      <c r="DY95" s="525"/>
      <c r="DZ95" s="525"/>
      <c r="EA95" s="525"/>
      <c r="EB95" s="525"/>
      <c r="EC95" s="525"/>
      <c r="ED95" s="525"/>
      <c r="EE95" s="525"/>
      <c r="EF95" s="525"/>
      <c r="EG95" s="525"/>
      <c r="EH95" s="525"/>
      <c r="EI95" s="525"/>
      <c r="EJ95" s="525"/>
      <c r="EK95" s="525"/>
      <c r="EL95" s="525"/>
      <c r="EM95" s="525"/>
      <c r="EN95" s="525"/>
      <c r="EO95" s="525"/>
      <c r="EP95" s="525"/>
      <c r="EQ95" s="525"/>
      <c r="ER95" s="525"/>
      <c r="ES95" s="525"/>
      <c r="ET95" s="525"/>
      <c r="EU95" s="525"/>
      <c r="EV95" s="525"/>
      <c r="EW95" s="525"/>
      <c r="EX95" s="525"/>
      <c r="EY95" s="525"/>
      <c r="EZ95" s="525"/>
      <c r="FA95" s="525"/>
      <c r="FB95" s="525"/>
      <c r="FC95" s="525"/>
      <c r="FD95" s="525"/>
      <c r="FE95" s="525"/>
      <c r="FF95" s="525"/>
      <c r="FG95" s="525"/>
      <c r="FH95" s="525"/>
      <c r="FI95" s="525"/>
      <c r="FJ95" s="525"/>
      <c r="FK95" s="525"/>
      <c r="FL95" s="525"/>
      <c r="FM95" s="525"/>
      <c r="FN95" s="525"/>
      <c r="FO95" s="525"/>
      <c r="FP95" s="525"/>
      <c r="FQ95" s="525"/>
      <c r="FR95" s="525"/>
      <c r="FS95" s="525"/>
      <c r="FT95" s="525"/>
      <c r="FU95" s="525"/>
      <c r="FV95" s="525"/>
      <c r="FW95" s="525"/>
      <c r="FX95" s="525"/>
      <c r="FY95" s="525"/>
      <c r="FZ95" s="525"/>
      <c r="GA95" s="525"/>
      <c r="GB95" s="525"/>
      <c r="GC95" s="525"/>
      <c r="GD95" s="525"/>
      <c r="GE95" s="525"/>
      <c r="GF95" s="525"/>
      <c r="GG95" s="525"/>
      <c r="GH95" s="525"/>
      <c r="GI95" s="525"/>
      <c r="GJ95" s="525"/>
      <c r="GK95" s="525"/>
      <c r="GL95" s="525"/>
      <c r="GM95" s="525"/>
      <c r="GN95" s="525"/>
      <c r="GO95" s="525"/>
      <c r="GP95" s="525"/>
      <c r="GQ95" s="525"/>
      <c r="GR95" s="525"/>
      <c r="GS95" s="525"/>
      <c r="GT95" s="525"/>
      <c r="GU95" s="525"/>
      <c r="GV95" s="525"/>
      <c r="GW95" s="525"/>
      <c r="GX95" s="525"/>
      <c r="GY95" s="525"/>
      <c r="GZ95" s="525"/>
      <c r="HA95" s="525"/>
      <c r="HB95" s="525"/>
      <c r="HC95" s="525"/>
      <c r="HD95" s="525"/>
      <c r="HE95" s="525"/>
      <c r="HF95" s="525"/>
      <c r="HG95" s="525"/>
      <c r="HH95" s="525"/>
      <c r="HI95" s="525"/>
      <c r="HJ95" s="525"/>
      <c r="HK95" s="525"/>
      <c r="HL95" s="525"/>
      <c r="HM95" s="525"/>
      <c r="HN95" s="525"/>
      <c r="HO95" s="525"/>
      <c r="HP95" s="525"/>
      <c r="HQ95" s="525"/>
      <c r="HR95" s="525"/>
      <c r="HS95" s="525"/>
      <c r="HT95" s="525"/>
      <c r="HU95" s="525"/>
      <c r="HV95" s="525"/>
      <c r="HW95" s="525"/>
      <c r="HX95" s="525"/>
      <c r="HY95" s="525"/>
      <c r="HZ95" s="525"/>
      <c r="IA95" s="525"/>
      <c r="IB95" s="525"/>
      <c r="IC95" s="525"/>
      <c r="ID95" s="525"/>
      <c r="IE95" s="525"/>
      <c r="IF95" s="525"/>
      <c r="IG95" s="525"/>
      <c r="IH95" s="525"/>
      <c r="II95" s="525"/>
      <c r="IJ95" s="525"/>
      <c r="IK95" s="525"/>
    </row>
    <row r="96" spans="1:245" s="976" customFormat="1" ht="20.100000000000001" customHeight="1" x14ac:dyDescent="0.25">
      <c r="A96" s="525"/>
      <c r="B96" s="985"/>
      <c r="C96" s="986"/>
      <c r="D96" s="986"/>
      <c r="E96" s="986"/>
      <c r="F96" s="986"/>
      <c r="G96" s="986"/>
      <c r="H96" s="525"/>
      <c r="I96" s="2605">
        <f t="shared" si="63"/>
        <v>72</v>
      </c>
      <c r="J96" s="2607">
        <f t="shared" si="53"/>
        <v>0</v>
      </c>
      <c r="K96" s="2606">
        <f t="shared" si="73"/>
        <v>0</v>
      </c>
      <c r="L96" s="2608">
        <f t="shared" si="58"/>
        <v>0</v>
      </c>
      <c r="M96" s="2607">
        <f t="shared" si="64"/>
        <v>0</v>
      </c>
      <c r="N96" s="525"/>
      <c r="O96" s="2605">
        <f t="shared" si="65"/>
        <v>72</v>
      </c>
      <c r="P96" s="2607">
        <f t="shared" si="54"/>
        <v>0</v>
      </c>
      <c r="Q96" s="2606">
        <f t="shared" si="74"/>
        <v>0</v>
      </c>
      <c r="R96" s="2608">
        <f t="shared" si="59"/>
        <v>0</v>
      </c>
      <c r="S96" s="2607">
        <f t="shared" si="66"/>
        <v>0</v>
      </c>
      <c r="T96" s="525"/>
      <c r="U96" s="2605">
        <f t="shared" si="67"/>
        <v>72</v>
      </c>
      <c r="V96" s="2607">
        <f t="shared" si="55"/>
        <v>0</v>
      </c>
      <c r="W96" s="2606">
        <f t="shared" si="75"/>
        <v>0</v>
      </c>
      <c r="X96" s="2608">
        <f t="shared" si="60"/>
        <v>0</v>
      </c>
      <c r="Y96" s="2607">
        <f t="shared" si="68"/>
        <v>0</v>
      </c>
      <c r="Z96" s="525"/>
      <c r="AA96" s="2605">
        <f t="shared" si="69"/>
        <v>72</v>
      </c>
      <c r="AB96" s="2607">
        <f t="shared" si="56"/>
        <v>0</v>
      </c>
      <c r="AC96" s="2606">
        <f t="shared" si="76"/>
        <v>0</v>
      </c>
      <c r="AD96" s="2608">
        <f t="shared" si="61"/>
        <v>0</v>
      </c>
      <c r="AE96" s="2607">
        <f t="shared" si="70"/>
        <v>0</v>
      </c>
      <c r="AF96" s="525"/>
      <c r="AG96" s="2605">
        <f t="shared" si="71"/>
        <v>72</v>
      </c>
      <c r="AH96" s="2607">
        <f t="shared" si="57"/>
        <v>0</v>
      </c>
      <c r="AI96" s="2606">
        <f t="shared" si="77"/>
        <v>0</v>
      </c>
      <c r="AJ96" s="2608">
        <f t="shared" si="62"/>
        <v>0</v>
      </c>
      <c r="AK96" s="2607">
        <f t="shared" si="72"/>
        <v>0</v>
      </c>
      <c r="AL96" s="525"/>
      <c r="AM96" s="525"/>
      <c r="AN96" s="525"/>
      <c r="AO96" s="525"/>
      <c r="AP96" s="525"/>
      <c r="AQ96" s="525"/>
      <c r="AR96" s="525"/>
      <c r="AS96" s="525"/>
      <c r="AT96" s="525"/>
      <c r="AU96" s="525"/>
      <c r="AV96" s="525"/>
      <c r="AW96" s="525"/>
      <c r="AX96" s="525"/>
      <c r="AY96" s="525"/>
      <c r="AZ96" s="525"/>
      <c r="BA96" s="525"/>
      <c r="BB96" s="525"/>
      <c r="BC96" s="525"/>
      <c r="BD96" s="525"/>
      <c r="BE96" s="525"/>
      <c r="BF96" s="525"/>
      <c r="BG96" s="525"/>
      <c r="BH96" s="525"/>
      <c r="BI96" s="525"/>
      <c r="BJ96" s="525"/>
      <c r="BK96" s="525"/>
      <c r="BL96" s="525"/>
      <c r="BM96" s="525"/>
      <c r="BN96" s="525"/>
      <c r="BO96" s="525"/>
      <c r="BP96" s="525"/>
      <c r="BQ96" s="525"/>
      <c r="BR96" s="525"/>
      <c r="BS96" s="525"/>
      <c r="BT96" s="525"/>
      <c r="BU96" s="525"/>
      <c r="BV96" s="525"/>
      <c r="BW96" s="525"/>
      <c r="BX96" s="525"/>
      <c r="BY96" s="525"/>
      <c r="BZ96" s="525"/>
      <c r="CA96" s="525"/>
      <c r="CB96" s="525"/>
      <c r="CC96" s="525"/>
      <c r="CD96" s="525"/>
      <c r="CE96" s="525"/>
      <c r="CF96" s="525"/>
      <c r="CG96" s="525"/>
      <c r="CH96" s="525"/>
      <c r="CI96" s="525"/>
      <c r="CJ96" s="525"/>
      <c r="CK96" s="525"/>
      <c r="CL96" s="525"/>
      <c r="CM96" s="525"/>
      <c r="CN96" s="525"/>
      <c r="CO96" s="525"/>
      <c r="CP96" s="525"/>
      <c r="CQ96" s="525"/>
      <c r="CR96" s="525"/>
      <c r="CS96" s="525"/>
      <c r="CT96" s="525"/>
      <c r="CU96" s="525"/>
      <c r="CV96" s="525"/>
      <c r="CW96" s="525"/>
      <c r="CX96" s="525"/>
      <c r="CY96" s="525"/>
      <c r="CZ96" s="525"/>
      <c r="DA96" s="525"/>
      <c r="DB96" s="525"/>
      <c r="DC96" s="525"/>
      <c r="DD96" s="525"/>
      <c r="DE96" s="525"/>
      <c r="DF96" s="525"/>
      <c r="DG96" s="525"/>
      <c r="DH96" s="525"/>
      <c r="DI96" s="525"/>
      <c r="DJ96" s="525"/>
      <c r="DK96" s="525"/>
      <c r="DL96" s="525"/>
      <c r="DM96" s="525"/>
      <c r="DN96" s="525"/>
      <c r="DO96" s="525"/>
      <c r="DP96" s="525"/>
      <c r="DQ96" s="525"/>
      <c r="DR96" s="525"/>
      <c r="DS96" s="525"/>
      <c r="DT96" s="525"/>
      <c r="DU96" s="525"/>
      <c r="DV96" s="525"/>
      <c r="DW96" s="525"/>
      <c r="DX96" s="525"/>
      <c r="DY96" s="525"/>
      <c r="DZ96" s="525"/>
      <c r="EA96" s="525"/>
      <c r="EB96" s="525"/>
      <c r="EC96" s="525"/>
      <c r="ED96" s="525"/>
      <c r="EE96" s="525"/>
      <c r="EF96" s="525"/>
      <c r="EG96" s="525"/>
      <c r="EH96" s="525"/>
      <c r="EI96" s="525"/>
      <c r="EJ96" s="525"/>
      <c r="EK96" s="525"/>
      <c r="EL96" s="525"/>
      <c r="EM96" s="525"/>
      <c r="EN96" s="525"/>
      <c r="EO96" s="525"/>
      <c r="EP96" s="525"/>
      <c r="EQ96" s="525"/>
      <c r="ER96" s="525"/>
      <c r="ES96" s="525"/>
      <c r="ET96" s="525"/>
      <c r="EU96" s="525"/>
      <c r="EV96" s="525"/>
      <c r="EW96" s="525"/>
      <c r="EX96" s="525"/>
      <c r="EY96" s="525"/>
      <c r="EZ96" s="525"/>
      <c r="FA96" s="525"/>
      <c r="FB96" s="525"/>
      <c r="FC96" s="525"/>
      <c r="FD96" s="525"/>
      <c r="FE96" s="525"/>
      <c r="FF96" s="525"/>
      <c r="FG96" s="525"/>
      <c r="FH96" s="525"/>
      <c r="FI96" s="525"/>
      <c r="FJ96" s="525"/>
      <c r="FK96" s="525"/>
      <c r="FL96" s="525"/>
      <c r="FM96" s="525"/>
      <c r="FN96" s="525"/>
      <c r="FO96" s="525"/>
      <c r="FP96" s="525"/>
      <c r="FQ96" s="525"/>
      <c r="FR96" s="525"/>
      <c r="FS96" s="525"/>
      <c r="FT96" s="525"/>
      <c r="FU96" s="525"/>
      <c r="FV96" s="525"/>
      <c r="FW96" s="525"/>
      <c r="FX96" s="525"/>
      <c r="FY96" s="525"/>
      <c r="FZ96" s="525"/>
      <c r="GA96" s="525"/>
      <c r="GB96" s="525"/>
      <c r="GC96" s="525"/>
      <c r="GD96" s="525"/>
      <c r="GE96" s="525"/>
      <c r="GF96" s="525"/>
      <c r="GG96" s="525"/>
      <c r="GH96" s="525"/>
      <c r="GI96" s="525"/>
      <c r="GJ96" s="525"/>
      <c r="GK96" s="525"/>
      <c r="GL96" s="525"/>
      <c r="GM96" s="525"/>
      <c r="GN96" s="525"/>
      <c r="GO96" s="525"/>
      <c r="GP96" s="525"/>
      <c r="GQ96" s="525"/>
      <c r="GR96" s="525"/>
      <c r="GS96" s="525"/>
      <c r="GT96" s="525"/>
      <c r="GU96" s="525"/>
      <c r="GV96" s="525"/>
      <c r="GW96" s="525"/>
      <c r="GX96" s="525"/>
      <c r="GY96" s="525"/>
      <c r="GZ96" s="525"/>
      <c r="HA96" s="525"/>
      <c r="HB96" s="525"/>
      <c r="HC96" s="525"/>
      <c r="HD96" s="525"/>
      <c r="HE96" s="525"/>
      <c r="HF96" s="525"/>
      <c r="HG96" s="525"/>
      <c r="HH96" s="525"/>
      <c r="HI96" s="525"/>
      <c r="HJ96" s="525"/>
      <c r="HK96" s="525"/>
      <c r="HL96" s="525"/>
      <c r="HM96" s="525"/>
      <c r="HN96" s="525"/>
      <c r="HO96" s="525"/>
      <c r="HP96" s="525"/>
      <c r="HQ96" s="525"/>
      <c r="HR96" s="525"/>
      <c r="HS96" s="525"/>
      <c r="HT96" s="525"/>
      <c r="HU96" s="525"/>
      <c r="HV96" s="525"/>
      <c r="HW96" s="525"/>
      <c r="HX96" s="525"/>
      <c r="HY96" s="525"/>
      <c r="HZ96" s="525"/>
      <c r="IA96" s="525"/>
      <c r="IB96" s="525"/>
      <c r="IC96" s="525"/>
      <c r="ID96" s="525"/>
      <c r="IE96" s="525"/>
      <c r="IF96" s="525"/>
      <c r="IG96" s="525"/>
      <c r="IH96" s="525"/>
      <c r="II96" s="525"/>
      <c r="IJ96" s="525"/>
      <c r="IK96" s="525"/>
    </row>
    <row r="97" spans="2:37" ht="20.100000000000001" customHeight="1" x14ac:dyDescent="0.3">
      <c r="B97" s="985"/>
      <c r="C97" s="986"/>
      <c r="D97" s="986"/>
      <c r="E97" s="986"/>
      <c r="F97" s="986"/>
      <c r="G97" s="986"/>
      <c r="H97" s="525"/>
      <c r="I97" s="2605">
        <f t="shared" si="63"/>
        <v>73</v>
      </c>
      <c r="J97" s="2607">
        <f t="shared" si="53"/>
        <v>0</v>
      </c>
      <c r="K97" s="2606">
        <f t="shared" si="73"/>
        <v>0</v>
      </c>
      <c r="L97" s="2608">
        <f t="shared" si="58"/>
        <v>0</v>
      </c>
      <c r="M97" s="2607">
        <f t="shared" si="64"/>
        <v>0</v>
      </c>
      <c r="N97" s="525"/>
      <c r="O97" s="2605">
        <f t="shared" si="65"/>
        <v>73</v>
      </c>
      <c r="P97" s="2607">
        <f t="shared" si="54"/>
        <v>0</v>
      </c>
      <c r="Q97" s="2606">
        <f t="shared" si="74"/>
        <v>0</v>
      </c>
      <c r="R97" s="2608">
        <f t="shared" si="59"/>
        <v>0</v>
      </c>
      <c r="S97" s="2607">
        <f t="shared" si="66"/>
        <v>0</v>
      </c>
      <c r="T97" s="525"/>
      <c r="U97" s="2605">
        <f t="shared" si="67"/>
        <v>73</v>
      </c>
      <c r="V97" s="2607">
        <f t="shared" si="55"/>
        <v>0</v>
      </c>
      <c r="W97" s="2606">
        <f t="shared" si="75"/>
        <v>0</v>
      </c>
      <c r="X97" s="2608">
        <f t="shared" si="60"/>
        <v>0</v>
      </c>
      <c r="Y97" s="2607">
        <f t="shared" si="68"/>
        <v>0</v>
      </c>
      <c r="Z97" s="525"/>
      <c r="AA97" s="2605">
        <f t="shared" si="69"/>
        <v>73</v>
      </c>
      <c r="AB97" s="2607">
        <f t="shared" si="56"/>
        <v>0</v>
      </c>
      <c r="AC97" s="2606">
        <f t="shared" si="76"/>
        <v>0</v>
      </c>
      <c r="AD97" s="2608">
        <f t="shared" si="61"/>
        <v>0</v>
      </c>
      <c r="AE97" s="2607">
        <f t="shared" si="70"/>
        <v>0</v>
      </c>
      <c r="AF97" s="525"/>
      <c r="AG97" s="2605">
        <f t="shared" si="71"/>
        <v>73</v>
      </c>
      <c r="AH97" s="2607">
        <f t="shared" si="57"/>
        <v>0</v>
      </c>
      <c r="AI97" s="2606">
        <f t="shared" si="77"/>
        <v>0</v>
      </c>
      <c r="AJ97" s="2608">
        <f t="shared" si="62"/>
        <v>0</v>
      </c>
      <c r="AK97" s="2607">
        <f t="shared" si="72"/>
        <v>0</v>
      </c>
    </row>
    <row r="98" spans="2:37" ht="20.100000000000001" customHeight="1" x14ac:dyDescent="0.3">
      <c r="B98" s="985"/>
      <c r="C98" s="986"/>
      <c r="D98" s="986"/>
      <c r="E98" s="986"/>
      <c r="F98" s="986"/>
      <c r="G98" s="986"/>
      <c r="H98" s="525"/>
      <c r="I98" s="2605">
        <f t="shared" si="63"/>
        <v>74</v>
      </c>
      <c r="J98" s="2607">
        <f t="shared" si="53"/>
        <v>0</v>
      </c>
      <c r="K98" s="2606">
        <f t="shared" si="73"/>
        <v>0</v>
      </c>
      <c r="L98" s="2608">
        <f t="shared" si="58"/>
        <v>0</v>
      </c>
      <c r="M98" s="2607">
        <f t="shared" si="64"/>
        <v>0</v>
      </c>
      <c r="N98" s="525"/>
      <c r="O98" s="2605">
        <f t="shared" si="65"/>
        <v>74</v>
      </c>
      <c r="P98" s="2607">
        <f t="shared" si="54"/>
        <v>0</v>
      </c>
      <c r="Q98" s="2606">
        <f t="shared" si="74"/>
        <v>0</v>
      </c>
      <c r="R98" s="2608">
        <f t="shared" si="59"/>
        <v>0</v>
      </c>
      <c r="S98" s="2607">
        <f t="shared" si="66"/>
        <v>0</v>
      </c>
      <c r="T98" s="525"/>
      <c r="U98" s="2605">
        <f t="shared" si="67"/>
        <v>74</v>
      </c>
      <c r="V98" s="2607">
        <f t="shared" si="55"/>
        <v>0</v>
      </c>
      <c r="W98" s="2606">
        <f t="shared" si="75"/>
        <v>0</v>
      </c>
      <c r="X98" s="2608">
        <f t="shared" si="60"/>
        <v>0</v>
      </c>
      <c r="Y98" s="2607">
        <f t="shared" si="68"/>
        <v>0</v>
      </c>
      <c r="Z98" s="525"/>
      <c r="AA98" s="2605">
        <f t="shared" si="69"/>
        <v>74</v>
      </c>
      <c r="AB98" s="2607">
        <f t="shared" si="56"/>
        <v>0</v>
      </c>
      <c r="AC98" s="2606">
        <f t="shared" si="76"/>
        <v>0</v>
      </c>
      <c r="AD98" s="2608">
        <f t="shared" si="61"/>
        <v>0</v>
      </c>
      <c r="AE98" s="2607">
        <f t="shared" si="70"/>
        <v>0</v>
      </c>
      <c r="AF98" s="525"/>
      <c r="AG98" s="2605">
        <f t="shared" si="71"/>
        <v>74</v>
      </c>
      <c r="AH98" s="2607">
        <f t="shared" si="57"/>
        <v>0</v>
      </c>
      <c r="AI98" s="2606">
        <f t="shared" si="77"/>
        <v>0</v>
      </c>
      <c r="AJ98" s="2608">
        <f t="shared" si="62"/>
        <v>0</v>
      </c>
      <c r="AK98" s="2607">
        <f t="shared" si="72"/>
        <v>0</v>
      </c>
    </row>
    <row r="99" spans="2:37" ht="20.100000000000001" customHeight="1" x14ac:dyDescent="0.3">
      <c r="B99" s="985"/>
      <c r="C99" s="986"/>
      <c r="D99" s="986"/>
      <c r="E99" s="986"/>
      <c r="F99" s="986"/>
      <c r="G99" s="986"/>
      <c r="H99" s="525"/>
      <c r="I99" s="2605">
        <f t="shared" si="63"/>
        <v>75</v>
      </c>
      <c r="J99" s="2607">
        <f t="shared" si="53"/>
        <v>0</v>
      </c>
      <c r="K99" s="2606">
        <f t="shared" si="73"/>
        <v>0</v>
      </c>
      <c r="L99" s="2608">
        <f t="shared" si="58"/>
        <v>0</v>
      </c>
      <c r="M99" s="2607">
        <f t="shared" si="64"/>
        <v>0</v>
      </c>
      <c r="N99" s="525"/>
      <c r="O99" s="2605">
        <f t="shared" si="65"/>
        <v>75</v>
      </c>
      <c r="P99" s="2607">
        <f t="shared" si="54"/>
        <v>0</v>
      </c>
      <c r="Q99" s="2606">
        <f t="shared" si="74"/>
        <v>0</v>
      </c>
      <c r="R99" s="2608">
        <f t="shared" si="59"/>
        <v>0</v>
      </c>
      <c r="S99" s="2607">
        <f t="shared" si="66"/>
        <v>0</v>
      </c>
      <c r="T99" s="525"/>
      <c r="U99" s="2605">
        <f t="shared" si="67"/>
        <v>75</v>
      </c>
      <c r="V99" s="2607">
        <f t="shared" si="55"/>
        <v>0</v>
      </c>
      <c r="W99" s="2606">
        <f t="shared" si="75"/>
        <v>0</v>
      </c>
      <c r="X99" s="2608">
        <f t="shared" si="60"/>
        <v>0</v>
      </c>
      <c r="Y99" s="2607">
        <f t="shared" si="68"/>
        <v>0</v>
      </c>
      <c r="Z99" s="525"/>
      <c r="AA99" s="2605">
        <f t="shared" si="69"/>
        <v>75</v>
      </c>
      <c r="AB99" s="2607">
        <f t="shared" si="56"/>
        <v>0</v>
      </c>
      <c r="AC99" s="2606">
        <f t="shared" si="76"/>
        <v>0</v>
      </c>
      <c r="AD99" s="2608">
        <f t="shared" si="61"/>
        <v>0</v>
      </c>
      <c r="AE99" s="2607">
        <f t="shared" si="70"/>
        <v>0</v>
      </c>
      <c r="AF99" s="525"/>
      <c r="AG99" s="2605">
        <f t="shared" si="71"/>
        <v>75</v>
      </c>
      <c r="AH99" s="2607">
        <f t="shared" si="57"/>
        <v>0</v>
      </c>
      <c r="AI99" s="2606">
        <f t="shared" si="77"/>
        <v>0</v>
      </c>
      <c r="AJ99" s="2608">
        <f t="shared" si="62"/>
        <v>0</v>
      </c>
      <c r="AK99" s="2607">
        <f t="shared" si="72"/>
        <v>0</v>
      </c>
    </row>
    <row r="100" spans="2:37" ht="20.100000000000001" customHeight="1" x14ac:dyDescent="0.3">
      <c r="B100" s="985"/>
      <c r="C100" s="986"/>
      <c r="D100" s="986"/>
      <c r="E100" s="986"/>
      <c r="F100" s="986"/>
      <c r="G100" s="986"/>
      <c r="H100" s="525"/>
      <c r="I100" s="2605">
        <f t="shared" si="63"/>
        <v>76</v>
      </c>
      <c r="J100" s="2607">
        <f t="shared" si="53"/>
        <v>0</v>
      </c>
      <c r="K100" s="2606">
        <f t="shared" si="73"/>
        <v>0</v>
      </c>
      <c r="L100" s="2608">
        <f t="shared" si="58"/>
        <v>0</v>
      </c>
      <c r="M100" s="2607">
        <f t="shared" si="64"/>
        <v>0</v>
      </c>
      <c r="N100" s="525"/>
      <c r="O100" s="2605">
        <f t="shared" si="65"/>
        <v>76</v>
      </c>
      <c r="P100" s="2607">
        <f t="shared" si="54"/>
        <v>0</v>
      </c>
      <c r="Q100" s="2606">
        <f t="shared" si="74"/>
        <v>0</v>
      </c>
      <c r="R100" s="2608">
        <f t="shared" si="59"/>
        <v>0</v>
      </c>
      <c r="S100" s="2607">
        <f t="shared" si="66"/>
        <v>0</v>
      </c>
      <c r="T100" s="525"/>
      <c r="U100" s="2605">
        <f t="shared" si="67"/>
        <v>76</v>
      </c>
      <c r="V100" s="2607">
        <f t="shared" si="55"/>
        <v>0</v>
      </c>
      <c r="W100" s="2606">
        <f t="shared" si="75"/>
        <v>0</v>
      </c>
      <c r="X100" s="2608">
        <f t="shared" si="60"/>
        <v>0</v>
      </c>
      <c r="Y100" s="2607">
        <f t="shared" si="68"/>
        <v>0</v>
      </c>
      <c r="Z100" s="525"/>
      <c r="AA100" s="2605">
        <f t="shared" si="69"/>
        <v>76</v>
      </c>
      <c r="AB100" s="2607">
        <f t="shared" si="56"/>
        <v>0</v>
      </c>
      <c r="AC100" s="2606">
        <f t="shared" si="76"/>
        <v>0</v>
      </c>
      <c r="AD100" s="2608">
        <f t="shared" si="61"/>
        <v>0</v>
      </c>
      <c r="AE100" s="2607">
        <f t="shared" si="70"/>
        <v>0</v>
      </c>
      <c r="AF100" s="525"/>
      <c r="AG100" s="2605">
        <f t="shared" si="71"/>
        <v>76</v>
      </c>
      <c r="AH100" s="2607">
        <f t="shared" si="57"/>
        <v>0</v>
      </c>
      <c r="AI100" s="2606">
        <f t="shared" si="77"/>
        <v>0</v>
      </c>
      <c r="AJ100" s="2608">
        <f t="shared" si="62"/>
        <v>0</v>
      </c>
      <c r="AK100" s="2607">
        <f t="shared" si="72"/>
        <v>0</v>
      </c>
    </row>
    <row r="101" spans="2:37" ht="20.100000000000001" customHeight="1" x14ac:dyDescent="0.3">
      <c r="B101" s="985"/>
      <c r="C101" s="986"/>
      <c r="D101" s="986"/>
      <c r="E101" s="986"/>
      <c r="F101" s="986"/>
      <c r="G101" s="986"/>
      <c r="H101" s="525"/>
      <c r="I101" s="2605">
        <f t="shared" si="63"/>
        <v>77</v>
      </c>
      <c r="J101" s="2607">
        <f t="shared" si="53"/>
        <v>0</v>
      </c>
      <c r="K101" s="2606">
        <f t="shared" si="73"/>
        <v>0</v>
      </c>
      <c r="L101" s="2608">
        <f t="shared" si="58"/>
        <v>0</v>
      </c>
      <c r="M101" s="2607">
        <f t="shared" si="64"/>
        <v>0</v>
      </c>
      <c r="N101" s="525"/>
      <c r="O101" s="2605">
        <f t="shared" si="65"/>
        <v>77</v>
      </c>
      <c r="P101" s="2607">
        <f t="shared" si="54"/>
        <v>0</v>
      </c>
      <c r="Q101" s="2606">
        <f t="shared" si="74"/>
        <v>0</v>
      </c>
      <c r="R101" s="2608">
        <f t="shared" si="59"/>
        <v>0</v>
      </c>
      <c r="S101" s="2607">
        <f t="shared" si="66"/>
        <v>0</v>
      </c>
      <c r="T101" s="525"/>
      <c r="U101" s="2605">
        <f t="shared" si="67"/>
        <v>77</v>
      </c>
      <c r="V101" s="2607">
        <f t="shared" si="55"/>
        <v>0</v>
      </c>
      <c r="W101" s="2606">
        <f t="shared" si="75"/>
        <v>0</v>
      </c>
      <c r="X101" s="2608">
        <f t="shared" si="60"/>
        <v>0</v>
      </c>
      <c r="Y101" s="2607">
        <f t="shared" si="68"/>
        <v>0</v>
      </c>
      <c r="Z101" s="525"/>
      <c r="AA101" s="2605">
        <f t="shared" si="69"/>
        <v>77</v>
      </c>
      <c r="AB101" s="2607">
        <f t="shared" si="56"/>
        <v>0</v>
      </c>
      <c r="AC101" s="2606">
        <f t="shared" si="76"/>
        <v>0</v>
      </c>
      <c r="AD101" s="2608">
        <f t="shared" si="61"/>
        <v>0</v>
      </c>
      <c r="AE101" s="2607">
        <f t="shared" si="70"/>
        <v>0</v>
      </c>
      <c r="AF101" s="525"/>
      <c r="AG101" s="2605">
        <f t="shared" si="71"/>
        <v>77</v>
      </c>
      <c r="AH101" s="2607">
        <f t="shared" si="57"/>
        <v>0</v>
      </c>
      <c r="AI101" s="2606">
        <f t="shared" si="77"/>
        <v>0</v>
      </c>
      <c r="AJ101" s="2608">
        <f t="shared" si="62"/>
        <v>0</v>
      </c>
      <c r="AK101" s="2607">
        <f t="shared" si="72"/>
        <v>0</v>
      </c>
    </row>
    <row r="102" spans="2:37" ht="20.100000000000001" customHeight="1" x14ac:dyDescent="0.3">
      <c r="B102" s="985"/>
      <c r="C102" s="986"/>
      <c r="D102" s="986"/>
      <c r="E102" s="986"/>
      <c r="F102" s="986"/>
      <c r="G102" s="986"/>
      <c r="H102" s="525"/>
      <c r="I102" s="2605">
        <f t="shared" si="63"/>
        <v>78</v>
      </c>
      <c r="J102" s="2607">
        <f t="shared" si="53"/>
        <v>0</v>
      </c>
      <c r="K102" s="2606">
        <f t="shared" si="73"/>
        <v>0</v>
      </c>
      <c r="L102" s="2608">
        <f t="shared" si="58"/>
        <v>0</v>
      </c>
      <c r="M102" s="2607">
        <f t="shared" si="64"/>
        <v>0</v>
      </c>
      <c r="N102" s="525"/>
      <c r="O102" s="2605">
        <f t="shared" si="65"/>
        <v>78</v>
      </c>
      <c r="P102" s="2607">
        <f t="shared" si="54"/>
        <v>0</v>
      </c>
      <c r="Q102" s="2606">
        <f t="shared" si="74"/>
        <v>0</v>
      </c>
      <c r="R102" s="2608">
        <f t="shared" si="59"/>
        <v>0</v>
      </c>
      <c r="S102" s="2607">
        <f t="shared" si="66"/>
        <v>0</v>
      </c>
      <c r="T102" s="525"/>
      <c r="U102" s="2605">
        <f t="shared" si="67"/>
        <v>78</v>
      </c>
      <c r="V102" s="2607">
        <f t="shared" si="55"/>
        <v>0</v>
      </c>
      <c r="W102" s="2606">
        <f t="shared" si="75"/>
        <v>0</v>
      </c>
      <c r="X102" s="2608">
        <f t="shared" si="60"/>
        <v>0</v>
      </c>
      <c r="Y102" s="2607">
        <f t="shared" si="68"/>
        <v>0</v>
      </c>
      <c r="Z102" s="525"/>
      <c r="AA102" s="2605">
        <f t="shared" si="69"/>
        <v>78</v>
      </c>
      <c r="AB102" s="2607">
        <f t="shared" si="56"/>
        <v>0</v>
      </c>
      <c r="AC102" s="2606">
        <f t="shared" si="76"/>
        <v>0</v>
      </c>
      <c r="AD102" s="2608">
        <f t="shared" si="61"/>
        <v>0</v>
      </c>
      <c r="AE102" s="2607">
        <f t="shared" si="70"/>
        <v>0</v>
      </c>
      <c r="AF102" s="525"/>
      <c r="AG102" s="2605">
        <f t="shared" si="71"/>
        <v>78</v>
      </c>
      <c r="AH102" s="2607">
        <f t="shared" si="57"/>
        <v>0</v>
      </c>
      <c r="AI102" s="2606">
        <f t="shared" si="77"/>
        <v>0</v>
      </c>
      <c r="AJ102" s="2608">
        <f t="shared" si="62"/>
        <v>0</v>
      </c>
      <c r="AK102" s="2607">
        <f t="shared" si="72"/>
        <v>0</v>
      </c>
    </row>
    <row r="103" spans="2:37" ht="20.100000000000001" customHeight="1" x14ac:dyDescent="0.3">
      <c r="B103" s="985"/>
      <c r="C103" s="986"/>
      <c r="D103" s="986"/>
      <c r="E103" s="986"/>
      <c r="F103" s="986"/>
      <c r="G103" s="986"/>
      <c r="H103" s="525"/>
      <c r="I103" s="2605">
        <f t="shared" si="63"/>
        <v>79</v>
      </c>
      <c r="J103" s="2607">
        <f t="shared" si="53"/>
        <v>0</v>
      </c>
      <c r="K103" s="2606">
        <f t="shared" si="73"/>
        <v>0</v>
      </c>
      <c r="L103" s="2608">
        <f t="shared" si="58"/>
        <v>0</v>
      </c>
      <c r="M103" s="2607">
        <f t="shared" si="64"/>
        <v>0</v>
      </c>
      <c r="N103" s="525"/>
      <c r="O103" s="2605">
        <f t="shared" si="65"/>
        <v>79</v>
      </c>
      <c r="P103" s="2607">
        <f t="shared" si="54"/>
        <v>0</v>
      </c>
      <c r="Q103" s="2606">
        <f t="shared" si="74"/>
        <v>0</v>
      </c>
      <c r="R103" s="2608">
        <f t="shared" si="59"/>
        <v>0</v>
      </c>
      <c r="S103" s="2607">
        <f t="shared" si="66"/>
        <v>0</v>
      </c>
      <c r="T103" s="525"/>
      <c r="U103" s="2605">
        <f t="shared" si="67"/>
        <v>79</v>
      </c>
      <c r="V103" s="2607">
        <f t="shared" si="55"/>
        <v>0</v>
      </c>
      <c r="W103" s="2606">
        <f t="shared" si="75"/>
        <v>0</v>
      </c>
      <c r="X103" s="2608">
        <f t="shared" si="60"/>
        <v>0</v>
      </c>
      <c r="Y103" s="2607">
        <f t="shared" si="68"/>
        <v>0</v>
      </c>
      <c r="Z103" s="525"/>
      <c r="AA103" s="2605">
        <f t="shared" si="69"/>
        <v>79</v>
      </c>
      <c r="AB103" s="2607">
        <f t="shared" si="56"/>
        <v>0</v>
      </c>
      <c r="AC103" s="2606">
        <f t="shared" si="76"/>
        <v>0</v>
      </c>
      <c r="AD103" s="2608">
        <f t="shared" si="61"/>
        <v>0</v>
      </c>
      <c r="AE103" s="2607">
        <f t="shared" si="70"/>
        <v>0</v>
      </c>
      <c r="AF103" s="525"/>
      <c r="AG103" s="2605">
        <f t="shared" si="71"/>
        <v>79</v>
      </c>
      <c r="AH103" s="2607">
        <f t="shared" si="57"/>
        <v>0</v>
      </c>
      <c r="AI103" s="2606">
        <f t="shared" si="77"/>
        <v>0</v>
      </c>
      <c r="AJ103" s="2608">
        <f t="shared" si="62"/>
        <v>0</v>
      </c>
      <c r="AK103" s="2607">
        <f t="shared" si="72"/>
        <v>0</v>
      </c>
    </row>
    <row r="104" spans="2:37" ht="20.100000000000001" customHeight="1" x14ac:dyDescent="0.3">
      <c r="B104" s="985"/>
      <c r="C104" s="986"/>
      <c r="D104" s="986"/>
      <c r="E104" s="986"/>
      <c r="F104" s="986"/>
      <c r="G104" s="986"/>
      <c r="H104" s="525"/>
      <c r="I104" s="2605">
        <f t="shared" si="63"/>
        <v>80</v>
      </c>
      <c r="J104" s="2607">
        <f t="shared" si="53"/>
        <v>0</v>
      </c>
      <c r="K104" s="2606">
        <f t="shared" si="73"/>
        <v>0</v>
      </c>
      <c r="L104" s="2608">
        <f t="shared" si="58"/>
        <v>0</v>
      </c>
      <c r="M104" s="2607">
        <f t="shared" si="64"/>
        <v>0</v>
      </c>
      <c r="N104" s="525"/>
      <c r="O104" s="2605">
        <f t="shared" si="65"/>
        <v>80</v>
      </c>
      <c r="P104" s="2607">
        <f t="shared" si="54"/>
        <v>0</v>
      </c>
      <c r="Q104" s="2606">
        <f t="shared" si="74"/>
        <v>0</v>
      </c>
      <c r="R104" s="2608">
        <f t="shared" si="59"/>
        <v>0</v>
      </c>
      <c r="S104" s="2607">
        <f t="shared" si="66"/>
        <v>0</v>
      </c>
      <c r="T104" s="525"/>
      <c r="U104" s="2605">
        <f t="shared" si="67"/>
        <v>80</v>
      </c>
      <c r="V104" s="2607">
        <f t="shared" si="55"/>
        <v>0</v>
      </c>
      <c r="W104" s="2606">
        <f t="shared" si="75"/>
        <v>0</v>
      </c>
      <c r="X104" s="2608">
        <f t="shared" si="60"/>
        <v>0</v>
      </c>
      <c r="Y104" s="2607">
        <f t="shared" si="68"/>
        <v>0</v>
      </c>
      <c r="Z104" s="525"/>
      <c r="AA104" s="2605">
        <f t="shared" si="69"/>
        <v>80</v>
      </c>
      <c r="AB104" s="2607">
        <f t="shared" si="56"/>
        <v>0</v>
      </c>
      <c r="AC104" s="2606">
        <f t="shared" si="76"/>
        <v>0</v>
      </c>
      <c r="AD104" s="2608">
        <f t="shared" si="61"/>
        <v>0</v>
      </c>
      <c r="AE104" s="2607">
        <f t="shared" si="70"/>
        <v>0</v>
      </c>
      <c r="AF104" s="525"/>
      <c r="AG104" s="2605">
        <f t="shared" si="71"/>
        <v>80</v>
      </c>
      <c r="AH104" s="2607">
        <f t="shared" si="57"/>
        <v>0</v>
      </c>
      <c r="AI104" s="2606">
        <f t="shared" si="77"/>
        <v>0</v>
      </c>
      <c r="AJ104" s="2608">
        <f t="shared" si="62"/>
        <v>0</v>
      </c>
      <c r="AK104" s="2607">
        <f t="shared" si="72"/>
        <v>0</v>
      </c>
    </row>
    <row r="105" spans="2:37" ht="20.100000000000001" customHeight="1" x14ac:dyDescent="0.3">
      <c r="B105" s="985"/>
      <c r="C105" s="986"/>
      <c r="D105" s="986"/>
      <c r="E105" s="986"/>
      <c r="F105" s="986"/>
      <c r="G105" s="986"/>
      <c r="H105" s="525"/>
      <c r="I105" s="2605">
        <f t="shared" si="63"/>
        <v>81</v>
      </c>
      <c r="J105" s="2607">
        <f t="shared" si="53"/>
        <v>0</v>
      </c>
      <c r="K105" s="2606">
        <f t="shared" si="73"/>
        <v>0</v>
      </c>
      <c r="L105" s="2608">
        <f t="shared" si="58"/>
        <v>0</v>
      </c>
      <c r="M105" s="2607">
        <f t="shared" si="64"/>
        <v>0</v>
      </c>
      <c r="N105" s="525"/>
      <c r="O105" s="2605">
        <f t="shared" si="65"/>
        <v>81</v>
      </c>
      <c r="P105" s="2607">
        <f t="shared" si="54"/>
        <v>0</v>
      </c>
      <c r="Q105" s="2606">
        <f t="shared" si="74"/>
        <v>0</v>
      </c>
      <c r="R105" s="2608">
        <f t="shared" si="59"/>
        <v>0</v>
      </c>
      <c r="S105" s="2607">
        <f t="shared" si="66"/>
        <v>0</v>
      </c>
      <c r="T105" s="525"/>
      <c r="U105" s="2605">
        <f t="shared" si="67"/>
        <v>81</v>
      </c>
      <c r="V105" s="2607">
        <f t="shared" si="55"/>
        <v>0</v>
      </c>
      <c r="W105" s="2606">
        <f t="shared" si="75"/>
        <v>0</v>
      </c>
      <c r="X105" s="2608">
        <f t="shared" si="60"/>
        <v>0</v>
      </c>
      <c r="Y105" s="2607">
        <f t="shared" si="68"/>
        <v>0</v>
      </c>
      <c r="Z105" s="525"/>
      <c r="AA105" s="2605">
        <f t="shared" si="69"/>
        <v>81</v>
      </c>
      <c r="AB105" s="2607">
        <f t="shared" si="56"/>
        <v>0</v>
      </c>
      <c r="AC105" s="2606">
        <f t="shared" si="76"/>
        <v>0</v>
      </c>
      <c r="AD105" s="2608">
        <f t="shared" si="61"/>
        <v>0</v>
      </c>
      <c r="AE105" s="2607">
        <f t="shared" si="70"/>
        <v>0</v>
      </c>
      <c r="AF105" s="525"/>
      <c r="AG105" s="2605">
        <f t="shared" si="71"/>
        <v>81</v>
      </c>
      <c r="AH105" s="2607">
        <f t="shared" si="57"/>
        <v>0</v>
      </c>
      <c r="AI105" s="2606">
        <f t="shared" si="77"/>
        <v>0</v>
      </c>
      <c r="AJ105" s="2608">
        <f t="shared" si="62"/>
        <v>0</v>
      </c>
      <c r="AK105" s="2607">
        <f t="shared" si="72"/>
        <v>0</v>
      </c>
    </row>
    <row r="106" spans="2:37" ht="20.100000000000001" customHeight="1" x14ac:dyDescent="0.3">
      <c r="B106" s="985"/>
      <c r="C106" s="986"/>
      <c r="D106" s="986"/>
      <c r="E106" s="986"/>
      <c r="F106" s="986"/>
      <c r="G106" s="986"/>
      <c r="H106" s="525"/>
      <c r="I106" s="2605">
        <f t="shared" si="63"/>
        <v>82</v>
      </c>
      <c r="J106" s="2607">
        <f t="shared" si="53"/>
        <v>0</v>
      </c>
      <c r="K106" s="2606">
        <f t="shared" si="73"/>
        <v>0</v>
      </c>
      <c r="L106" s="2608">
        <f t="shared" ref="L106:L107" si="78">ROUND(IF(J106=0,0,IF(I106=annuité_emprunt1,M105,IF(I106&gt;différé_emprunt1,-PPMT((taux_emprunt1/périodicité_emprunt1),I106-différé_emprunt1,(annuité_emprunt1-différé_emprunt1),emprunt1),0))),2)</f>
        <v>0</v>
      </c>
      <c r="M106" s="2607">
        <f t="shared" si="64"/>
        <v>0</v>
      </c>
      <c r="N106" s="525"/>
      <c r="O106" s="2605">
        <f t="shared" si="65"/>
        <v>82</v>
      </c>
      <c r="P106" s="2607">
        <f t="shared" si="54"/>
        <v>0</v>
      </c>
      <c r="Q106" s="2606">
        <f t="shared" si="74"/>
        <v>0</v>
      </c>
      <c r="R106" s="2608">
        <f t="shared" ref="R106:R107" si="79">ROUND(IF(P106=0,0,IF(O106=annuité_emprunt2,S105,IF(O106&gt;différé_emprunt2,-PPMT((taux_emprunt2/périodicité_emprunt2),O106-différé_emprunt2,(annuité_emprunt2-différé_emprunt2),emprunt2),0))),2)</f>
        <v>0</v>
      </c>
      <c r="S106" s="2607">
        <f t="shared" si="66"/>
        <v>0</v>
      </c>
      <c r="T106" s="525"/>
      <c r="U106" s="2605">
        <f t="shared" si="67"/>
        <v>82</v>
      </c>
      <c r="V106" s="2607">
        <f t="shared" si="55"/>
        <v>0</v>
      </c>
      <c r="W106" s="2606">
        <f t="shared" si="75"/>
        <v>0</v>
      </c>
      <c r="X106" s="2608">
        <f t="shared" si="60"/>
        <v>0</v>
      </c>
      <c r="Y106" s="2607">
        <f t="shared" si="68"/>
        <v>0</v>
      </c>
      <c r="Z106" s="525"/>
      <c r="AA106" s="2605">
        <f t="shared" si="69"/>
        <v>82</v>
      </c>
      <c r="AB106" s="2607">
        <f t="shared" si="56"/>
        <v>0</v>
      </c>
      <c r="AC106" s="2606">
        <f t="shared" si="76"/>
        <v>0</v>
      </c>
      <c r="AD106" s="2608">
        <f t="shared" si="61"/>
        <v>0</v>
      </c>
      <c r="AE106" s="2607">
        <f t="shared" si="70"/>
        <v>0</v>
      </c>
      <c r="AF106" s="525"/>
      <c r="AG106" s="2605">
        <f t="shared" si="71"/>
        <v>82</v>
      </c>
      <c r="AH106" s="2607">
        <f t="shared" si="57"/>
        <v>0</v>
      </c>
      <c r="AI106" s="2606">
        <f t="shared" si="77"/>
        <v>0</v>
      </c>
      <c r="AJ106" s="2608">
        <f t="shared" si="62"/>
        <v>0</v>
      </c>
      <c r="AK106" s="2607">
        <f t="shared" si="72"/>
        <v>0</v>
      </c>
    </row>
    <row r="107" spans="2:37" ht="20.100000000000001" customHeight="1" x14ac:dyDescent="0.3">
      <c r="B107" s="985"/>
      <c r="C107" s="986"/>
      <c r="D107" s="986"/>
      <c r="E107" s="986"/>
      <c r="F107" s="986"/>
      <c r="G107" s="986"/>
      <c r="H107" s="525"/>
      <c r="I107" s="2605">
        <f t="shared" si="63"/>
        <v>83</v>
      </c>
      <c r="J107" s="2607">
        <f t="shared" si="53"/>
        <v>0</v>
      </c>
      <c r="K107" s="2606">
        <f t="shared" si="73"/>
        <v>0</v>
      </c>
      <c r="L107" s="2608">
        <f t="shared" si="78"/>
        <v>0</v>
      </c>
      <c r="M107" s="2607">
        <f t="shared" si="64"/>
        <v>0</v>
      </c>
      <c r="N107" s="525"/>
      <c r="O107" s="2605">
        <f t="shared" si="65"/>
        <v>83</v>
      </c>
      <c r="P107" s="2607">
        <f t="shared" si="54"/>
        <v>0</v>
      </c>
      <c r="Q107" s="2606">
        <f t="shared" si="74"/>
        <v>0</v>
      </c>
      <c r="R107" s="2608">
        <f t="shared" si="79"/>
        <v>0</v>
      </c>
      <c r="S107" s="2607">
        <f t="shared" si="66"/>
        <v>0</v>
      </c>
      <c r="T107" s="525"/>
      <c r="U107" s="2605">
        <f t="shared" si="67"/>
        <v>83</v>
      </c>
      <c r="V107" s="2607">
        <f t="shared" si="55"/>
        <v>0</v>
      </c>
      <c r="W107" s="2606">
        <f t="shared" si="75"/>
        <v>0</v>
      </c>
      <c r="X107" s="2608">
        <f t="shared" si="60"/>
        <v>0</v>
      </c>
      <c r="Y107" s="2607">
        <f t="shared" si="68"/>
        <v>0</v>
      </c>
      <c r="Z107" s="525"/>
      <c r="AA107" s="2605">
        <f t="shared" si="69"/>
        <v>83</v>
      </c>
      <c r="AB107" s="2607">
        <f t="shared" si="56"/>
        <v>0</v>
      </c>
      <c r="AC107" s="2606">
        <f t="shared" si="76"/>
        <v>0</v>
      </c>
      <c r="AD107" s="2608">
        <f t="shared" si="61"/>
        <v>0</v>
      </c>
      <c r="AE107" s="2607">
        <f t="shared" si="70"/>
        <v>0</v>
      </c>
      <c r="AF107" s="525"/>
      <c r="AG107" s="2605">
        <f t="shared" si="71"/>
        <v>83</v>
      </c>
      <c r="AH107" s="2607">
        <f t="shared" si="57"/>
        <v>0</v>
      </c>
      <c r="AI107" s="2606">
        <f t="shared" si="77"/>
        <v>0</v>
      </c>
      <c r="AJ107" s="2608">
        <f t="shared" si="62"/>
        <v>0</v>
      </c>
      <c r="AK107" s="2607">
        <f t="shared" si="72"/>
        <v>0</v>
      </c>
    </row>
    <row r="108" spans="2:37" ht="20.100000000000001" customHeight="1" x14ac:dyDescent="0.3">
      <c r="B108" s="985"/>
      <c r="C108" s="986"/>
      <c r="D108" s="986"/>
      <c r="E108" s="986"/>
      <c r="F108" s="986"/>
      <c r="G108" s="986"/>
      <c r="H108" s="525"/>
      <c r="I108" s="2605">
        <f t="shared" si="63"/>
        <v>84</v>
      </c>
      <c r="J108" s="2607">
        <f t="shared" si="53"/>
        <v>0</v>
      </c>
      <c r="K108" s="2606">
        <f t="shared" si="73"/>
        <v>0</v>
      </c>
      <c r="L108" s="2608">
        <f t="shared" ref="L108:L171" si="80">ROUND(IF(J108=0,0,IF(I108=annuité_emprunt1,M107,IF(I108&gt;différé_emprunt1,-PPMT((taux_emprunt1/périodicité_emprunt1),I108-différé_emprunt1,(annuité_emprunt1-différé_emprunt1),emprunt1),0))),2)</f>
        <v>0</v>
      </c>
      <c r="M108" s="2607">
        <f t="shared" si="64"/>
        <v>0</v>
      </c>
      <c r="N108" s="525"/>
      <c r="O108" s="2605">
        <f t="shared" si="65"/>
        <v>84</v>
      </c>
      <c r="P108" s="2607">
        <f t="shared" si="54"/>
        <v>0</v>
      </c>
      <c r="Q108" s="2606">
        <f t="shared" si="74"/>
        <v>0</v>
      </c>
      <c r="R108" s="2608">
        <f t="shared" ref="R108:R171" si="81">ROUND(IF(P108=0,0,IF(O108=annuité_emprunt2,S107,IF(O108&gt;différé_emprunt2,-PPMT((taux_emprunt2/périodicité_emprunt2),O108-différé_emprunt2,(annuité_emprunt2-différé_emprunt2),emprunt2),0))),2)</f>
        <v>0</v>
      </c>
      <c r="S108" s="2607">
        <f t="shared" si="66"/>
        <v>0</v>
      </c>
      <c r="T108" s="525"/>
      <c r="U108" s="2605">
        <f t="shared" si="67"/>
        <v>84</v>
      </c>
      <c r="V108" s="2607">
        <f t="shared" si="55"/>
        <v>0</v>
      </c>
      <c r="W108" s="2606">
        <f t="shared" si="75"/>
        <v>0</v>
      </c>
      <c r="X108" s="2608">
        <f t="shared" si="60"/>
        <v>0</v>
      </c>
      <c r="Y108" s="2607">
        <f t="shared" si="68"/>
        <v>0</v>
      </c>
      <c r="Z108" s="525"/>
      <c r="AA108" s="2605">
        <f t="shared" si="69"/>
        <v>84</v>
      </c>
      <c r="AB108" s="2607">
        <f t="shared" si="56"/>
        <v>0</v>
      </c>
      <c r="AC108" s="2606">
        <f t="shared" si="76"/>
        <v>0</v>
      </c>
      <c r="AD108" s="2608">
        <f t="shared" si="61"/>
        <v>0</v>
      </c>
      <c r="AE108" s="2607">
        <f t="shared" si="70"/>
        <v>0</v>
      </c>
      <c r="AF108" s="525"/>
      <c r="AG108" s="2605">
        <f t="shared" si="71"/>
        <v>84</v>
      </c>
      <c r="AH108" s="2607">
        <f t="shared" si="57"/>
        <v>0</v>
      </c>
      <c r="AI108" s="2606">
        <f t="shared" si="77"/>
        <v>0</v>
      </c>
      <c r="AJ108" s="2608">
        <f t="shared" si="62"/>
        <v>0</v>
      </c>
      <c r="AK108" s="2607">
        <f t="shared" si="72"/>
        <v>0</v>
      </c>
    </row>
    <row r="109" spans="2:37" ht="20.100000000000001" customHeight="1" x14ac:dyDescent="0.3">
      <c r="B109" s="985"/>
      <c r="C109" s="986"/>
      <c r="D109" s="986"/>
      <c r="E109" s="986"/>
      <c r="F109" s="986"/>
      <c r="G109" s="986"/>
      <c r="H109" s="525"/>
      <c r="I109" s="2605">
        <f t="shared" si="63"/>
        <v>85</v>
      </c>
      <c r="J109" s="2607">
        <f t="shared" si="53"/>
        <v>0</v>
      </c>
      <c r="K109" s="2606">
        <f t="shared" si="73"/>
        <v>0</v>
      </c>
      <c r="L109" s="2608">
        <f t="shared" si="80"/>
        <v>0</v>
      </c>
      <c r="M109" s="2607">
        <f t="shared" si="64"/>
        <v>0</v>
      </c>
      <c r="N109" s="525"/>
      <c r="O109" s="2605">
        <f t="shared" si="65"/>
        <v>85</v>
      </c>
      <c r="P109" s="2607">
        <f t="shared" si="54"/>
        <v>0</v>
      </c>
      <c r="Q109" s="2606">
        <f t="shared" si="74"/>
        <v>0</v>
      </c>
      <c r="R109" s="2608">
        <f t="shared" si="81"/>
        <v>0</v>
      </c>
      <c r="S109" s="2607">
        <f t="shared" si="66"/>
        <v>0</v>
      </c>
      <c r="T109" s="525"/>
      <c r="U109" s="2605">
        <f t="shared" si="67"/>
        <v>85</v>
      </c>
      <c r="V109" s="2607">
        <f t="shared" si="55"/>
        <v>0</v>
      </c>
      <c r="W109" s="2606">
        <f t="shared" si="75"/>
        <v>0</v>
      </c>
      <c r="X109" s="2608">
        <f t="shared" si="60"/>
        <v>0</v>
      </c>
      <c r="Y109" s="2607">
        <f t="shared" si="68"/>
        <v>0</v>
      </c>
      <c r="Z109" s="525"/>
      <c r="AA109" s="2605">
        <f t="shared" si="69"/>
        <v>85</v>
      </c>
      <c r="AB109" s="2607">
        <f t="shared" si="56"/>
        <v>0</v>
      </c>
      <c r="AC109" s="2606">
        <f t="shared" si="76"/>
        <v>0</v>
      </c>
      <c r="AD109" s="2608">
        <f t="shared" si="61"/>
        <v>0</v>
      </c>
      <c r="AE109" s="2607">
        <f t="shared" si="70"/>
        <v>0</v>
      </c>
      <c r="AF109" s="525"/>
      <c r="AG109" s="2605">
        <f t="shared" si="71"/>
        <v>85</v>
      </c>
      <c r="AH109" s="2607">
        <f t="shared" si="57"/>
        <v>0</v>
      </c>
      <c r="AI109" s="2606">
        <f t="shared" si="77"/>
        <v>0</v>
      </c>
      <c r="AJ109" s="2608">
        <f t="shared" si="62"/>
        <v>0</v>
      </c>
      <c r="AK109" s="2607">
        <f t="shared" si="72"/>
        <v>0</v>
      </c>
    </row>
    <row r="110" spans="2:37" ht="20.100000000000001" customHeight="1" x14ac:dyDescent="0.3">
      <c r="B110" s="985"/>
      <c r="C110" s="986"/>
      <c r="D110" s="986"/>
      <c r="E110" s="986"/>
      <c r="F110" s="986"/>
      <c r="G110" s="986"/>
      <c r="H110" s="525"/>
      <c r="I110" s="2605">
        <f t="shared" si="63"/>
        <v>86</v>
      </c>
      <c r="J110" s="2607">
        <f t="shared" si="53"/>
        <v>0</v>
      </c>
      <c r="K110" s="2606">
        <f t="shared" si="73"/>
        <v>0</v>
      </c>
      <c r="L110" s="2608">
        <f t="shared" si="80"/>
        <v>0</v>
      </c>
      <c r="M110" s="2607">
        <f t="shared" si="64"/>
        <v>0</v>
      </c>
      <c r="N110" s="525"/>
      <c r="O110" s="2605">
        <f t="shared" si="65"/>
        <v>86</v>
      </c>
      <c r="P110" s="2607">
        <f t="shared" si="54"/>
        <v>0</v>
      </c>
      <c r="Q110" s="2606">
        <f t="shared" si="74"/>
        <v>0</v>
      </c>
      <c r="R110" s="2608">
        <f t="shared" si="81"/>
        <v>0</v>
      </c>
      <c r="S110" s="2607">
        <f t="shared" si="66"/>
        <v>0</v>
      </c>
      <c r="T110" s="525"/>
      <c r="U110" s="2605">
        <f t="shared" si="67"/>
        <v>86</v>
      </c>
      <c r="V110" s="2607">
        <f t="shared" si="55"/>
        <v>0</v>
      </c>
      <c r="W110" s="2606">
        <f t="shared" si="75"/>
        <v>0</v>
      </c>
      <c r="X110" s="2608">
        <f t="shared" si="60"/>
        <v>0</v>
      </c>
      <c r="Y110" s="2607">
        <f t="shared" si="68"/>
        <v>0</v>
      </c>
      <c r="Z110" s="525"/>
      <c r="AA110" s="2605">
        <f t="shared" si="69"/>
        <v>86</v>
      </c>
      <c r="AB110" s="2607">
        <f t="shared" si="56"/>
        <v>0</v>
      </c>
      <c r="AC110" s="2606">
        <f t="shared" si="76"/>
        <v>0</v>
      </c>
      <c r="AD110" s="2608">
        <f t="shared" si="61"/>
        <v>0</v>
      </c>
      <c r="AE110" s="2607">
        <f t="shared" si="70"/>
        <v>0</v>
      </c>
      <c r="AF110" s="525"/>
      <c r="AG110" s="2605">
        <f t="shared" si="71"/>
        <v>86</v>
      </c>
      <c r="AH110" s="2607">
        <f t="shared" si="57"/>
        <v>0</v>
      </c>
      <c r="AI110" s="2606">
        <f t="shared" si="77"/>
        <v>0</v>
      </c>
      <c r="AJ110" s="2608">
        <f t="shared" si="62"/>
        <v>0</v>
      </c>
      <c r="AK110" s="2607">
        <f t="shared" si="72"/>
        <v>0</v>
      </c>
    </row>
    <row r="111" spans="2:37" ht="20.100000000000001" customHeight="1" x14ac:dyDescent="0.3">
      <c r="B111" s="985"/>
      <c r="C111" s="986"/>
      <c r="D111" s="986"/>
      <c r="E111" s="986"/>
      <c r="F111" s="986"/>
      <c r="G111" s="986"/>
      <c r="H111" s="525"/>
      <c r="I111" s="2605">
        <f t="shared" si="63"/>
        <v>87</v>
      </c>
      <c r="J111" s="2607">
        <f t="shared" si="53"/>
        <v>0</v>
      </c>
      <c r="K111" s="2606">
        <f t="shared" si="73"/>
        <v>0</v>
      </c>
      <c r="L111" s="2608">
        <f t="shared" si="80"/>
        <v>0</v>
      </c>
      <c r="M111" s="2607">
        <f t="shared" si="64"/>
        <v>0</v>
      </c>
      <c r="N111" s="525"/>
      <c r="O111" s="2605">
        <f t="shared" si="65"/>
        <v>87</v>
      </c>
      <c r="P111" s="2607">
        <f t="shared" si="54"/>
        <v>0</v>
      </c>
      <c r="Q111" s="2606">
        <f t="shared" si="74"/>
        <v>0</v>
      </c>
      <c r="R111" s="2608">
        <f t="shared" si="81"/>
        <v>0</v>
      </c>
      <c r="S111" s="2607">
        <f t="shared" si="66"/>
        <v>0</v>
      </c>
      <c r="T111" s="525"/>
      <c r="U111" s="2605">
        <f t="shared" si="67"/>
        <v>87</v>
      </c>
      <c r="V111" s="2607">
        <f t="shared" si="55"/>
        <v>0</v>
      </c>
      <c r="W111" s="2606">
        <f t="shared" si="75"/>
        <v>0</v>
      </c>
      <c r="X111" s="2608">
        <f t="shared" si="60"/>
        <v>0</v>
      </c>
      <c r="Y111" s="2607">
        <f t="shared" si="68"/>
        <v>0</v>
      </c>
      <c r="Z111" s="525"/>
      <c r="AA111" s="2605">
        <f t="shared" si="69"/>
        <v>87</v>
      </c>
      <c r="AB111" s="2607">
        <f t="shared" si="56"/>
        <v>0</v>
      </c>
      <c r="AC111" s="2606">
        <f t="shared" si="76"/>
        <v>0</v>
      </c>
      <c r="AD111" s="2608">
        <f t="shared" si="61"/>
        <v>0</v>
      </c>
      <c r="AE111" s="2607">
        <f t="shared" si="70"/>
        <v>0</v>
      </c>
      <c r="AF111" s="525"/>
      <c r="AG111" s="2605">
        <f t="shared" si="71"/>
        <v>87</v>
      </c>
      <c r="AH111" s="2607">
        <f t="shared" si="57"/>
        <v>0</v>
      </c>
      <c r="AI111" s="2606">
        <f t="shared" si="77"/>
        <v>0</v>
      </c>
      <c r="AJ111" s="2608">
        <f t="shared" si="62"/>
        <v>0</v>
      </c>
      <c r="AK111" s="2607">
        <f t="shared" si="72"/>
        <v>0</v>
      </c>
    </row>
    <row r="112" spans="2:37" ht="20.100000000000001" customHeight="1" x14ac:dyDescent="0.3">
      <c r="B112" s="985"/>
      <c r="C112" s="986"/>
      <c r="D112" s="986"/>
      <c r="E112" s="986"/>
      <c r="F112" s="986"/>
      <c r="G112" s="986"/>
      <c r="H112" s="525"/>
      <c r="I112" s="2605">
        <f t="shared" si="63"/>
        <v>88</v>
      </c>
      <c r="J112" s="2607">
        <f t="shared" si="53"/>
        <v>0</v>
      </c>
      <c r="K112" s="2606">
        <f t="shared" si="73"/>
        <v>0</v>
      </c>
      <c r="L112" s="2608">
        <f t="shared" si="80"/>
        <v>0</v>
      </c>
      <c r="M112" s="2607">
        <f t="shared" si="64"/>
        <v>0</v>
      </c>
      <c r="N112" s="525"/>
      <c r="O112" s="2605">
        <f t="shared" si="65"/>
        <v>88</v>
      </c>
      <c r="P112" s="2607">
        <f t="shared" si="54"/>
        <v>0</v>
      </c>
      <c r="Q112" s="2606">
        <f t="shared" si="74"/>
        <v>0</v>
      </c>
      <c r="R112" s="2608">
        <f t="shared" si="81"/>
        <v>0</v>
      </c>
      <c r="S112" s="2607">
        <f t="shared" si="66"/>
        <v>0</v>
      </c>
      <c r="T112" s="525"/>
      <c r="U112" s="2605">
        <f t="shared" si="67"/>
        <v>88</v>
      </c>
      <c r="V112" s="2607">
        <f t="shared" si="55"/>
        <v>0</v>
      </c>
      <c r="W112" s="2606">
        <f t="shared" si="75"/>
        <v>0</v>
      </c>
      <c r="X112" s="2608">
        <f t="shared" si="60"/>
        <v>0</v>
      </c>
      <c r="Y112" s="2607">
        <f t="shared" si="68"/>
        <v>0</v>
      </c>
      <c r="Z112" s="525"/>
      <c r="AA112" s="2605">
        <f t="shared" si="69"/>
        <v>88</v>
      </c>
      <c r="AB112" s="2607">
        <f t="shared" si="56"/>
        <v>0</v>
      </c>
      <c r="AC112" s="2606">
        <f t="shared" si="76"/>
        <v>0</v>
      </c>
      <c r="AD112" s="2608">
        <f t="shared" si="61"/>
        <v>0</v>
      </c>
      <c r="AE112" s="2607">
        <f t="shared" si="70"/>
        <v>0</v>
      </c>
      <c r="AF112" s="525"/>
      <c r="AG112" s="2605">
        <f t="shared" si="71"/>
        <v>88</v>
      </c>
      <c r="AH112" s="2607">
        <f t="shared" si="57"/>
        <v>0</v>
      </c>
      <c r="AI112" s="2606">
        <f t="shared" si="77"/>
        <v>0</v>
      </c>
      <c r="AJ112" s="2608">
        <f t="shared" si="62"/>
        <v>0</v>
      </c>
      <c r="AK112" s="2607">
        <f t="shared" si="72"/>
        <v>0</v>
      </c>
    </row>
    <row r="113" spans="2:37" ht="20.100000000000001" customHeight="1" x14ac:dyDescent="0.3">
      <c r="B113" s="985"/>
      <c r="C113" s="986"/>
      <c r="D113" s="986"/>
      <c r="E113" s="986"/>
      <c r="F113" s="986"/>
      <c r="G113" s="986"/>
      <c r="H113" s="525"/>
      <c r="I113" s="2605">
        <f t="shared" si="63"/>
        <v>89</v>
      </c>
      <c r="J113" s="2607">
        <f t="shared" si="53"/>
        <v>0</v>
      </c>
      <c r="K113" s="2606">
        <f t="shared" si="73"/>
        <v>0</v>
      </c>
      <c r="L113" s="2608">
        <f t="shared" si="80"/>
        <v>0</v>
      </c>
      <c r="M113" s="2607">
        <f t="shared" si="64"/>
        <v>0</v>
      </c>
      <c r="N113" s="525"/>
      <c r="O113" s="2605">
        <f t="shared" si="65"/>
        <v>89</v>
      </c>
      <c r="P113" s="2607">
        <f t="shared" si="54"/>
        <v>0</v>
      </c>
      <c r="Q113" s="2606">
        <f t="shared" si="74"/>
        <v>0</v>
      </c>
      <c r="R113" s="2608">
        <f t="shared" si="81"/>
        <v>0</v>
      </c>
      <c r="S113" s="2607">
        <f t="shared" si="66"/>
        <v>0</v>
      </c>
      <c r="T113" s="525"/>
      <c r="U113" s="2605">
        <f t="shared" si="67"/>
        <v>89</v>
      </c>
      <c r="V113" s="2607">
        <f t="shared" si="55"/>
        <v>0</v>
      </c>
      <c r="W113" s="2606">
        <f t="shared" si="75"/>
        <v>0</v>
      </c>
      <c r="X113" s="2608">
        <f t="shared" si="60"/>
        <v>0</v>
      </c>
      <c r="Y113" s="2607">
        <f t="shared" si="68"/>
        <v>0</v>
      </c>
      <c r="Z113" s="525"/>
      <c r="AA113" s="2605">
        <f t="shared" si="69"/>
        <v>89</v>
      </c>
      <c r="AB113" s="2607">
        <f t="shared" si="56"/>
        <v>0</v>
      </c>
      <c r="AC113" s="2606">
        <f t="shared" si="76"/>
        <v>0</v>
      </c>
      <c r="AD113" s="2608">
        <f t="shared" si="61"/>
        <v>0</v>
      </c>
      <c r="AE113" s="2607">
        <f t="shared" si="70"/>
        <v>0</v>
      </c>
      <c r="AF113" s="525"/>
      <c r="AG113" s="2605">
        <f t="shared" si="71"/>
        <v>89</v>
      </c>
      <c r="AH113" s="2607">
        <f t="shared" si="57"/>
        <v>0</v>
      </c>
      <c r="AI113" s="2606">
        <f t="shared" si="77"/>
        <v>0</v>
      </c>
      <c r="AJ113" s="2608">
        <f t="shared" si="62"/>
        <v>0</v>
      </c>
      <c r="AK113" s="2607">
        <f t="shared" si="72"/>
        <v>0</v>
      </c>
    </row>
    <row r="114" spans="2:37" ht="20.100000000000001" customHeight="1" x14ac:dyDescent="0.3">
      <c r="B114" s="985"/>
      <c r="C114" s="986"/>
      <c r="D114" s="986"/>
      <c r="E114" s="986"/>
      <c r="F114" s="986"/>
      <c r="G114" s="986"/>
      <c r="H114" s="525"/>
      <c r="I114" s="2605">
        <f t="shared" si="63"/>
        <v>90</v>
      </c>
      <c r="J114" s="2607">
        <f t="shared" si="53"/>
        <v>0</v>
      </c>
      <c r="K114" s="2606">
        <f t="shared" si="73"/>
        <v>0</v>
      </c>
      <c r="L114" s="2608">
        <f t="shared" si="80"/>
        <v>0</v>
      </c>
      <c r="M114" s="2607">
        <f t="shared" si="64"/>
        <v>0</v>
      </c>
      <c r="N114" s="525"/>
      <c r="O114" s="2605">
        <f t="shared" si="65"/>
        <v>90</v>
      </c>
      <c r="P114" s="2607">
        <f t="shared" si="54"/>
        <v>0</v>
      </c>
      <c r="Q114" s="2606">
        <f t="shared" si="74"/>
        <v>0</v>
      </c>
      <c r="R114" s="2608">
        <f t="shared" si="81"/>
        <v>0</v>
      </c>
      <c r="S114" s="2607">
        <f t="shared" si="66"/>
        <v>0</v>
      </c>
      <c r="T114" s="525"/>
      <c r="U114" s="2605">
        <f t="shared" si="67"/>
        <v>90</v>
      </c>
      <c r="V114" s="2607">
        <f t="shared" si="55"/>
        <v>0</v>
      </c>
      <c r="W114" s="2606">
        <f t="shared" si="75"/>
        <v>0</v>
      </c>
      <c r="X114" s="2608">
        <f t="shared" si="60"/>
        <v>0</v>
      </c>
      <c r="Y114" s="2607">
        <f t="shared" si="68"/>
        <v>0</v>
      </c>
      <c r="Z114" s="525"/>
      <c r="AA114" s="2605">
        <f t="shared" si="69"/>
        <v>90</v>
      </c>
      <c r="AB114" s="2607">
        <f t="shared" si="56"/>
        <v>0</v>
      </c>
      <c r="AC114" s="2606">
        <f t="shared" si="76"/>
        <v>0</v>
      </c>
      <c r="AD114" s="2608">
        <f t="shared" si="61"/>
        <v>0</v>
      </c>
      <c r="AE114" s="2607">
        <f t="shared" si="70"/>
        <v>0</v>
      </c>
      <c r="AF114" s="525"/>
      <c r="AG114" s="2605">
        <f t="shared" si="71"/>
        <v>90</v>
      </c>
      <c r="AH114" s="2607">
        <f t="shared" si="57"/>
        <v>0</v>
      </c>
      <c r="AI114" s="2606">
        <f t="shared" si="77"/>
        <v>0</v>
      </c>
      <c r="AJ114" s="2608">
        <f t="shared" si="62"/>
        <v>0</v>
      </c>
      <c r="AK114" s="2607">
        <f t="shared" si="72"/>
        <v>0</v>
      </c>
    </row>
    <row r="115" spans="2:37" ht="20.100000000000001" customHeight="1" x14ac:dyDescent="0.3">
      <c r="B115" s="985"/>
      <c r="C115" s="986"/>
      <c r="D115" s="986"/>
      <c r="E115" s="986"/>
      <c r="F115" s="986"/>
      <c r="G115" s="986"/>
      <c r="H115" s="525"/>
      <c r="I115" s="2605">
        <f t="shared" si="63"/>
        <v>91</v>
      </c>
      <c r="J115" s="2607">
        <f t="shared" si="53"/>
        <v>0</v>
      </c>
      <c r="K115" s="2606">
        <f t="shared" si="73"/>
        <v>0</v>
      </c>
      <c r="L115" s="2608">
        <f t="shared" si="80"/>
        <v>0</v>
      </c>
      <c r="M115" s="2607">
        <f t="shared" si="64"/>
        <v>0</v>
      </c>
      <c r="N115" s="525"/>
      <c r="O115" s="2605">
        <f t="shared" si="65"/>
        <v>91</v>
      </c>
      <c r="P115" s="2607">
        <f t="shared" si="54"/>
        <v>0</v>
      </c>
      <c r="Q115" s="2606">
        <f t="shared" si="74"/>
        <v>0</v>
      </c>
      <c r="R115" s="2608">
        <f t="shared" si="81"/>
        <v>0</v>
      </c>
      <c r="S115" s="2607">
        <f t="shared" si="66"/>
        <v>0</v>
      </c>
      <c r="T115" s="525"/>
      <c r="U115" s="2605">
        <f t="shared" si="67"/>
        <v>91</v>
      </c>
      <c r="V115" s="2607">
        <f t="shared" si="55"/>
        <v>0</v>
      </c>
      <c r="W115" s="2606">
        <f t="shared" si="75"/>
        <v>0</v>
      </c>
      <c r="X115" s="2608">
        <f t="shared" si="60"/>
        <v>0</v>
      </c>
      <c r="Y115" s="2607">
        <f t="shared" si="68"/>
        <v>0</v>
      </c>
      <c r="Z115" s="525"/>
      <c r="AA115" s="2605">
        <f t="shared" si="69"/>
        <v>91</v>
      </c>
      <c r="AB115" s="2607">
        <f t="shared" si="56"/>
        <v>0</v>
      </c>
      <c r="AC115" s="2606">
        <f t="shared" si="76"/>
        <v>0</v>
      </c>
      <c r="AD115" s="2608">
        <f t="shared" si="61"/>
        <v>0</v>
      </c>
      <c r="AE115" s="2607">
        <f t="shared" si="70"/>
        <v>0</v>
      </c>
      <c r="AF115" s="525"/>
      <c r="AG115" s="2605">
        <f t="shared" si="71"/>
        <v>91</v>
      </c>
      <c r="AH115" s="2607">
        <f t="shared" si="57"/>
        <v>0</v>
      </c>
      <c r="AI115" s="2606">
        <f t="shared" si="77"/>
        <v>0</v>
      </c>
      <c r="AJ115" s="2608">
        <f t="shared" si="62"/>
        <v>0</v>
      </c>
      <c r="AK115" s="2607">
        <f t="shared" si="72"/>
        <v>0</v>
      </c>
    </row>
    <row r="116" spans="2:37" ht="20.100000000000001" customHeight="1" x14ac:dyDescent="0.3">
      <c r="B116" s="985"/>
      <c r="C116" s="986"/>
      <c r="D116" s="986"/>
      <c r="E116" s="986"/>
      <c r="F116" s="986"/>
      <c r="G116" s="986"/>
      <c r="H116" s="525"/>
      <c r="I116" s="2605">
        <f t="shared" si="63"/>
        <v>92</v>
      </c>
      <c r="J116" s="2607">
        <f t="shared" si="53"/>
        <v>0</v>
      </c>
      <c r="K116" s="2606">
        <f t="shared" si="73"/>
        <v>0</v>
      </c>
      <c r="L116" s="2608">
        <f t="shared" si="80"/>
        <v>0</v>
      </c>
      <c r="M116" s="2607">
        <f t="shared" si="64"/>
        <v>0</v>
      </c>
      <c r="N116" s="525"/>
      <c r="O116" s="2605">
        <f t="shared" si="65"/>
        <v>92</v>
      </c>
      <c r="P116" s="2607">
        <f t="shared" si="54"/>
        <v>0</v>
      </c>
      <c r="Q116" s="2606">
        <f t="shared" si="74"/>
        <v>0</v>
      </c>
      <c r="R116" s="2608">
        <f t="shared" si="81"/>
        <v>0</v>
      </c>
      <c r="S116" s="2607">
        <f t="shared" si="66"/>
        <v>0</v>
      </c>
      <c r="T116" s="525"/>
      <c r="U116" s="2605">
        <f t="shared" si="67"/>
        <v>92</v>
      </c>
      <c r="V116" s="2607">
        <f t="shared" si="55"/>
        <v>0</v>
      </c>
      <c r="W116" s="2606">
        <f t="shared" si="75"/>
        <v>0</v>
      </c>
      <c r="X116" s="2608">
        <f t="shared" si="60"/>
        <v>0</v>
      </c>
      <c r="Y116" s="2607">
        <f t="shared" si="68"/>
        <v>0</v>
      </c>
      <c r="Z116" s="525"/>
      <c r="AA116" s="2605">
        <f t="shared" si="69"/>
        <v>92</v>
      </c>
      <c r="AB116" s="2607">
        <f t="shared" si="56"/>
        <v>0</v>
      </c>
      <c r="AC116" s="2606">
        <f t="shared" si="76"/>
        <v>0</v>
      </c>
      <c r="AD116" s="2608">
        <f t="shared" si="61"/>
        <v>0</v>
      </c>
      <c r="AE116" s="2607">
        <f t="shared" si="70"/>
        <v>0</v>
      </c>
      <c r="AF116" s="525"/>
      <c r="AG116" s="2605">
        <f t="shared" si="71"/>
        <v>92</v>
      </c>
      <c r="AH116" s="2607">
        <f t="shared" si="57"/>
        <v>0</v>
      </c>
      <c r="AI116" s="2606">
        <f t="shared" si="77"/>
        <v>0</v>
      </c>
      <c r="AJ116" s="2608">
        <f t="shared" si="62"/>
        <v>0</v>
      </c>
      <c r="AK116" s="2607">
        <f t="shared" si="72"/>
        <v>0</v>
      </c>
    </row>
    <row r="117" spans="2:37" ht="20.100000000000001" customHeight="1" x14ac:dyDescent="0.3">
      <c r="B117" s="985"/>
      <c r="C117" s="986"/>
      <c r="D117" s="986"/>
      <c r="E117" s="986"/>
      <c r="F117" s="986"/>
      <c r="G117" s="986"/>
      <c r="H117" s="525"/>
      <c r="I117" s="2605">
        <f t="shared" si="63"/>
        <v>93</v>
      </c>
      <c r="J117" s="2607">
        <f t="shared" si="53"/>
        <v>0</v>
      </c>
      <c r="K117" s="2606">
        <f t="shared" si="73"/>
        <v>0</v>
      </c>
      <c r="L117" s="2608">
        <f t="shared" si="80"/>
        <v>0</v>
      </c>
      <c r="M117" s="2607">
        <f t="shared" si="64"/>
        <v>0</v>
      </c>
      <c r="N117" s="525"/>
      <c r="O117" s="2605">
        <f t="shared" si="65"/>
        <v>93</v>
      </c>
      <c r="P117" s="2607">
        <f t="shared" si="54"/>
        <v>0</v>
      </c>
      <c r="Q117" s="2606">
        <f t="shared" si="74"/>
        <v>0</v>
      </c>
      <c r="R117" s="2608">
        <f t="shared" si="81"/>
        <v>0</v>
      </c>
      <c r="S117" s="2607">
        <f t="shared" si="66"/>
        <v>0</v>
      </c>
      <c r="T117" s="525"/>
      <c r="U117" s="2605">
        <f t="shared" si="67"/>
        <v>93</v>
      </c>
      <c r="V117" s="2607">
        <f t="shared" si="55"/>
        <v>0</v>
      </c>
      <c r="W117" s="2606">
        <f t="shared" si="75"/>
        <v>0</v>
      </c>
      <c r="X117" s="2608">
        <f t="shared" si="60"/>
        <v>0</v>
      </c>
      <c r="Y117" s="2607">
        <f t="shared" si="68"/>
        <v>0</v>
      </c>
      <c r="Z117" s="525"/>
      <c r="AA117" s="2605">
        <f t="shared" si="69"/>
        <v>93</v>
      </c>
      <c r="AB117" s="2607">
        <f t="shared" si="56"/>
        <v>0</v>
      </c>
      <c r="AC117" s="2606">
        <f t="shared" si="76"/>
        <v>0</v>
      </c>
      <c r="AD117" s="2608">
        <f t="shared" si="61"/>
        <v>0</v>
      </c>
      <c r="AE117" s="2607">
        <f t="shared" si="70"/>
        <v>0</v>
      </c>
      <c r="AF117" s="525"/>
      <c r="AG117" s="2605">
        <f t="shared" si="71"/>
        <v>93</v>
      </c>
      <c r="AH117" s="2607">
        <f t="shared" si="57"/>
        <v>0</v>
      </c>
      <c r="AI117" s="2606">
        <f t="shared" si="77"/>
        <v>0</v>
      </c>
      <c r="AJ117" s="2608">
        <f t="shared" si="62"/>
        <v>0</v>
      </c>
      <c r="AK117" s="2607">
        <f t="shared" si="72"/>
        <v>0</v>
      </c>
    </row>
    <row r="118" spans="2:37" ht="20.100000000000001" customHeight="1" x14ac:dyDescent="0.3">
      <c r="B118" s="985"/>
      <c r="C118" s="986"/>
      <c r="D118" s="986"/>
      <c r="E118" s="986"/>
      <c r="F118" s="986"/>
      <c r="G118" s="986"/>
      <c r="H118" s="525"/>
      <c r="I118" s="2605">
        <f t="shared" si="63"/>
        <v>94</v>
      </c>
      <c r="J118" s="2607">
        <f t="shared" si="53"/>
        <v>0</v>
      </c>
      <c r="K118" s="2606">
        <f t="shared" si="73"/>
        <v>0</v>
      </c>
      <c r="L118" s="2608">
        <f t="shared" si="80"/>
        <v>0</v>
      </c>
      <c r="M118" s="2607">
        <f t="shared" si="64"/>
        <v>0</v>
      </c>
      <c r="N118" s="525"/>
      <c r="O118" s="2605">
        <f t="shared" si="65"/>
        <v>94</v>
      </c>
      <c r="P118" s="2607">
        <f t="shared" si="54"/>
        <v>0</v>
      </c>
      <c r="Q118" s="2606">
        <f t="shared" si="74"/>
        <v>0</v>
      </c>
      <c r="R118" s="2608">
        <f t="shared" si="81"/>
        <v>0</v>
      </c>
      <c r="S118" s="2607">
        <f t="shared" si="66"/>
        <v>0</v>
      </c>
      <c r="T118" s="525"/>
      <c r="U118" s="2605">
        <f t="shared" si="67"/>
        <v>94</v>
      </c>
      <c r="V118" s="2607">
        <f t="shared" si="55"/>
        <v>0</v>
      </c>
      <c r="W118" s="2606">
        <f t="shared" si="75"/>
        <v>0</v>
      </c>
      <c r="X118" s="2608">
        <f t="shared" si="60"/>
        <v>0</v>
      </c>
      <c r="Y118" s="2607">
        <f t="shared" si="68"/>
        <v>0</v>
      </c>
      <c r="Z118" s="525"/>
      <c r="AA118" s="2605">
        <f t="shared" si="69"/>
        <v>94</v>
      </c>
      <c r="AB118" s="2607">
        <f t="shared" si="56"/>
        <v>0</v>
      </c>
      <c r="AC118" s="2606">
        <f t="shared" si="76"/>
        <v>0</v>
      </c>
      <c r="AD118" s="2608">
        <f t="shared" si="61"/>
        <v>0</v>
      </c>
      <c r="AE118" s="2607">
        <f t="shared" si="70"/>
        <v>0</v>
      </c>
      <c r="AF118" s="525"/>
      <c r="AG118" s="2605">
        <f t="shared" si="71"/>
        <v>94</v>
      </c>
      <c r="AH118" s="2607">
        <f t="shared" si="57"/>
        <v>0</v>
      </c>
      <c r="AI118" s="2606">
        <f t="shared" si="77"/>
        <v>0</v>
      </c>
      <c r="AJ118" s="2608">
        <f t="shared" si="62"/>
        <v>0</v>
      </c>
      <c r="AK118" s="2607">
        <f t="shared" si="72"/>
        <v>0</v>
      </c>
    </row>
    <row r="119" spans="2:37" ht="20.100000000000001" customHeight="1" x14ac:dyDescent="0.3">
      <c r="B119" s="985"/>
      <c r="C119" s="986"/>
      <c r="D119" s="986"/>
      <c r="E119" s="986"/>
      <c r="F119" s="986"/>
      <c r="G119" s="986"/>
      <c r="H119" s="525"/>
      <c r="I119" s="2605">
        <f t="shared" si="63"/>
        <v>95</v>
      </c>
      <c r="J119" s="2607">
        <f t="shared" si="53"/>
        <v>0</v>
      </c>
      <c r="K119" s="2606">
        <f t="shared" si="73"/>
        <v>0</v>
      </c>
      <c r="L119" s="2608">
        <f t="shared" si="80"/>
        <v>0</v>
      </c>
      <c r="M119" s="2607">
        <f t="shared" si="64"/>
        <v>0</v>
      </c>
      <c r="N119" s="525"/>
      <c r="O119" s="2605">
        <f t="shared" si="65"/>
        <v>95</v>
      </c>
      <c r="P119" s="2607">
        <f t="shared" si="54"/>
        <v>0</v>
      </c>
      <c r="Q119" s="2606">
        <f t="shared" si="74"/>
        <v>0</v>
      </c>
      <c r="R119" s="2608">
        <f t="shared" si="81"/>
        <v>0</v>
      </c>
      <c r="S119" s="2607">
        <f t="shared" si="66"/>
        <v>0</v>
      </c>
      <c r="T119" s="525"/>
      <c r="U119" s="2605">
        <f t="shared" si="67"/>
        <v>95</v>
      </c>
      <c r="V119" s="2607">
        <f t="shared" si="55"/>
        <v>0</v>
      </c>
      <c r="W119" s="2606">
        <f t="shared" si="75"/>
        <v>0</v>
      </c>
      <c r="X119" s="2608">
        <f t="shared" si="60"/>
        <v>0</v>
      </c>
      <c r="Y119" s="2607">
        <f t="shared" si="68"/>
        <v>0</v>
      </c>
      <c r="Z119" s="525"/>
      <c r="AA119" s="2605">
        <f t="shared" si="69"/>
        <v>95</v>
      </c>
      <c r="AB119" s="2607">
        <f t="shared" si="56"/>
        <v>0</v>
      </c>
      <c r="AC119" s="2606">
        <f t="shared" si="76"/>
        <v>0</v>
      </c>
      <c r="AD119" s="2608">
        <f t="shared" si="61"/>
        <v>0</v>
      </c>
      <c r="AE119" s="2607">
        <f t="shared" si="70"/>
        <v>0</v>
      </c>
      <c r="AF119" s="525"/>
      <c r="AG119" s="2605">
        <f t="shared" si="71"/>
        <v>95</v>
      </c>
      <c r="AH119" s="2607">
        <f t="shared" si="57"/>
        <v>0</v>
      </c>
      <c r="AI119" s="2606">
        <f t="shared" si="77"/>
        <v>0</v>
      </c>
      <c r="AJ119" s="2608">
        <f t="shared" si="62"/>
        <v>0</v>
      </c>
      <c r="AK119" s="2607">
        <f t="shared" si="72"/>
        <v>0</v>
      </c>
    </row>
    <row r="120" spans="2:37" ht="20.100000000000001" customHeight="1" x14ac:dyDescent="0.3">
      <c r="B120" s="985"/>
      <c r="C120" s="986"/>
      <c r="D120" s="986"/>
      <c r="E120" s="986"/>
      <c r="F120" s="986"/>
      <c r="G120" s="986"/>
      <c r="H120" s="525"/>
      <c r="I120" s="2605">
        <f t="shared" si="63"/>
        <v>96</v>
      </c>
      <c r="J120" s="2607">
        <f t="shared" si="53"/>
        <v>0</v>
      </c>
      <c r="K120" s="2606">
        <f t="shared" si="73"/>
        <v>0</v>
      </c>
      <c r="L120" s="2608">
        <f t="shared" si="80"/>
        <v>0</v>
      </c>
      <c r="M120" s="2607">
        <f t="shared" si="64"/>
        <v>0</v>
      </c>
      <c r="N120" s="525"/>
      <c r="O120" s="2605">
        <f t="shared" si="65"/>
        <v>96</v>
      </c>
      <c r="P120" s="2607">
        <f t="shared" si="54"/>
        <v>0</v>
      </c>
      <c r="Q120" s="2606">
        <f t="shared" si="74"/>
        <v>0</v>
      </c>
      <c r="R120" s="2608">
        <f t="shared" si="81"/>
        <v>0</v>
      </c>
      <c r="S120" s="2607">
        <f t="shared" si="66"/>
        <v>0</v>
      </c>
      <c r="T120" s="525"/>
      <c r="U120" s="2605">
        <f t="shared" si="67"/>
        <v>96</v>
      </c>
      <c r="V120" s="2607">
        <f t="shared" si="55"/>
        <v>0</v>
      </c>
      <c r="W120" s="2606">
        <f t="shared" si="75"/>
        <v>0</v>
      </c>
      <c r="X120" s="2608">
        <f t="shared" si="60"/>
        <v>0</v>
      </c>
      <c r="Y120" s="2607">
        <f t="shared" si="68"/>
        <v>0</v>
      </c>
      <c r="Z120" s="525"/>
      <c r="AA120" s="2605">
        <f t="shared" si="69"/>
        <v>96</v>
      </c>
      <c r="AB120" s="2607">
        <f t="shared" si="56"/>
        <v>0</v>
      </c>
      <c r="AC120" s="2606">
        <f t="shared" si="76"/>
        <v>0</v>
      </c>
      <c r="AD120" s="2608">
        <f t="shared" si="61"/>
        <v>0</v>
      </c>
      <c r="AE120" s="2607">
        <f t="shared" si="70"/>
        <v>0</v>
      </c>
      <c r="AF120" s="525"/>
      <c r="AG120" s="2605">
        <f t="shared" si="71"/>
        <v>96</v>
      </c>
      <c r="AH120" s="2607">
        <f t="shared" si="57"/>
        <v>0</v>
      </c>
      <c r="AI120" s="2606">
        <f t="shared" si="77"/>
        <v>0</v>
      </c>
      <c r="AJ120" s="2608">
        <f t="shared" si="62"/>
        <v>0</v>
      </c>
      <c r="AK120" s="2607">
        <f t="shared" si="72"/>
        <v>0</v>
      </c>
    </row>
    <row r="121" spans="2:37" ht="20.100000000000001" customHeight="1" x14ac:dyDescent="0.3">
      <c r="B121" s="985"/>
      <c r="C121" s="986"/>
      <c r="D121" s="986"/>
      <c r="E121" s="986"/>
      <c r="F121" s="986"/>
      <c r="G121" s="986"/>
      <c r="H121" s="525"/>
      <c r="I121" s="2605">
        <f t="shared" si="63"/>
        <v>97</v>
      </c>
      <c r="J121" s="2607">
        <f t="shared" si="53"/>
        <v>0</v>
      </c>
      <c r="K121" s="2606">
        <f t="shared" si="73"/>
        <v>0</v>
      </c>
      <c r="L121" s="2608">
        <f t="shared" si="80"/>
        <v>0</v>
      </c>
      <c r="M121" s="2607">
        <f t="shared" si="64"/>
        <v>0</v>
      </c>
      <c r="N121" s="525"/>
      <c r="O121" s="2605">
        <f t="shared" si="65"/>
        <v>97</v>
      </c>
      <c r="P121" s="2607">
        <f t="shared" si="54"/>
        <v>0</v>
      </c>
      <c r="Q121" s="2606">
        <f t="shared" si="74"/>
        <v>0</v>
      </c>
      <c r="R121" s="2608">
        <f t="shared" si="81"/>
        <v>0</v>
      </c>
      <c r="S121" s="2607">
        <f t="shared" si="66"/>
        <v>0</v>
      </c>
      <c r="T121" s="525"/>
      <c r="U121" s="2605">
        <f t="shared" si="67"/>
        <v>97</v>
      </c>
      <c r="V121" s="2607">
        <f t="shared" ref="V121:V152" si="82">ROUND(IF(U121&gt;annuité_emprunt3,0,IF(U121&gt;différé_emprunt3,-PMT((taux_emprunt3/périodicité_emprunt3),(annuité_emprunt3-différé_emprunt3),emprunt3),emprunt3*taux_emprunt3/périodicité_emprunt3)),2)</f>
        <v>0</v>
      </c>
      <c r="W121" s="2606">
        <f t="shared" si="75"/>
        <v>0</v>
      </c>
      <c r="X121" s="2608">
        <f t="shared" si="60"/>
        <v>0</v>
      </c>
      <c r="Y121" s="2607">
        <f t="shared" si="68"/>
        <v>0</v>
      </c>
      <c r="Z121" s="525"/>
      <c r="AA121" s="2605">
        <f t="shared" si="69"/>
        <v>97</v>
      </c>
      <c r="AB121" s="2607">
        <f t="shared" ref="AB121:AB152" si="83">ROUND(IF(AA121&gt;annuité_emprunt4,0,IF(AA121&gt;différé_emprunt4,-PMT((taux_emprunt4/périodicité_emprunt4),(annuité_emprunt4-différé_emprunt4),emprunt4),emprunt4*taux_emprunt4/périodicité_emprunt4)),2)</f>
        <v>0</v>
      </c>
      <c r="AC121" s="2606">
        <f t="shared" si="76"/>
        <v>0</v>
      </c>
      <c r="AD121" s="2608">
        <f t="shared" si="61"/>
        <v>0</v>
      </c>
      <c r="AE121" s="2607">
        <f t="shared" si="70"/>
        <v>0</v>
      </c>
      <c r="AF121" s="525"/>
      <c r="AG121" s="2605">
        <f t="shared" si="71"/>
        <v>97</v>
      </c>
      <c r="AH121" s="2607">
        <f t="shared" ref="AH121:AH152" si="84">ROUND(IF(AG121&gt;annuité_emprunt5,0,IF(AG121&gt;différé_emprunt5,-PMT((taux_emprunt5/périodicité_emprunt5),(annuité_emprunt5-différé_emprunt5),emprunt5),emprunt5*taux_emprunt5/périodicité_emprunt5)),2)</f>
        <v>0</v>
      </c>
      <c r="AI121" s="2606">
        <f t="shared" si="77"/>
        <v>0</v>
      </c>
      <c r="AJ121" s="2608">
        <f t="shared" si="62"/>
        <v>0</v>
      </c>
      <c r="AK121" s="2607">
        <f t="shared" si="72"/>
        <v>0</v>
      </c>
    </row>
    <row r="122" spans="2:37" ht="20.100000000000001" customHeight="1" x14ac:dyDescent="0.3">
      <c r="B122" s="985"/>
      <c r="C122" s="986"/>
      <c r="D122" s="986"/>
      <c r="E122" s="986"/>
      <c r="F122" s="986"/>
      <c r="G122" s="986"/>
      <c r="H122" s="525"/>
      <c r="I122" s="2605">
        <f t="shared" si="63"/>
        <v>98</v>
      </c>
      <c r="J122" s="2607">
        <f t="shared" si="53"/>
        <v>0</v>
      </c>
      <c r="K122" s="2606">
        <f t="shared" si="73"/>
        <v>0</v>
      </c>
      <c r="L122" s="2608">
        <f t="shared" si="80"/>
        <v>0</v>
      </c>
      <c r="M122" s="2607">
        <f t="shared" si="64"/>
        <v>0</v>
      </c>
      <c r="N122" s="525"/>
      <c r="O122" s="2605">
        <f t="shared" si="65"/>
        <v>98</v>
      </c>
      <c r="P122" s="2607">
        <f t="shared" si="54"/>
        <v>0</v>
      </c>
      <c r="Q122" s="2606">
        <f t="shared" si="74"/>
        <v>0</v>
      </c>
      <c r="R122" s="2608">
        <f t="shared" si="81"/>
        <v>0</v>
      </c>
      <c r="S122" s="2607">
        <f t="shared" si="66"/>
        <v>0</v>
      </c>
      <c r="T122" s="525"/>
      <c r="U122" s="2605">
        <f t="shared" si="67"/>
        <v>98</v>
      </c>
      <c r="V122" s="2607">
        <f t="shared" si="82"/>
        <v>0</v>
      </c>
      <c r="W122" s="2606">
        <f t="shared" si="75"/>
        <v>0</v>
      </c>
      <c r="X122" s="2608">
        <f t="shared" ref="X122:X153" si="85">ROUND(IF(V122=0,0,IF(U122=annuité_emprunt3,Y121,IF(U122&gt;différé_emprunt3,-PPMT((taux_emprunt3/périodicité_emprunt3),U122-différé_emprunt3,(annuité_emprunt3-différé_emprunt3),emprunt3),0))),2)</f>
        <v>0</v>
      </c>
      <c r="Y122" s="2607">
        <f t="shared" si="68"/>
        <v>0</v>
      </c>
      <c r="Z122" s="525"/>
      <c r="AA122" s="2605">
        <f t="shared" si="69"/>
        <v>98</v>
      </c>
      <c r="AB122" s="2607">
        <f t="shared" si="83"/>
        <v>0</v>
      </c>
      <c r="AC122" s="2606">
        <f t="shared" si="76"/>
        <v>0</v>
      </c>
      <c r="AD122" s="2608">
        <f t="shared" ref="AD122:AD153" si="86">ROUND(IF(AB122=0,0,IF(AA122=annuité_emprunt4,AE121,IF(AA122&gt;différé_emprunt4,-PPMT((taux_emprunt4/périodicité_emprunt4),AA122-différé_emprunt4,(annuité_emprunt4-différé_emprunt4),emprunt4),0))),2)</f>
        <v>0</v>
      </c>
      <c r="AE122" s="2607">
        <f t="shared" si="70"/>
        <v>0</v>
      </c>
      <c r="AF122" s="525"/>
      <c r="AG122" s="2605">
        <f t="shared" si="71"/>
        <v>98</v>
      </c>
      <c r="AH122" s="2607">
        <f t="shared" si="84"/>
        <v>0</v>
      </c>
      <c r="AI122" s="2606">
        <f t="shared" si="77"/>
        <v>0</v>
      </c>
      <c r="AJ122" s="2608">
        <f t="shared" ref="AJ122:AJ153" si="87">ROUND(IF(AH122=0,0,IF(AG122=annuité_emprunt5,AK121,IF(AG122&gt;différé_emprunt5,-PPMT((taux_emprunt5/périodicité_emprunt5),AG122-différé_emprunt5,(annuité_emprunt5-différé_emprunt5),emprunt5),0))),2)</f>
        <v>0</v>
      </c>
      <c r="AK122" s="2607">
        <f t="shared" si="72"/>
        <v>0</v>
      </c>
    </row>
    <row r="123" spans="2:37" ht="20.100000000000001" customHeight="1" x14ac:dyDescent="0.3">
      <c r="B123" s="985"/>
      <c r="C123" s="986"/>
      <c r="D123" s="986"/>
      <c r="E123" s="986"/>
      <c r="F123" s="986"/>
      <c r="G123" s="986"/>
      <c r="H123" s="525"/>
      <c r="I123" s="2605">
        <f t="shared" si="63"/>
        <v>99</v>
      </c>
      <c r="J123" s="2607">
        <f t="shared" si="53"/>
        <v>0</v>
      </c>
      <c r="K123" s="2606">
        <f t="shared" si="73"/>
        <v>0</v>
      </c>
      <c r="L123" s="2608">
        <f t="shared" si="80"/>
        <v>0</v>
      </c>
      <c r="M123" s="2607">
        <f t="shared" si="64"/>
        <v>0</v>
      </c>
      <c r="N123" s="525"/>
      <c r="O123" s="2605">
        <f t="shared" si="65"/>
        <v>99</v>
      </c>
      <c r="P123" s="2607">
        <f t="shared" si="54"/>
        <v>0</v>
      </c>
      <c r="Q123" s="2606">
        <f t="shared" si="74"/>
        <v>0</v>
      </c>
      <c r="R123" s="2608">
        <f t="shared" si="81"/>
        <v>0</v>
      </c>
      <c r="S123" s="2607">
        <f t="shared" si="66"/>
        <v>0</v>
      </c>
      <c r="T123" s="525"/>
      <c r="U123" s="2605">
        <f t="shared" si="67"/>
        <v>99</v>
      </c>
      <c r="V123" s="2607">
        <f t="shared" si="82"/>
        <v>0</v>
      </c>
      <c r="W123" s="2606">
        <f t="shared" si="75"/>
        <v>0</v>
      </c>
      <c r="X123" s="2608">
        <f t="shared" si="85"/>
        <v>0</v>
      </c>
      <c r="Y123" s="2607">
        <f t="shared" si="68"/>
        <v>0</v>
      </c>
      <c r="Z123" s="525"/>
      <c r="AA123" s="2605">
        <f t="shared" si="69"/>
        <v>99</v>
      </c>
      <c r="AB123" s="2607">
        <f t="shared" si="83"/>
        <v>0</v>
      </c>
      <c r="AC123" s="2606">
        <f t="shared" si="76"/>
        <v>0</v>
      </c>
      <c r="AD123" s="2608">
        <f t="shared" si="86"/>
        <v>0</v>
      </c>
      <c r="AE123" s="2607">
        <f t="shared" si="70"/>
        <v>0</v>
      </c>
      <c r="AF123" s="525"/>
      <c r="AG123" s="2605">
        <f t="shared" si="71"/>
        <v>99</v>
      </c>
      <c r="AH123" s="2607">
        <f t="shared" si="84"/>
        <v>0</v>
      </c>
      <c r="AI123" s="2606">
        <f t="shared" si="77"/>
        <v>0</v>
      </c>
      <c r="AJ123" s="2608">
        <f t="shared" si="87"/>
        <v>0</v>
      </c>
      <c r="AK123" s="2607">
        <f t="shared" si="72"/>
        <v>0</v>
      </c>
    </row>
    <row r="124" spans="2:37" ht="20.100000000000001" customHeight="1" x14ac:dyDescent="0.3">
      <c r="B124" s="985"/>
      <c r="C124" s="986"/>
      <c r="D124" s="986"/>
      <c r="E124" s="986"/>
      <c r="F124" s="986"/>
      <c r="G124" s="986"/>
      <c r="H124" s="525"/>
      <c r="I124" s="2605">
        <f t="shared" si="63"/>
        <v>100</v>
      </c>
      <c r="J124" s="2607">
        <f t="shared" si="53"/>
        <v>0</v>
      </c>
      <c r="K124" s="2606">
        <f t="shared" si="73"/>
        <v>0</v>
      </c>
      <c r="L124" s="2608">
        <f t="shared" si="80"/>
        <v>0</v>
      </c>
      <c r="M124" s="2607">
        <f t="shared" si="64"/>
        <v>0</v>
      </c>
      <c r="N124" s="525"/>
      <c r="O124" s="2605">
        <f t="shared" si="65"/>
        <v>100</v>
      </c>
      <c r="P124" s="2607">
        <f t="shared" si="54"/>
        <v>0</v>
      </c>
      <c r="Q124" s="2606">
        <f t="shared" si="74"/>
        <v>0</v>
      </c>
      <c r="R124" s="2608">
        <f t="shared" si="81"/>
        <v>0</v>
      </c>
      <c r="S124" s="2607">
        <f t="shared" si="66"/>
        <v>0</v>
      </c>
      <c r="T124" s="525"/>
      <c r="U124" s="2605">
        <f t="shared" si="67"/>
        <v>100</v>
      </c>
      <c r="V124" s="2607">
        <f t="shared" si="82"/>
        <v>0</v>
      </c>
      <c r="W124" s="2606">
        <f t="shared" si="75"/>
        <v>0</v>
      </c>
      <c r="X124" s="2608">
        <f t="shared" si="85"/>
        <v>0</v>
      </c>
      <c r="Y124" s="2607">
        <f t="shared" si="68"/>
        <v>0</v>
      </c>
      <c r="Z124" s="525"/>
      <c r="AA124" s="2605">
        <f t="shared" si="69"/>
        <v>100</v>
      </c>
      <c r="AB124" s="2607">
        <f t="shared" si="83"/>
        <v>0</v>
      </c>
      <c r="AC124" s="2606">
        <f t="shared" si="76"/>
        <v>0</v>
      </c>
      <c r="AD124" s="2608">
        <f t="shared" si="86"/>
        <v>0</v>
      </c>
      <c r="AE124" s="2607">
        <f t="shared" si="70"/>
        <v>0</v>
      </c>
      <c r="AF124" s="525"/>
      <c r="AG124" s="2605">
        <f t="shared" si="71"/>
        <v>100</v>
      </c>
      <c r="AH124" s="2607">
        <f t="shared" si="84"/>
        <v>0</v>
      </c>
      <c r="AI124" s="2606">
        <f t="shared" si="77"/>
        <v>0</v>
      </c>
      <c r="AJ124" s="2608">
        <f t="shared" si="87"/>
        <v>0</v>
      </c>
      <c r="AK124" s="2607">
        <f t="shared" si="72"/>
        <v>0</v>
      </c>
    </row>
    <row r="125" spans="2:37" ht="20.100000000000001" customHeight="1" x14ac:dyDescent="0.3">
      <c r="B125" s="985"/>
      <c r="C125" s="986"/>
      <c r="D125" s="986"/>
      <c r="E125" s="986"/>
      <c r="F125" s="986"/>
      <c r="G125" s="986"/>
      <c r="H125" s="525"/>
      <c r="I125" s="2605">
        <f t="shared" si="63"/>
        <v>101</v>
      </c>
      <c r="J125" s="2607">
        <f t="shared" si="53"/>
        <v>0</v>
      </c>
      <c r="K125" s="2606">
        <f t="shared" si="73"/>
        <v>0</v>
      </c>
      <c r="L125" s="2608">
        <f t="shared" si="80"/>
        <v>0</v>
      </c>
      <c r="M125" s="2607">
        <f t="shared" si="64"/>
        <v>0</v>
      </c>
      <c r="N125" s="525"/>
      <c r="O125" s="2605">
        <f t="shared" si="65"/>
        <v>101</v>
      </c>
      <c r="P125" s="2607">
        <f t="shared" si="54"/>
        <v>0</v>
      </c>
      <c r="Q125" s="2606">
        <f t="shared" si="74"/>
        <v>0</v>
      </c>
      <c r="R125" s="2608">
        <f t="shared" si="81"/>
        <v>0</v>
      </c>
      <c r="S125" s="2607">
        <f t="shared" si="66"/>
        <v>0</v>
      </c>
      <c r="T125" s="525"/>
      <c r="U125" s="2605">
        <f t="shared" si="67"/>
        <v>101</v>
      </c>
      <c r="V125" s="2607">
        <f t="shared" si="82"/>
        <v>0</v>
      </c>
      <c r="W125" s="2606">
        <f t="shared" si="75"/>
        <v>0</v>
      </c>
      <c r="X125" s="2608">
        <f t="shared" si="85"/>
        <v>0</v>
      </c>
      <c r="Y125" s="2607">
        <f t="shared" si="68"/>
        <v>0</v>
      </c>
      <c r="Z125" s="525"/>
      <c r="AA125" s="2605">
        <f t="shared" si="69"/>
        <v>101</v>
      </c>
      <c r="AB125" s="2607">
        <f t="shared" si="83"/>
        <v>0</v>
      </c>
      <c r="AC125" s="2606">
        <f t="shared" si="76"/>
        <v>0</v>
      </c>
      <c r="AD125" s="2608">
        <f t="shared" si="86"/>
        <v>0</v>
      </c>
      <c r="AE125" s="2607">
        <f t="shared" si="70"/>
        <v>0</v>
      </c>
      <c r="AF125" s="525"/>
      <c r="AG125" s="2605">
        <f t="shared" si="71"/>
        <v>101</v>
      </c>
      <c r="AH125" s="2607">
        <f t="shared" si="84"/>
        <v>0</v>
      </c>
      <c r="AI125" s="2606">
        <f t="shared" si="77"/>
        <v>0</v>
      </c>
      <c r="AJ125" s="2608">
        <f t="shared" si="87"/>
        <v>0</v>
      </c>
      <c r="AK125" s="2607">
        <f t="shared" si="72"/>
        <v>0</v>
      </c>
    </row>
    <row r="126" spans="2:37" ht="20.100000000000001" customHeight="1" x14ac:dyDescent="0.3">
      <c r="B126" s="985"/>
      <c r="C126" s="986"/>
      <c r="D126" s="986"/>
      <c r="E126" s="986"/>
      <c r="F126" s="986"/>
      <c r="G126" s="986"/>
      <c r="H126" s="525"/>
      <c r="I126" s="2605">
        <f t="shared" si="63"/>
        <v>102</v>
      </c>
      <c r="J126" s="2607">
        <f t="shared" si="53"/>
        <v>0</v>
      </c>
      <c r="K126" s="2606">
        <f t="shared" si="73"/>
        <v>0</v>
      </c>
      <c r="L126" s="2608">
        <f t="shared" si="80"/>
        <v>0</v>
      </c>
      <c r="M126" s="2607">
        <f t="shared" si="64"/>
        <v>0</v>
      </c>
      <c r="N126" s="525"/>
      <c r="O126" s="2605">
        <f t="shared" si="65"/>
        <v>102</v>
      </c>
      <c r="P126" s="2607">
        <f t="shared" si="54"/>
        <v>0</v>
      </c>
      <c r="Q126" s="2606">
        <f t="shared" si="74"/>
        <v>0</v>
      </c>
      <c r="R126" s="2608">
        <f t="shared" si="81"/>
        <v>0</v>
      </c>
      <c r="S126" s="2607">
        <f t="shared" si="66"/>
        <v>0</v>
      </c>
      <c r="T126" s="525"/>
      <c r="U126" s="2605">
        <f t="shared" si="67"/>
        <v>102</v>
      </c>
      <c r="V126" s="2607">
        <f t="shared" si="82"/>
        <v>0</v>
      </c>
      <c r="W126" s="2606">
        <f t="shared" si="75"/>
        <v>0</v>
      </c>
      <c r="X126" s="2608">
        <f t="shared" si="85"/>
        <v>0</v>
      </c>
      <c r="Y126" s="2607">
        <f t="shared" si="68"/>
        <v>0</v>
      </c>
      <c r="Z126" s="525"/>
      <c r="AA126" s="2605">
        <f t="shared" si="69"/>
        <v>102</v>
      </c>
      <c r="AB126" s="2607">
        <f t="shared" si="83"/>
        <v>0</v>
      </c>
      <c r="AC126" s="2606">
        <f t="shared" si="76"/>
        <v>0</v>
      </c>
      <c r="AD126" s="2608">
        <f t="shared" si="86"/>
        <v>0</v>
      </c>
      <c r="AE126" s="2607">
        <f t="shared" si="70"/>
        <v>0</v>
      </c>
      <c r="AF126" s="525"/>
      <c r="AG126" s="2605">
        <f t="shared" si="71"/>
        <v>102</v>
      </c>
      <c r="AH126" s="2607">
        <f t="shared" si="84"/>
        <v>0</v>
      </c>
      <c r="AI126" s="2606">
        <f t="shared" si="77"/>
        <v>0</v>
      </c>
      <c r="AJ126" s="2608">
        <f t="shared" si="87"/>
        <v>0</v>
      </c>
      <c r="AK126" s="2607">
        <f t="shared" si="72"/>
        <v>0</v>
      </c>
    </row>
    <row r="127" spans="2:37" ht="20.100000000000001" customHeight="1" x14ac:dyDescent="0.3">
      <c r="B127" s="985"/>
      <c r="C127" s="986"/>
      <c r="D127" s="986"/>
      <c r="E127" s="986"/>
      <c r="F127" s="986"/>
      <c r="G127" s="986"/>
      <c r="H127" s="525"/>
      <c r="I127" s="2605">
        <f t="shared" si="63"/>
        <v>103</v>
      </c>
      <c r="J127" s="2607">
        <f t="shared" si="53"/>
        <v>0</v>
      </c>
      <c r="K127" s="2606">
        <f t="shared" si="73"/>
        <v>0</v>
      </c>
      <c r="L127" s="2608">
        <f t="shared" si="80"/>
        <v>0</v>
      </c>
      <c r="M127" s="2607">
        <f t="shared" si="64"/>
        <v>0</v>
      </c>
      <c r="N127" s="525"/>
      <c r="O127" s="2605">
        <f t="shared" si="65"/>
        <v>103</v>
      </c>
      <c r="P127" s="2607">
        <f t="shared" si="54"/>
        <v>0</v>
      </c>
      <c r="Q127" s="2606">
        <f t="shared" si="74"/>
        <v>0</v>
      </c>
      <c r="R127" s="2608">
        <f t="shared" si="81"/>
        <v>0</v>
      </c>
      <c r="S127" s="2607">
        <f t="shared" si="66"/>
        <v>0</v>
      </c>
      <c r="T127" s="525"/>
      <c r="U127" s="2605">
        <f t="shared" si="67"/>
        <v>103</v>
      </c>
      <c r="V127" s="2607">
        <f t="shared" si="82"/>
        <v>0</v>
      </c>
      <c r="W127" s="2606">
        <f t="shared" si="75"/>
        <v>0</v>
      </c>
      <c r="X127" s="2608">
        <f t="shared" si="85"/>
        <v>0</v>
      </c>
      <c r="Y127" s="2607">
        <f t="shared" si="68"/>
        <v>0</v>
      </c>
      <c r="Z127" s="525"/>
      <c r="AA127" s="2605">
        <f t="shared" si="69"/>
        <v>103</v>
      </c>
      <c r="AB127" s="2607">
        <f t="shared" si="83"/>
        <v>0</v>
      </c>
      <c r="AC127" s="2606">
        <f t="shared" si="76"/>
        <v>0</v>
      </c>
      <c r="AD127" s="2608">
        <f t="shared" si="86"/>
        <v>0</v>
      </c>
      <c r="AE127" s="2607">
        <f t="shared" si="70"/>
        <v>0</v>
      </c>
      <c r="AF127" s="525"/>
      <c r="AG127" s="2605">
        <f t="shared" si="71"/>
        <v>103</v>
      </c>
      <c r="AH127" s="2607">
        <f t="shared" si="84"/>
        <v>0</v>
      </c>
      <c r="AI127" s="2606">
        <f t="shared" si="77"/>
        <v>0</v>
      </c>
      <c r="AJ127" s="2608">
        <f t="shared" si="87"/>
        <v>0</v>
      </c>
      <c r="AK127" s="2607">
        <f t="shared" si="72"/>
        <v>0</v>
      </c>
    </row>
    <row r="128" spans="2:37" ht="20.100000000000001" customHeight="1" x14ac:dyDescent="0.3">
      <c r="B128" s="985"/>
      <c r="C128" s="986"/>
      <c r="D128" s="986"/>
      <c r="E128" s="986"/>
      <c r="F128" s="986"/>
      <c r="G128" s="986"/>
      <c r="H128" s="525"/>
      <c r="I128" s="2605">
        <f t="shared" si="63"/>
        <v>104</v>
      </c>
      <c r="J128" s="2607">
        <f t="shared" si="53"/>
        <v>0</v>
      </c>
      <c r="K128" s="2606">
        <f t="shared" si="73"/>
        <v>0</v>
      </c>
      <c r="L128" s="2608">
        <f t="shared" si="80"/>
        <v>0</v>
      </c>
      <c r="M128" s="2607">
        <f t="shared" si="64"/>
        <v>0</v>
      </c>
      <c r="N128" s="525"/>
      <c r="O128" s="2605">
        <f t="shared" si="65"/>
        <v>104</v>
      </c>
      <c r="P128" s="2607">
        <f t="shared" si="54"/>
        <v>0</v>
      </c>
      <c r="Q128" s="2606">
        <f t="shared" si="74"/>
        <v>0</v>
      </c>
      <c r="R128" s="2608">
        <f t="shared" si="81"/>
        <v>0</v>
      </c>
      <c r="S128" s="2607">
        <f t="shared" si="66"/>
        <v>0</v>
      </c>
      <c r="T128" s="525"/>
      <c r="U128" s="2605">
        <f t="shared" si="67"/>
        <v>104</v>
      </c>
      <c r="V128" s="2607">
        <f t="shared" si="82"/>
        <v>0</v>
      </c>
      <c r="W128" s="2606">
        <f t="shared" si="75"/>
        <v>0</v>
      </c>
      <c r="X128" s="2608">
        <f t="shared" si="85"/>
        <v>0</v>
      </c>
      <c r="Y128" s="2607">
        <f t="shared" si="68"/>
        <v>0</v>
      </c>
      <c r="Z128" s="525"/>
      <c r="AA128" s="2605">
        <f t="shared" si="69"/>
        <v>104</v>
      </c>
      <c r="AB128" s="2607">
        <f t="shared" si="83"/>
        <v>0</v>
      </c>
      <c r="AC128" s="2606">
        <f t="shared" si="76"/>
        <v>0</v>
      </c>
      <c r="AD128" s="2608">
        <f t="shared" si="86"/>
        <v>0</v>
      </c>
      <c r="AE128" s="2607">
        <f t="shared" si="70"/>
        <v>0</v>
      </c>
      <c r="AF128" s="525"/>
      <c r="AG128" s="2605">
        <f t="shared" si="71"/>
        <v>104</v>
      </c>
      <c r="AH128" s="2607">
        <f t="shared" si="84"/>
        <v>0</v>
      </c>
      <c r="AI128" s="2606">
        <f t="shared" si="77"/>
        <v>0</v>
      </c>
      <c r="AJ128" s="2608">
        <f t="shared" si="87"/>
        <v>0</v>
      </c>
      <c r="AK128" s="2607">
        <f t="shared" si="72"/>
        <v>0</v>
      </c>
    </row>
    <row r="129" spans="2:37" ht="20.100000000000001" customHeight="1" x14ac:dyDescent="0.3">
      <c r="B129" s="985"/>
      <c r="C129" s="986"/>
      <c r="D129" s="986"/>
      <c r="E129" s="986"/>
      <c r="F129" s="986"/>
      <c r="G129" s="986"/>
      <c r="H129" s="525"/>
      <c r="I129" s="2605">
        <f t="shared" si="63"/>
        <v>105</v>
      </c>
      <c r="J129" s="2607">
        <f t="shared" si="53"/>
        <v>0</v>
      </c>
      <c r="K129" s="2606">
        <f t="shared" si="73"/>
        <v>0</v>
      </c>
      <c r="L129" s="2608">
        <f t="shared" si="80"/>
        <v>0</v>
      </c>
      <c r="M129" s="2607">
        <f t="shared" si="64"/>
        <v>0</v>
      </c>
      <c r="N129" s="525"/>
      <c r="O129" s="2605">
        <f t="shared" si="65"/>
        <v>105</v>
      </c>
      <c r="P129" s="2607">
        <f t="shared" si="54"/>
        <v>0</v>
      </c>
      <c r="Q129" s="2606">
        <f t="shared" si="74"/>
        <v>0</v>
      </c>
      <c r="R129" s="2608">
        <f t="shared" si="81"/>
        <v>0</v>
      </c>
      <c r="S129" s="2607">
        <f t="shared" si="66"/>
        <v>0</v>
      </c>
      <c r="T129" s="525"/>
      <c r="U129" s="2605">
        <f t="shared" si="67"/>
        <v>105</v>
      </c>
      <c r="V129" s="2607">
        <f t="shared" si="82"/>
        <v>0</v>
      </c>
      <c r="W129" s="2606">
        <f t="shared" si="75"/>
        <v>0</v>
      </c>
      <c r="X129" s="2608">
        <f t="shared" si="85"/>
        <v>0</v>
      </c>
      <c r="Y129" s="2607">
        <f t="shared" si="68"/>
        <v>0</v>
      </c>
      <c r="Z129" s="525"/>
      <c r="AA129" s="2605">
        <f t="shared" si="69"/>
        <v>105</v>
      </c>
      <c r="AB129" s="2607">
        <f t="shared" si="83"/>
        <v>0</v>
      </c>
      <c r="AC129" s="2606">
        <f t="shared" si="76"/>
        <v>0</v>
      </c>
      <c r="AD129" s="2608">
        <f t="shared" si="86"/>
        <v>0</v>
      </c>
      <c r="AE129" s="2607">
        <f t="shared" si="70"/>
        <v>0</v>
      </c>
      <c r="AF129" s="525"/>
      <c r="AG129" s="2605">
        <f t="shared" si="71"/>
        <v>105</v>
      </c>
      <c r="AH129" s="2607">
        <f t="shared" si="84"/>
        <v>0</v>
      </c>
      <c r="AI129" s="2606">
        <f t="shared" si="77"/>
        <v>0</v>
      </c>
      <c r="AJ129" s="2608">
        <f t="shared" si="87"/>
        <v>0</v>
      </c>
      <c r="AK129" s="2607">
        <f t="shared" si="72"/>
        <v>0</v>
      </c>
    </row>
    <row r="130" spans="2:37" ht="20.100000000000001" customHeight="1" x14ac:dyDescent="0.3">
      <c r="B130" s="985"/>
      <c r="C130" s="986"/>
      <c r="D130" s="986"/>
      <c r="E130" s="986"/>
      <c r="F130" s="986"/>
      <c r="G130" s="986"/>
      <c r="H130" s="525"/>
      <c r="I130" s="2605">
        <f t="shared" si="63"/>
        <v>106</v>
      </c>
      <c r="J130" s="2607">
        <f t="shared" si="53"/>
        <v>0</v>
      </c>
      <c r="K130" s="2606">
        <f t="shared" si="73"/>
        <v>0</v>
      </c>
      <c r="L130" s="2608">
        <f t="shared" si="80"/>
        <v>0</v>
      </c>
      <c r="M130" s="2607">
        <f t="shared" si="64"/>
        <v>0</v>
      </c>
      <c r="N130" s="525"/>
      <c r="O130" s="2605">
        <f t="shared" si="65"/>
        <v>106</v>
      </c>
      <c r="P130" s="2607">
        <f t="shared" si="54"/>
        <v>0</v>
      </c>
      <c r="Q130" s="2606">
        <f t="shared" si="74"/>
        <v>0</v>
      </c>
      <c r="R130" s="2608">
        <f t="shared" si="81"/>
        <v>0</v>
      </c>
      <c r="S130" s="2607">
        <f t="shared" si="66"/>
        <v>0</v>
      </c>
      <c r="T130" s="525"/>
      <c r="U130" s="2605">
        <f t="shared" si="67"/>
        <v>106</v>
      </c>
      <c r="V130" s="2607">
        <f t="shared" si="82"/>
        <v>0</v>
      </c>
      <c r="W130" s="2606">
        <f t="shared" si="75"/>
        <v>0</v>
      </c>
      <c r="X130" s="2608">
        <f t="shared" si="85"/>
        <v>0</v>
      </c>
      <c r="Y130" s="2607">
        <f t="shared" si="68"/>
        <v>0</v>
      </c>
      <c r="Z130" s="525"/>
      <c r="AA130" s="2605">
        <f t="shared" si="69"/>
        <v>106</v>
      </c>
      <c r="AB130" s="2607">
        <f t="shared" si="83"/>
        <v>0</v>
      </c>
      <c r="AC130" s="2606">
        <f t="shared" si="76"/>
        <v>0</v>
      </c>
      <c r="AD130" s="2608">
        <f t="shared" si="86"/>
        <v>0</v>
      </c>
      <c r="AE130" s="2607">
        <f t="shared" si="70"/>
        <v>0</v>
      </c>
      <c r="AF130" s="525"/>
      <c r="AG130" s="2605">
        <f t="shared" si="71"/>
        <v>106</v>
      </c>
      <c r="AH130" s="2607">
        <f t="shared" si="84"/>
        <v>0</v>
      </c>
      <c r="AI130" s="2606">
        <f t="shared" si="77"/>
        <v>0</v>
      </c>
      <c r="AJ130" s="2608">
        <f t="shared" si="87"/>
        <v>0</v>
      </c>
      <c r="AK130" s="2607">
        <f t="shared" si="72"/>
        <v>0</v>
      </c>
    </row>
    <row r="131" spans="2:37" ht="20.100000000000001" customHeight="1" x14ac:dyDescent="0.3">
      <c r="B131" s="985"/>
      <c r="C131" s="986"/>
      <c r="D131" s="986"/>
      <c r="E131" s="986"/>
      <c r="F131" s="986"/>
      <c r="G131" s="986"/>
      <c r="H131" s="525"/>
      <c r="I131" s="2605">
        <f t="shared" si="63"/>
        <v>107</v>
      </c>
      <c r="J131" s="2607">
        <f t="shared" si="53"/>
        <v>0</v>
      </c>
      <c r="K131" s="2606">
        <f t="shared" si="73"/>
        <v>0</v>
      </c>
      <c r="L131" s="2608">
        <f t="shared" si="80"/>
        <v>0</v>
      </c>
      <c r="M131" s="2607">
        <f t="shared" si="64"/>
        <v>0</v>
      </c>
      <c r="N131" s="525"/>
      <c r="O131" s="2605">
        <f t="shared" si="65"/>
        <v>107</v>
      </c>
      <c r="P131" s="2607">
        <f t="shared" si="54"/>
        <v>0</v>
      </c>
      <c r="Q131" s="2606">
        <f t="shared" si="74"/>
        <v>0</v>
      </c>
      <c r="R131" s="2608">
        <f t="shared" si="81"/>
        <v>0</v>
      </c>
      <c r="S131" s="2607">
        <f t="shared" si="66"/>
        <v>0</v>
      </c>
      <c r="T131" s="525"/>
      <c r="U131" s="2605">
        <f t="shared" si="67"/>
        <v>107</v>
      </c>
      <c r="V131" s="2607">
        <f t="shared" si="82"/>
        <v>0</v>
      </c>
      <c r="W131" s="2606">
        <f t="shared" si="75"/>
        <v>0</v>
      </c>
      <c r="X131" s="2608">
        <f t="shared" si="85"/>
        <v>0</v>
      </c>
      <c r="Y131" s="2607">
        <f t="shared" si="68"/>
        <v>0</v>
      </c>
      <c r="Z131" s="525"/>
      <c r="AA131" s="2605">
        <f t="shared" si="69"/>
        <v>107</v>
      </c>
      <c r="AB131" s="2607">
        <f t="shared" si="83"/>
        <v>0</v>
      </c>
      <c r="AC131" s="2606">
        <f t="shared" si="76"/>
        <v>0</v>
      </c>
      <c r="AD131" s="2608">
        <f t="shared" si="86"/>
        <v>0</v>
      </c>
      <c r="AE131" s="2607">
        <f t="shared" si="70"/>
        <v>0</v>
      </c>
      <c r="AF131" s="525"/>
      <c r="AG131" s="2605">
        <f t="shared" si="71"/>
        <v>107</v>
      </c>
      <c r="AH131" s="2607">
        <f t="shared" si="84"/>
        <v>0</v>
      </c>
      <c r="AI131" s="2606">
        <f t="shared" si="77"/>
        <v>0</v>
      </c>
      <c r="AJ131" s="2608">
        <f t="shared" si="87"/>
        <v>0</v>
      </c>
      <c r="AK131" s="2607">
        <f t="shared" si="72"/>
        <v>0</v>
      </c>
    </row>
    <row r="132" spans="2:37" ht="20.100000000000001" customHeight="1" x14ac:dyDescent="0.3">
      <c r="B132" s="985"/>
      <c r="C132" s="986"/>
      <c r="D132" s="986"/>
      <c r="E132" s="986"/>
      <c r="F132" s="986"/>
      <c r="G132" s="986"/>
      <c r="H132" s="525"/>
      <c r="I132" s="2605">
        <f t="shared" si="63"/>
        <v>108</v>
      </c>
      <c r="J132" s="2607">
        <f t="shared" si="53"/>
        <v>0</v>
      </c>
      <c r="K132" s="2606">
        <f t="shared" si="73"/>
        <v>0</v>
      </c>
      <c r="L132" s="2608">
        <f t="shared" si="80"/>
        <v>0</v>
      </c>
      <c r="M132" s="2607">
        <f t="shared" si="64"/>
        <v>0</v>
      </c>
      <c r="N132" s="525"/>
      <c r="O132" s="2605">
        <f t="shared" si="65"/>
        <v>108</v>
      </c>
      <c r="P132" s="2607">
        <f t="shared" si="54"/>
        <v>0</v>
      </c>
      <c r="Q132" s="2606">
        <f t="shared" si="74"/>
        <v>0</v>
      </c>
      <c r="R132" s="2608">
        <f t="shared" si="81"/>
        <v>0</v>
      </c>
      <c r="S132" s="2607">
        <f t="shared" si="66"/>
        <v>0</v>
      </c>
      <c r="T132" s="525"/>
      <c r="U132" s="2605">
        <f t="shared" si="67"/>
        <v>108</v>
      </c>
      <c r="V132" s="2607">
        <f t="shared" si="82"/>
        <v>0</v>
      </c>
      <c r="W132" s="2606">
        <f t="shared" si="75"/>
        <v>0</v>
      </c>
      <c r="X132" s="2608">
        <f t="shared" si="85"/>
        <v>0</v>
      </c>
      <c r="Y132" s="2607">
        <f t="shared" si="68"/>
        <v>0</v>
      </c>
      <c r="Z132" s="525"/>
      <c r="AA132" s="2605">
        <f t="shared" si="69"/>
        <v>108</v>
      </c>
      <c r="AB132" s="2607">
        <f t="shared" si="83"/>
        <v>0</v>
      </c>
      <c r="AC132" s="2606">
        <f t="shared" si="76"/>
        <v>0</v>
      </c>
      <c r="AD132" s="2608">
        <f t="shared" si="86"/>
        <v>0</v>
      </c>
      <c r="AE132" s="2607">
        <f t="shared" si="70"/>
        <v>0</v>
      </c>
      <c r="AF132" s="525"/>
      <c r="AG132" s="2605">
        <f t="shared" si="71"/>
        <v>108</v>
      </c>
      <c r="AH132" s="2607">
        <f t="shared" si="84"/>
        <v>0</v>
      </c>
      <c r="AI132" s="2606">
        <f t="shared" si="77"/>
        <v>0</v>
      </c>
      <c r="AJ132" s="2608">
        <f t="shared" si="87"/>
        <v>0</v>
      </c>
      <c r="AK132" s="2607">
        <f t="shared" si="72"/>
        <v>0</v>
      </c>
    </row>
    <row r="133" spans="2:37" ht="20.100000000000001" customHeight="1" x14ac:dyDescent="0.3">
      <c r="B133" s="985"/>
      <c r="C133" s="986"/>
      <c r="D133" s="986"/>
      <c r="E133" s="986"/>
      <c r="F133" s="986"/>
      <c r="G133" s="986"/>
      <c r="H133" s="525"/>
      <c r="I133" s="2605">
        <f t="shared" si="63"/>
        <v>109</v>
      </c>
      <c r="J133" s="2607">
        <f t="shared" si="53"/>
        <v>0</v>
      </c>
      <c r="K133" s="2606">
        <f t="shared" si="73"/>
        <v>0</v>
      </c>
      <c r="L133" s="2608">
        <f t="shared" si="80"/>
        <v>0</v>
      </c>
      <c r="M133" s="2607">
        <f t="shared" si="64"/>
        <v>0</v>
      </c>
      <c r="N133" s="525"/>
      <c r="O133" s="2605">
        <f t="shared" si="65"/>
        <v>109</v>
      </c>
      <c r="P133" s="2607">
        <f t="shared" si="54"/>
        <v>0</v>
      </c>
      <c r="Q133" s="2606">
        <f t="shared" si="74"/>
        <v>0</v>
      </c>
      <c r="R133" s="2608">
        <f t="shared" si="81"/>
        <v>0</v>
      </c>
      <c r="S133" s="2607">
        <f t="shared" si="66"/>
        <v>0</v>
      </c>
      <c r="T133" s="525"/>
      <c r="U133" s="2605">
        <f t="shared" si="67"/>
        <v>109</v>
      </c>
      <c r="V133" s="2607">
        <f t="shared" si="82"/>
        <v>0</v>
      </c>
      <c r="W133" s="2606">
        <f t="shared" si="75"/>
        <v>0</v>
      </c>
      <c r="X133" s="2608">
        <f t="shared" si="85"/>
        <v>0</v>
      </c>
      <c r="Y133" s="2607">
        <f t="shared" si="68"/>
        <v>0</v>
      </c>
      <c r="Z133" s="525"/>
      <c r="AA133" s="2605">
        <f t="shared" si="69"/>
        <v>109</v>
      </c>
      <c r="AB133" s="2607">
        <f t="shared" si="83"/>
        <v>0</v>
      </c>
      <c r="AC133" s="2606">
        <f t="shared" si="76"/>
        <v>0</v>
      </c>
      <c r="AD133" s="2608">
        <f t="shared" si="86"/>
        <v>0</v>
      </c>
      <c r="AE133" s="2607">
        <f t="shared" si="70"/>
        <v>0</v>
      </c>
      <c r="AF133" s="525"/>
      <c r="AG133" s="2605">
        <f t="shared" si="71"/>
        <v>109</v>
      </c>
      <c r="AH133" s="2607">
        <f t="shared" si="84"/>
        <v>0</v>
      </c>
      <c r="AI133" s="2606">
        <f t="shared" si="77"/>
        <v>0</v>
      </c>
      <c r="AJ133" s="2608">
        <f t="shared" si="87"/>
        <v>0</v>
      </c>
      <c r="AK133" s="2607">
        <f t="shared" si="72"/>
        <v>0</v>
      </c>
    </row>
    <row r="134" spans="2:37" ht="20.100000000000001" customHeight="1" x14ac:dyDescent="0.3">
      <c r="B134" s="985"/>
      <c r="C134" s="986"/>
      <c r="D134" s="986"/>
      <c r="E134" s="986"/>
      <c r="F134" s="986"/>
      <c r="G134" s="986"/>
      <c r="H134" s="525"/>
      <c r="I134" s="2605">
        <f t="shared" si="63"/>
        <v>110</v>
      </c>
      <c r="J134" s="2607">
        <f t="shared" si="53"/>
        <v>0</v>
      </c>
      <c r="K134" s="2606">
        <f t="shared" si="73"/>
        <v>0</v>
      </c>
      <c r="L134" s="2608">
        <f t="shared" si="80"/>
        <v>0</v>
      </c>
      <c r="M134" s="2607">
        <f t="shared" si="64"/>
        <v>0</v>
      </c>
      <c r="N134" s="525"/>
      <c r="O134" s="2605">
        <f t="shared" si="65"/>
        <v>110</v>
      </c>
      <c r="P134" s="2607">
        <f t="shared" si="54"/>
        <v>0</v>
      </c>
      <c r="Q134" s="2606">
        <f t="shared" si="74"/>
        <v>0</v>
      </c>
      <c r="R134" s="2608">
        <f t="shared" si="81"/>
        <v>0</v>
      </c>
      <c r="S134" s="2607">
        <f t="shared" si="66"/>
        <v>0</v>
      </c>
      <c r="T134" s="525"/>
      <c r="U134" s="2605">
        <f t="shared" si="67"/>
        <v>110</v>
      </c>
      <c r="V134" s="2607">
        <f t="shared" si="82"/>
        <v>0</v>
      </c>
      <c r="W134" s="2606">
        <f t="shared" si="75"/>
        <v>0</v>
      </c>
      <c r="X134" s="2608">
        <f t="shared" si="85"/>
        <v>0</v>
      </c>
      <c r="Y134" s="2607">
        <f t="shared" si="68"/>
        <v>0</v>
      </c>
      <c r="Z134" s="525"/>
      <c r="AA134" s="2605">
        <f t="shared" si="69"/>
        <v>110</v>
      </c>
      <c r="AB134" s="2607">
        <f t="shared" si="83"/>
        <v>0</v>
      </c>
      <c r="AC134" s="2606">
        <f t="shared" si="76"/>
        <v>0</v>
      </c>
      <c r="AD134" s="2608">
        <f t="shared" si="86"/>
        <v>0</v>
      </c>
      <c r="AE134" s="2607">
        <f t="shared" si="70"/>
        <v>0</v>
      </c>
      <c r="AF134" s="525"/>
      <c r="AG134" s="2605">
        <f t="shared" si="71"/>
        <v>110</v>
      </c>
      <c r="AH134" s="2607">
        <f t="shared" si="84"/>
        <v>0</v>
      </c>
      <c r="AI134" s="2606">
        <f t="shared" si="77"/>
        <v>0</v>
      </c>
      <c r="AJ134" s="2608">
        <f t="shared" si="87"/>
        <v>0</v>
      </c>
      <c r="AK134" s="2607">
        <f t="shared" si="72"/>
        <v>0</v>
      </c>
    </row>
    <row r="135" spans="2:37" ht="20.100000000000001" customHeight="1" x14ac:dyDescent="0.3">
      <c r="B135" s="985"/>
      <c r="C135" s="986"/>
      <c r="D135" s="986"/>
      <c r="E135" s="986"/>
      <c r="F135" s="986"/>
      <c r="G135" s="986"/>
      <c r="H135" s="525"/>
      <c r="I135" s="2605">
        <f t="shared" si="63"/>
        <v>111</v>
      </c>
      <c r="J135" s="2607">
        <f t="shared" si="53"/>
        <v>0</v>
      </c>
      <c r="K135" s="2606">
        <f t="shared" si="73"/>
        <v>0</v>
      </c>
      <c r="L135" s="2608">
        <f t="shared" si="80"/>
        <v>0</v>
      </c>
      <c r="M135" s="2607">
        <f t="shared" si="64"/>
        <v>0</v>
      </c>
      <c r="N135" s="525"/>
      <c r="O135" s="2605">
        <f t="shared" si="65"/>
        <v>111</v>
      </c>
      <c r="P135" s="2607">
        <f t="shared" si="54"/>
        <v>0</v>
      </c>
      <c r="Q135" s="2606">
        <f t="shared" si="74"/>
        <v>0</v>
      </c>
      <c r="R135" s="2608">
        <f t="shared" si="81"/>
        <v>0</v>
      </c>
      <c r="S135" s="2607">
        <f t="shared" si="66"/>
        <v>0</v>
      </c>
      <c r="T135" s="525"/>
      <c r="U135" s="2605">
        <f t="shared" si="67"/>
        <v>111</v>
      </c>
      <c r="V135" s="2607">
        <f t="shared" si="82"/>
        <v>0</v>
      </c>
      <c r="W135" s="2606">
        <f t="shared" si="75"/>
        <v>0</v>
      </c>
      <c r="X135" s="2608">
        <f t="shared" si="85"/>
        <v>0</v>
      </c>
      <c r="Y135" s="2607">
        <f t="shared" si="68"/>
        <v>0</v>
      </c>
      <c r="Z135" s="525"/>
      <c r="AA135" s="2605">
        <f t="shared" si="69"/>
        <v>111</v>
      </c>
      <c r="AB135" s="2607">
        <f t="shared" si="83"/>
        <v>0</v>
      </c>
      <c r="AC135" s="2606">
        <f t="shared" si="76"/>
        <v>0</v>
      </c>
      <c r="AD135" s="2608">
        <f t="shared" si="86"/>
        <v>0</v>
      </c>
      <c r="AE135" s="2607">
        <f t="shared" si="70"/>
        <v>0</v>
      </c>
      <c r="AF135" s="525"/>
      <c r="AG135" s="2605">
        <f t="shared" si="71"/>
        <v>111</v>
      </c>
      <c r="AH135" s="2607">
        <f t="shared" si="84"/>
        <v>0</v>
      </c>
      <c r="AI135" s="2606">
        <f t="shared" si="77"/>
        <v>0</v>
      </c>
      <c r="AJ135" s="2608">
        <f t="shared" si="87"/>
        <v>0</v>
      </c>
      <c r="AK135" s="2607">
        <f t="shared" si="72"/>
        <v>0</v>
      </c>
    </row>
    <row r="136" spans="2:37" ht="20.100000000000001" customHeight="1" x14ac:dyDescent="0.3">
      <c r="B136" s="985"/>
      <c r="C136" s="986"/>
      <c r="D136" s="986"/>
      <c r="E136" s="986"/>
      <c r="F136" s="986"/>
      <c r="G136" s="986"/>
      <c r="H136" s="525"/>
      <c r="I136" s="2605">
        <f t="shared" si="63"/>
        <v>112</v>
      </c>
      <c r="J136" s="2607">
        <f t="shared" si="53"/>
        <v>0</v>
      </c>
      <c r="K136" s="2606">
        <f t="shared" si="73"/>
        <v>0</v>
      </c>
      <c r="L136" s="2608">
        <f t="shared" si="80"/>
        <v>0</v>
      </c>
      <c r="M136" s="2607">
        <f t="shared" si="64"/>
        <v>0</v>
      </c>
      <c r="N136" s="525"/>
      <c r="O136" s="2605">
        <f t="shared" si="65"/>
        <v>112</v>
      </c>
      <c r="P136" s="2607">
        <f t="shared" si="54"/>
        <v>0</v>
      </c>
      <c r="Q136" s="2606">
        <f t="shared" si="74"/>
        <v>0</v>
      </c>
      <c r="R136" s="2608">
        <f t="shared" si="81"/>
        <v>0</v>
      </c>
      <c r="S136" s="2607">
        <f t="shared" si="66"/>
        <v>0</v>
      </c>
      <c r="T136" s="525"/>
      <c r="U136" s="2605">
        <f t="shared" si="67"/>
        <v>112</v>
      </c>
      <c r="V136" s="2607">
        <f t="shared" si="82"/>
        <v>0</v>
      </c>
      <c r="W136" s="2606">
        <f t="shared" si="75"/>
        <v>0</v>
      </c>
      <c r="X136" s="2608">
        <f t="shared" si="85"/>
        <v>0</v>
      </c>
      <c r="Y136" s="2607">
        <f t="shared" si="68"/>
        <v>0</v>
      </c>
      <c r="Z136" s="525"/>
      <c r="AA136" s="2605">
        <f t="shared" si="69"/>
        <v>112</v>
      </c>
      <c r="AB136" s="2607">
        <f t="shared" si="83"/>
        <v>0</v>
      </c>
      <c r="AC136" s="2606">
        <f t="shared" si="76"/>
        <v>0</v>
      </c>
      <c r="AD136" s="2608">
        <f t="shared" si="86"/>
        <v>0</v>
      </c>
      <c r="AE136" s="2607">
        <f t="shared" si="70"/>
        <v>0</v>
      </c>
      <c r="AF136" s="525"/>
      <c r="AG136" s="2605">
        <f t="shared" si="71"/>
        <v>112</v>
      </c>
      <c r="AH136" s="2607">
        <f t="shared" si="84"/>
        <v>0</v>
      </c>
      <c r="AI136" s="2606">
        <f t="shared" si="77"/>
        <v>0</v>
      </c>
      <c r="AJ136" s="2608">
        <f t="shared" si="87"/>
        <v>0</v>
      </c>
      <c r="AK136" s="2607">
        <f t="shared" si="72"/>
        <v>0</v>
      </c>
    </row>
    <row r="137" spans="2:37" ht="20.100000000000001" customHeight="1" x14ac:dyDescent="0.3">
      <c r="B137" s="985"/>
      <c r="C137" s="986"/>
      <c r="D137" s="986"/>
      <c r="E137" s="986"/>
      <c r="F137" s="986"/>
      <c r="G137" s="986"/>
      <c r="H137" s="525"/>
      <c r="I137" s="2605">
        <f t="shared" si="63"/>
        <v>113</v>
      </c>
      <c r="J137" s="2607">
        <f t="shared" si="53"/>
        <v>0</v>
      </c>
      <c r="K137" s="2606">
        <f t="shared" si="73"/>
        <v>0</v>
      </c>
      <c r="L137" s="2608">
        <f t="shared" si="80"/>
        <v>0</v>
      </c>
      <c r="M137" s="2607">
        <f t="shared" si="64"/>
        <v>0</v>
      </c>
      <c r="N137" s="525"/>
      <c r="O137" s="2605">
        <f t="shared" si="65"/>
        <v>113</v>
      </c>
      <c r="P137" s="2607">
        <f t="shared" si="54"/>
        <v>0</v>
      </c>
      <c r="Q137" s="2606">
        <f t="shared" si="74"/>
        <v>0</v>
      </c>
      <c r="R137" s="2608">
        <f t="shared" si="81"/>
        <v>0</v>
      </c>
      <c r="S137" s="2607">
        <f t="shared" si="66"/>
        <v>0</v>
      </c>
      <c r="T137" s="525"/>
      <c r="U137" s="2605">
        <f t="shared" si="67"/>
        <v>113</v>
      </c>
      <c r="V137" s="2607">
        <f t="shared" si="82"/>
        <v>0</v>
      </c>
      <c r="W137" s="2606">
        <f t="shared" si="75"/>
        <v>0</v>
      </c>
      <c r="X137" s="2608">
        <f t="shared" si="85"/>
        <v>0</v>
      </c>
      <c r="Y137" s="2607">
        <f t="shared" si="68"/>
        <v>0</v>
      </c>
      <c r="Z137" s="525"/>
      <c r="AA137" s="2605">
        <f t="shared" si="69"/>
        <v>113</v>
      </c>
      <c r="AB137" s="2607">
        <f t="shared" si="83"/>
        <v>0</v>
      </c>
      <c r="AC137" s="2606">
        <f t="shared" si="76"/>
        <v>0</v>
      </c>
      <c r="AD137" s="2608">
        <f t="shared" si="86"/>
        <v>0</v>
      </c>
      <c r="AE137" s="2607">
        <f t="shared" si="70"/>
        <v>0</v>
      </c>
      <c r="AF137" s="525"/>
      <c r="AG137" s="2605">
        <f t="shared" si="71"/>
        <v>113</v>
      </c>
      <c r="AH137" s="2607">
        <f t="shared" si="84"/>
        <v>0</v>
      </c>
      <c r="AI137" s="2606">
        <f t="shared" si="77"/>
        <v>0</v>
      </c>
      <c r="AJ137" s="2608">
        <f t="shared" si="87"/>
        <v>0</v>
      </c>
      <c r="AK137" s="2607">
        <f t="shared" si="72"/>
        <v>0</v>
      </c>
    </row>
    <row r="138" spans="2:37" ht="20.100000000000001" customHeight="1" x14ac:dyDescent="0.3">
      <c r="B138" s="985"/>
      <c r="C138" s="986"/>
      <c r="D138" s="986"/>
      <c r="E138" s="986"/>
      <c r="F138" s="986"/>
      <c r="G138" s="986"/>
      <c r="H138" s="525"/>
      <c r="I138" s="2605">
        <f t="shared" si="63"/>
        <v>114</v>
      </c>
      <c r="J138" s="2607">
        <f t="shared" si="53"/>
        <v>0</v>
      </c>
      <c r="K138" s="2606">
        <f t="shared" si="73"/>
        <v>0</v>
      </c>
      <c r="L138" s="2608">
        <f t="shared" si="80"/>
        <v>0</v>
      </c>
      <c r="M138" s="2607">
        <f t="shared" si="64"/>
        <v>0</v>
      </c>
      <c r="N138" s="525"/>
      <c r="O138" s="2605">
        <f t="shared" si="65"/>
        <v>114</v>
      </c>
      <c r="P138" s="2607">
        <f t="shared" si="54"/>
        <v>0</v>
      </c>
      <c r="Q138" s="2606">
        <f t="shared" si="74"/>
        <v>0</v>
      </c>
      <c r="R138" s="2608">
        <f t="shared" si="81"/>
        <v>0</v>
      </c>
      <c r="S138" s="2607">
        <f t="shared" si="66"/>
        <v>0</v>
      </c>
      <c r="T138" s="525"/>
      <c r="U138" s="2605">
        <f t="shared" si="67"/>
        <v>114</v>
      </c>
      <c r="V138" s="2607">
        <f t="shared" si="82"/>
        <v>0</v>
      </c>
      <c r="W138" s="2606">
        <f t="shared" si="75"/>
        <v>0</v>
      </c>
      <c r="X138" s="2608">
        <f t="shared" si="85"/>
        <v>0</v>
      </c>
      <c r="Y138" s="2607">
        <f t="shared" si="68"/>
        <v>0</v>
      </c>
      <c r="Z138" s="525"/>
      <c r="AA138" s="2605">
        <f t="shared" si="69"/>
        <v>114</v>
      </c>
      <c r="AB138" s="2607">
        <f t="shared" si="83"/>
        <v>0</v>
      </c>
      <c r="AC138" s="2606">
        <f t="shared" si="76"/>
        <v>0</v>
      </c>
      <c r="AD138" s="2608">
        <f t="shared" si="86"/>
        <v>0</v>
      </c>
      <c r="AE138" s="2607">
        <f t="shared" si="70"/>
        <v>0</v>
      </c>
      <c r="AF138" s="525"/>
      <c r="AG138" s="2605">
        <f t="shared" si="71"/>
        <v>114</v>
      </c>
      <c r="AH138" s="2607">
        <f t="shared" si="84"/>
        <v>0</v>
      </c>
      <c r="AI138" s="2606">
        <f t="shared" si="77"/>
        <v>0</v>
      </c>
      <c r="AJ138" s="2608">
        <f t="shared" si="87"/>
        <v>0</v>
      </c>
      <c r="AK138" s="2607">
        <f t="shared" si="72"/>
        <v>0</v>
      </c>
    </row>
    <row r="139" spans="2:37" ht="20.100000000000001" customHeight="1" x14ac:dyDescent="0.3">
      <c r="B139" s="985"/>
      <c r="C139" s="986"/>
      <c r="D139" s="986"/>
      <c r="E139" s="986"/>
      <c r="F139" s="986"/>
      <c r="G139" s="986"/>
      <c r="H139" s="525"/>
      <c r="I139" s="2605">
        <f t="shared" si="63"/>
        <v>115</v>
      </c>
      <c r="J139" s="2607">
        <f t="shared" si="53"/>
        <v>0</v>
      </c>
      <c r="K139" s="2606">
        <f t="shared" si="73"/>
        <v>0</v>
      </c>
      <c r="L139" s="2608">
        <f t="shared" si="80"/>
        <v>0</v>
      </c>
      <c r="M139" s="2607">
        <f t="shared" si="64"/>
        <v>0</v>
      </c>
      <c r="N139" s="525"/>
      <c r="O139" s="2605">
        <f t="shared" si="65"/>
        <v>115</v>
      </c>
      <c r="P139" s="2607">
        <f t="shared" si="54"/>
        <v>0</v>
      </c>
      <c r="Q139" s="2606">
        <f t="shared" si="74"/>
        <v>0</v>
      </c>
      <c r="R139" s="2608">
        <f t="shared" si="81"/>
        <v>0</v>
      </c>
      <c r="S139" s="2607">
        <f t="shared" si="66"/>
        <v>0</v>
      </c>
      <c r="T139" s="525"/>
      <c r="U139" s="2605">
        <f t="shared" si="67"/>
        <v>115</v>
      </c>
      <c r="V139" s="2607">
        <f t="shared" si="82"/>
        <v>0</v>
      </c>
      <c r="W139" s="2606">
        <f t="shared" si="75"/>
        <v>0</v>
      </c>
      <c r="X139" s="2608">
        <f t="shared" si="85"/>
        <v>0</v>
      </c>
      <c r="Y139" s="2607">
        <f t="shared" si="68"/>
        <v>0</v>
      </c>
      <c r="Z139" s="525"/>
      <c r="AA139" s="2605">
        <f t="shared" si="69"/>
        <v>115</v>
      </c>
      <c r="AB139" s="2607">
        <f t="shared" si="83"/>
        <v>0</v>
      </c>
      <c r="AC139" s="2606">
        <f t="shared" si="76"/>
        <v>0</v>
      </c>
      <c r="AD139" s="2608">
        <f t="shared" si="86"/>
        <v>0</v>
      </c>
      <c r="AE139" s="2607">
        <f t="shared" si="70"/>
        <v>0</v>
      </c>
      <c r="AF139" s="525"/>
      <c r="AG139" s="2605">
        <f t="shared" si="71"/>
        <v>115</v>
      </c>
      <c r="AH139" s="2607">
        <f t="shared" si="84"/>
        <v>0</v>
      </c>
      <c r="AI139" s="2606">
        <f t="shared" si="77"/>
        <v>0</v>
      </c>
      <c r="AJ139" s="2608">
        <f t="shared" si="87"/>
        <v>0</v>
      </c>
      <c r="AK139" s="2607">
        <f t="shared" si="72"/>
        <v>0</v>
      </c>
    </row>
    <row r="140" spans="2:37" ht="20.100000000000001" customHeight="1" x14ac:dyDescent="0.3">
      <c r="B140" s="985"/>
      <c r="C140" s="986"/>
      <c r="D140" s="986"/>
      <c r="E140" s="986"/>
      <c r="F140" s="986"/>
      <c r="G140" s="986"/>
      <c r="H140" s="525"/>
      <c r="I140" s="2605">
        <f t="shared" si="63"/>
        <v>116</v>
      </c>
      <c r="J140" s="2607">
        <f t="shared" si="53"/>
        <v>0</v>
      </c>
      <c r="K140" s="2606">
        <f t="shared" si="73"/>
        <v>0</v>
      </c>
      <c r="L140" s="2608">
        <f t="shared" si="80"/>
        <v>0</v>
      </c>
      <c r="M140" s="2607">
        <f t="shared" si="64"/>
        <v>0</v>
      </c>
      <c r="N140" s="525"/>
      <c r="O140" s="2605">
        <f t="shared" si="65"/>
        <v>116</v>
      </c>
      <c r="P140" s="2607">
        <f t="shared" si="54"/>
        <v>0</v>
      </c>
      <c r="Q140" s="2606">
        <f t="shared" si="74"/>
        <v>0</v>
      </c>
      <c r="R140" s="2608">
        <f t="shared" si="81"/>
        <v>0</v>
      </c>
      <c r="S140" s="2607">
        <f t="shared" si="66"/>
        <v>0</v>
      </c>
      <c r="T140" s="525"/>
      <c r="U140" s="2605">
        <f t="shared" si="67"/>
        <v>116</v>
      </c>
      <c r="V140" s="2607">
        <f t="shared" si="82"/>
        <v>0</v>
      </c>
      <c r="W140" s="2606">
        <f t="shared" si="75"/>
        <v>0</v>
      </c>
      <c r="X140" s="2608">
        <f t="shared" si="85"/>
        <v>0</v>
      </c>
      <c r="Y140" s="2607">
        <f t="shared" si="68"/>
        <v>0</v>
      </c>
      <c r="Z140" s="525"/>
      <c r="AA140" s="2605">
        <f t="shared" si="69"/>
        <v>116</v>
      </c>
      <c r="AB140" s="2607">
        <f t="shared" si="83"/>
        <v>0</v>
      </c>
      <c r="AC140" s="2606">
        <f t="shared" si="76"/>
        <v>0</v>
      </c>
      <c r="AD140" s="2608">
        <f t="shared" si="86"/>
        <v>0</v>
      </c>
      <c r="AE140" s="2607">
        <f t="shared" si="70"/>
        <v>0</v>
      </c>
      <c r="AF140" s="525"/>
      <c r="AG140" s="2605">
        <f t="shared" si="71"/>
        <v>116</v>
      </c>
      <c r="AH140" s="2607">
        <f t="shared" si="84"/>
        <v>0</v>
      </c>
      <c r="AI140" s="2606">
        <f t="shared" si="77"/>
        <v>0</v>
      </c>
      <c r="AJ140" s="2608">
        <f t="shared" si="87"/>
        <v>0</v>
      </c>
      <c r="AK140" s="2607">
        <f t="shared" si="72"/>
        <v>0</v>
      </c>
    </row>
    <row r="141" spans="2:37" ht="20.100000000000001" customHeight="1" x14ac:dyDescent="0.3">
      <c r="B141" s="985"/>
      <c r="C141" s="986"/>
      <c r="D141" s="986"/>
      <c r="E141" s="986"/>
      <c r="F141" s="986"/>
      <c r="G141" s="986"/>
      <c r="H141" s="525"/>
      <c r="I141" s="2605">
        <f t="shared" si="63"/>
        <v>117</v>
      </c>
      <c r="J141" s="2607">
        <f t="shared" si="53"/>
        <v>0</v>
      </c>
      <c r="K141" s="2606">
        <f t="shared" si="73"/>
        <v>0</v>
      </c>
      <c r="L141" s="2608">
        <f t="shared" si="80"/>
        <v>0</v>
      </c>
      <c r="M141" s="2607">
        <f t="shared" si="64"/>
        <v>0</v>
      </c>
      <c r="N141" s="525"/>
      <c r="O141" s="2605">
        <f t="shared" si="65"/>
        <v>117</v>
      </c>
      <c r="P141" s="2607">
        <f t="shared" si="54"/>
        <v>0</v>
      </c>
      <c r="Q141" s="2606">
        <f t="shared" si="74"/>
        <v>0</v>
      </c>
      <c r="R141" s="2608">
        <f t="shared" si="81"/>
        <v>0</v>
      </c>
      <c r="S141" s="2607">
        <f t="shared" si="66"/>
        <v>0</v>
      </c>
      <c r="T141" s="525"/>
      <c r="U141" s="2605">
        <f t="shared" si="67"/>
        <v>117</v>
      </c>
      <c r="V141" s="2607">
        <f t="shared" si="82"/>
        <v>0</v>
      </c>
      <c r="W141" s="2606">
        <f t="shared" si="75"/>
        <v>0</v>
      </c>
      <c r="X141" s="2608">
        <f t="shared" si="85"/>
        <v>0</v>
      </c>
      <c r="Y141" s="2607">
        <f t="shared" si="68"/>
        <v>0</v>
      </c>
      <c r="Z141" s="525"/>
      <c r="AA141" s="2605">
        <f t="shared" si="69"/>
        <v>117</v>
      </c>
      <c r="AB141" s="2607">
        <f t="shared" si="83"/>
        <v>0</v>
      </c>
      <c r="AC141" s="2606">
        <f t="shared" si="76"/>
        <v>0</v>
      </c>
      <c r="AD141" s="2608">
        <f t="shared" si="86"/>
        <v>0</v>
      </c>
      <c r="AE141" s="2607">
        <f t="shared" si="70"/>
        <v>0</v>
      </c>
      <c r="AF141" s="525"/>
      <c r="AG141" s="2605">
        <f t="shared" si="71"/>
        <v>117</v>
      </c>
      <c r="AH141" s="2607">
        <f t="shared" si="84"/>
        <v>0</v>
      </c>
      <c r="AI141" s="2606">
        <f t="shared" si="77"/>
        <v>0</v>
      </c>
      <c r="AJ141" s="2608">
        <f t="shared" si="87"/>
        <v>0</v>
      </c>
      <c r="AK141" s="2607">
        <f t="shared" si="72"/>
        <v>0</v>
      </c>
    </row>
    <row r="142" spans="2:37" ht="20.100000000000001" customHeight="1" x14ac:dyDescent="0.3">
      <c r="B142" s="985"/>
      <c r="C142" s="986"/>
      <c r="D142" s="986"/>
      <c r="E142" s="986"/>
      <c r="F142" s="986"/>
      <c r="G142" s="986"/>
      <c r="H142" s="525"/>
      <c r="I142" s="2605">
        <f t="shared" si="63"/>
        <v>118</v>
      </c>
      <c r="J142" s="2607">
        <f t="shared" si="53"/>
        <v>0</v>
      </c>
      <c r="K142" s="2606">
        <f t="shared" si="73"/>
        <v>0</v>
      </c>
      <c r="L142" s="2608">
        <f t="shared" si="80"/>
        <v>0</v>
      </c>
      <c r="M142" s="2607">
        <f t="shared" si="64"/>
        <v>0</v>
      </c>
      <c r="N142" s="525"/>
      <c r="O142" s="2605">
        <f t="shared" si="65"/>
        <v>118</v>
      </c>
      <c r="P142" s="2607">
        <f t="shared" si="54"/>
        <v>0</v>
      </c>
      <c r="Q142" s="2606">
        <f t="shared" si="74"/>
        <v>0</v>
      </c>
      <c r="R142" s="2608">
        <f t="shared" si="81"/>
        <v>0</v>
      </c>
      <c r="S142" s="2607">
        <f t="shared" si="66"/>
        <v>0</v>
      </c>
      <c r="T142" s="525"/>
      <c r="U142" s="2605">
        <f t="shared" si="67"/>
        <v>118</v>
      </c>
      <c r="V142" s="2607">
        <f t="shared" si="82"/>
        <v>0</v>
      </c>
      <c r="W142" s="2606">
        <f t="shared" si="75"/>
        <v>0</v>
      </c>
      <c r="X142" s="2608">
        <f t="shared" si="85"/>
        <v>0</v>
      </c>
      <c r="Y142" s="2607">
        <f t="shared" si="68"/>
        <v>0</v>
      </c>
      <c r="Z142" s="525"/>
      <c r="AA142" s="2605">
        <f t="shared" si="69"/>
        <v>118</v>
      </c>
      <c r="AB142" s="2607">
        <f t="shared" si="83"/>
        <v>0</v>
      </c>
      <c r="AC142" s="2606">
        <f t="shared" si="76"/>
        <v>0</v>
      </c>
      <c r="AD142" s="2608">
        <f t="shared" si="86"/>
        <v>0</v>
      </c>
      <c r="AE142" s="2607">
        <f t="shared" si="70"/>
        <v>0</v>
      </c>
      <c r="AF142" s="525"/>
      <c r="AG142" s="2605">
        <f t="shared" si="71"/>
        <v>118</v>
      </c>
      <c r="AH142" s="2607">
        <f t="shared" si="84"/>
        <v>0</v>
      </c>
      <c r="AI142" s="2606">
        <f t="shared" si="77"/>
        <v>0</v>
      </c>
      <c r="AJ142" s="2608">
        <f t="shared" si="87"/>
        <v>0</v>
      </c>
      <c r="AK142" s="2607">
        <f t="shared" si="72"/>
        <v>0</v>
      </c>
    </row>
    <row r="143" spans="2:37" ht="20.100000000000001" customHeight="1" x14ac:dyDescent="0.3">
      <c r="B143" s="985"/>
      <c r="C143" s="986"/>
      <c r="D143" s="986"/>
      <c r="E143" s="986"/>
      <c r="F143" s="986"/>
      <c r="G143" s="986"/>
      <c r="H143" s="525"/>
      <c r="I143" s="2605">
        <f t="shared" si="63"/>
        <v>119</v>
      </c>
      <c r="J143" s="2607">
        <f t="shared" si="53"/>
        <v>0</v>
      </c>
      <c r="K143" s="2606">
        <f t="shared" si="73"/>
        <v>0</v>
      </c>
      <c r="L143" s="2608">
        <f t="shared" si="80"/>
        <v>0</v>
      </c>
      <c r="M143" s="2607">
        <f t="shared" si="64"/>
        <v>0</v>
      </c>
      <c r="N143" s="525"/>
      <c r="O143" s="2605">
        <f t="shared" si="65"/>
        <v>119</v>
      </c>
      <c r="P143" s="2607">
        <f t="shared" si="54"/>
        <v>0</v>
      </c>
      <c r="Q143" s="2606">
        <f t="shared" si="74"/>
        <v>0</v>
      </c>
      <c r="R143" s="2608">
        <f t="shared" si="81"/>
        <v>0</v>
      </c>
      <c r="S143" s="2607">
        <f t="shared" si="66"/>
        <v>0</v>
      </c>
      <c r="T143" s="525"/>
      <c r="U143" s="2605">
        <f t="shared" si="67"/>
        <v>119</v>
      </c>
      <c r="V143" s="2607">
        <f t="shared" si="82"/>
        <v>0</v>
      </c>
      <c r="W143" s="2606">
        <f t="shared" si="75"/>
        <v>0</v>
      </c>
      <c r="X143" s="2608">
        <f t="shared" si="85"/>
        <v>0</v>
      </c>
      <c r="Y143" s="2607">
        <f t="shared" si="68"/>
        <v>0</v>
      </c>
      <c r="Z143" s="525"/>
      <c r="AA143" s="2605">
        <f t="shared" si="69"/>
        <v>119</v>
      </c>
      <c r="AB143" s="2607">
        <f t="shared" si="83"/>
        <v>0</v>
      </c>
      <c r="AC143" s="2606">
        <f t="shared" si="76"/>
        <v>0</v>
      </c>
      <c r="AD143" s="2608">
        <f t="shared" si="86"/>
        <v>0</v>
      </c>
      <c r="AE143" s="2607">
        <f t="shared" si="70"/>
        <v>0</v>
      </c>
      <c r="AF143" s="525"/>
      <c r="AG143" s="2605">
        <f t="shared" si="71"/>
        <v>119</v>
      </c>
      <c r="AH143" s="2607">
        <f t="shared" si="84"/>
        <v>0</v>
      </c>
      <c r="AI143" s="2606">
        <f t="shared" si="77"/>
        <v>0</v>
      </c>
      <c r="AJ143" s="2608">
        <f t="shared" si="87"/>
        <v>0</v>
      </c>
      <c r="AK143" s="2607">
        <f t="shared" si="72"/>
        <v>0</v>
      </c>
    </row>
    <row r="144" spans="2:37" ht="20.100000000000001" customHeight="1" x14ac:dyDescent="0.3">
      <c r="B144" s="985"/>
      <c r="C144" s="986"/>
      <c r="D144" s="986"/>
      <c r="E144" s="986"/>
      <c r="F144" s="986"/>
      <c r="G144" s="986"/>
      <c r="H144" s="525"/>
      <c r="I144" s="2605">
        <f t="shared" si="63"/>
        <v>120</v>
      </c>
      <c r="J144" s="2607">
        <f t="shared" si="53"/>
        <v>0</v>
      </c>
      <c r="K144" s="2606">
        <f t="shared" si="73"/>
        <v>0</v>
      </c>
      <c r="L144" s="2608">
        <f t="shared" si="80"/>
        <v>0</v>
      </c>
      <c r="M144" s="2607">
        <f t="shared" si="64"/>
        <v>0</v>
      </c>
      <c r="N144" s="525"/>
      <c r="O144" s="2605">
        <f t="shared" si="65"/>
        <v>120</v>
      </c>
      <c r="P144" s="2607">
        <f t="shared" si="54"/>
        <v>0</v>
      </c>
      <c r="Q144" s="2606">
        <f t="shared" si="74"/>
        <v>0</v>
      </c>
      <c r="R144" s="2608">
        <f t="shared" si="81"/>
        <v>0</v>
      </c>
      <c r="S144" s="2607">
        <f t="shared" si="66"/>
        <v>0</v>
      </c>
      <c r="T144" s="525"/>
      <c r="U144" s="2605">
        <f t="shared" si="67"/>
        <v>120</v>
      </c>
      <c r="V144" s="2607">
        <f t="shared" si="82"/>
        <v>0</v>
      </c>
      <c r="W144" s="2606">
        <f t="shared" si="75"/>
        <v>0</v>
      </c>
      <c r="X144" s="2608">
        <f t="shared" si="85"/>
        <v>0</v>
      </c>
      <c r="Y144" s="2607">
        <f t="shared" si="68"/>
        <v>0</v>
      </c>
      <c r="Z144" s="525"/>
      <c r="AA144" s="2605">
        <f t="shared" si="69"/>
        <v>120</v>
      </c>
      <c r="AB144" s="2607">
        <f t="shared" si="83"/>
        <v>0</v>
      </c>
      <c r="AC144" s="2606">
        <f t="shared" si="76"/>
        <v>0</v>
      </c>
      <c r="AD144" s="2608">
        <f t="shared" si="86"/>
        <v>0</v>
      </c>
      <c r="AE144" s="2607">
        <f t="shared" si="70"/>
        <v>0</v>
      </c>
      <c r="AF144" s="525"/>
      <c r="AG144" s="2605">
        <f t="shared" si="71"/>
        <v>120</v>
      </c>
      <c r="AH144" s="2607">
        <f t="shared" si="84"/>
        <v>0</v>
      </c>
      <c r="AI144" s="2606">
        <f t="shared" si="77"/>
        <v>0</v>
      </c>
      <c r="AJ144" s="2608">
        <f t="shared" si="87"/>
        <v>0</v>
      </c>
      <c r="AK144" s="2607">
        <f t="shared" si="72"/>
        <v>0</v>
      </c>
    </row>
    <row r="145" spans="2:37" ht="20.100000000000001" customHeight="1" x14ac:dyDescent="0.3">
      <c r="B145" s="985"/>
      <c r="C145" s="986"/>
      <c r="D145" s="986"/>
      <c r="E145" s="986"/>
      <c r="F145" s="986"/>
      <c r="G145" s="986"/>
      <c r="H145" s="525"/>
      <c r="I145" s="2605">
        <f t="shared" si="63"/>
        <v>121</v>
      </c>
      <c r="J145" s="2607">
        <f t="shared" si="53"/>
        <v>0</v>
      </c>
      <c r="K145" s="2606">
        <f t="shared" si="73"/>
        <v>0</v>
      </c>
      <c r="L145" s="2608">
        <f t="shared" si="80"/>
        <v>0</v>
      </c>
      <c r="M145" s="2607">
        <f t="shared" si="64"/>
        <v>0</v>
      </c>
      <c r="N145" s="525"/>
      <c r="O145" s="2605">
        <f t="shared" si="65"/>
        <v>121</v>
      </c>
      <c r="P145" s="2607">
        <f t="shared" si="54"/>
        <v>0</v>
      </c>
      <c r="Q145" s="2606">
        <f t="shared" si="74"/>
        <v>0</v>
      </c>
      <c r="R145" s="2608">
        <f t="shared" si="81"/>
        <v>0</v>
      </c>
      <c r="S145" s="2607">
        <f t="shared" si="66"/>
        <v>0</v>
      </c>
      <c r="T145" s="525"/>
      <c r="U145" s="2605">
        <f t="shared" si="67"/>
        <v>121</v>
      </c>
      <c r="V145" s="2607">
        <f t="shared" si="82"/>
        <v>0</v>
      </c>
      <c r="W145" s="2606">
        <f t="shared" si="75"/>
        <v>0</v>
      </c>
      <c r="X145" s="2608">
        <f t="shared" si="85"/>
        <v>0</v>
      </c>
      <c r="Y145" s="2607">
        <f t="shared" si="68"/>
        <v>0</v>
      </c>
      <c r="Z145" s="525"/>
      <c r="AA145" s="2605">
        <f t="shared" si="69"/>
        <v>121</v>
      </c>
      <c r="AB145" s="2607">
        <f t="shared" si="83"/>
        <v>0</v>
      </c>
      <c r="AC145" s="2606">
        <f t="shared" si="76"/>
        <v>0</v>
      </c>
      <c r="AD145" s="2608">
        <f t="shared" si="86"/>
        <v>0</v>
      </c>
      <c r="AE145" s="2607">
        <f t="shared" si="70"/>
        <v>0</v>
      </c>
      <c r="AF145" s="525"/>
      <c r="AG145" s="2605">
        <f t="shared" si="71"/>
        <v>121</v>
      </c>
      <c r="AH145" s="2607">
        <f t="shared" si="84"/>
        <v>0</v>
      </c>
      <c r="AI145" s="2606">
        <f t="shared" si="77"/>
        <v>0</v>
      </c>
      <c r="AJ145" s="2608">
        <f t="shared" si="87"/>
        <v>0</v>
      </c>
      <c r="AK145" s="2607">
        <f t="shared" si="72"/>
        <v>0</v>
      </c>
    </row>
    <row r="146" spans="2:37" ht="20.100000000000001" customHeight="1" x14ac:dyDescent="0.3">
      <c r="B146" s="985"/>
      <c r="C146" s="986"/>
      <c r="D146" s="986"/>
      <c r="E146" s="986"/>
      <c r="F146" s="986"/>
      <c r="G146" s="986"/>
      <c r="H146" s="525"/>
      <c r="I146" s="2605">
        <f t="shared" si="63"/>
        <v>122</v>
      </c>
      <c r="J146" s="2607">
        <f t="shared" si="53"/>
        <v>0</v>
      </c>
      <c r="K146" s="2606">
        <f t="shared" si="73"/>
        <v>0</v>
      </c>
      <c r="L146" s="2608">
        <f t="shared" si="80"/>
        <v>0</v>
      </c>
      <c r="M146" s="2607">
        <f t="shared" si="64"/>
        <v>0</v>
      </c>
      <c r="N146" s="525"/>
      <c r="O146" s="2605">
        <f t="shared" si="65"/>
        <v>122</v>
      </c>
      <c r="P146" s="2607">
        <f t="shared" si="54"/>
        <v>0</v>
      </c>
      <c r="Q146" s="2606">
        <f t="shared" si="74"/>
        <v>0</v>
      </c>
      <c r="R146" s="2608">
        <f t="shared" si="81"/>
        <v>0</v>
      </c>
      <c r="S146" s="2607">
        <f t="shared" si="66"/>
        <v>0</v>
      </c>
      <c r="T146" s="525"/>
      <c r="U146" s="2605">
        <f t="shared" si="67"/>
        <v>122</v>
      </c>
      <c r="V146" s="2607">
        <f t="shared" si="82"/>
        <v>0</v>
      </c>
      <c r="W146" s="2606">
        <f t="shared" si="75"/>
        <v>0</v>
      </c>
      <c r="X146" s="2608">
        <f t="shared" si="85"/>
        <v>0</v>
      </c>
      <c r="Y146" s="2607">
        <f t="shared" si="68"/>
        <v>0</v>
      </c>
      <c r="Z146" s="525"/>
      <c r="AA146" s="2605">
        <f t="shared" si="69"/>
        <v>122</v>
      </c>
      <c r="AB146" s="2607">
        <f t="shared" si="83"/>
        <v>0</v>
      </c>
      <c r="AC146" s="2606">
        <f t="shared" si="76"/>
        <v>0</v>
      </c>
      <c r="AD146" s="2608">
        <f t="shared" si="86"/>
        <v>0</v>
      </c>
      <c r="AE146" s="2607">
        <f t="shared" si="70"/>
        <v>0</v>
      </c>
      <c r="AF146" s="525"/>
      <c r="AG146" s="2605">
        <f t="shared" si="71"/>
        <v>122</v>
      </c>
      <c r="AH146" s="2607">
        <f t="shared" si="84"/>
        <v>0</v>
      </c>
      <c r="AI146" s="2606">
        <f t="shared" si="77"/>
        <v>0</v>
      </c>
      <c r="AJ146" s="2608">
        <f t="shared" si="87"/>
        <v>0</v>
      </c>
      <c r="AK146" s="2607">
        <f t="shared" si="72"/>
        <v>0</v>
      </c>
    </row>
    <row r="147" spans="2:37" ht="20.100000000000001" customHeight="1" x14ac:dyDescent="0.3">
      <c r="B147" s="985"/>
      <c r="C147" s="986"/>
      <c r="D147" s="986"/>
      <c r="E147" s="986"/>
      <c r="F147" s="986"/>
      <c r="G147" s="986"/>
      <c r="H147" s="525"/>
      <c r="I147" s="2605">
        <f t="shared" si="63"/>
        <v>123</v>
      </c>
      <c r="J147" s="2607">
        <f t="shared" si="53"/>
        <v>0</v>
      </c>
      <c r="K147" s="2606">
        <f t="shared" si="73"/>
        <v>0</v>
      </c>
      <c r="L147" s="2608">
        <f t="shared" si="80"/>
        <v>0</v>
      </c>
      <c r="M147" s="2607">
        <f t="shared" si="64"/>
        <v>0</v>
      </c>
      <c r="N147" s="525"/>
      <c r="O147" s="2605">
        <f t="shared" si="65"/>
        <v>123</v>
      </c>
      <c r="P147" s="2607">
        <f t="shared" si="54"/>
        <v>0</v>
      </c>
      <c r="Q147" s="2606">
        <f t="shared" si="74"/>
        <v>0</v>
      </c>
      <c r="R147" s="2608">
        <f t="shared" si="81"/>
        <v>0</v>
      </c>
      <c r="S147" s="2607">
        <f t="shared" si="66"/>
        <v>0</v>
      </c>
      <c r="T147" s="525"/>
      <c r="U147" s="2605">
        <f t="shared" si="67"/>
        <v>123</v>
      </c>
      <c r="V147" s="2607">
        <f t="shared" si="82"/>
        <v>0</v>
      </c>
      <c r="W147" s="2606">
        <f t="shared" si="75"/>
        <v>0</v>
      </c>
      <c r="X147" s="2608">
        <f t="shared" si="85"/>
        <v>0</v>
      </c>
      <c r="Y147" s="2607">
        <f t="shared" si="68"/>
        <v>0</v>
      </c>
      <c r="Z147" s="525"/>
      <c r="AA147" s="2605">
        <f t="shared" si="69"/>
        <v>123</v>
      </c>
      <c r="AB147" s="2607">
        <f t="shared" si="83"/>
        <v>0</v>
      </c>
      <c r="AC147" s="2606">
        <f t="shared" si="76"/>
        <v>0</v>
      </c>
      <c r="AD147" s="2608">
        <f t="shared" si="86"/>
        <v>0</v>
      </c>
      <c r="AE147" s="2607">
        <f t="shared" si="70"/>
        <v>0</v>
      </c>
      <c r="AF147" s="525"/>
      <c r="AG147" s="2605">
        <f t="shared" si="71"/>
        <v>123</v>
      </c>
      <c r="AH147" s="2607">
        <f t="shared" si="84"/>
        <v>0</v>
      </c>
      <c r="AI147" s="2606">
        <f t="shared" si="77"/>
        <v>0</v>
      </c>
      <c r="AJ147" s="2608">
        <f t="shared" si="87"/>
        <v>0</v>
      </c>
      <c r="AK147" s="2607">
        <f t="shared" si="72"/>
        <v>0</v>
      </c>
    </row>
    <row r="148" spans="2:37" ht="20.100000000000001" customHeight="1" x14ac:dyDescent="0.3">
      <c r="B148" s="985"/>
      <c r="C148" s="986"/>
      <c r="D148" s="986"/>
      <c r="E148" s="986"/>
      <c r="F148" s="986"/>
      <c r="G148" s="986"/>
      <c r="H148" s="525"/>
      <c r="I148" s="2605">
        <f t="shared" si="63"/>
        <v>124</v>
      </c>
      <c r="J148" s="2607">
        <f t="shared" si="53"/>
        <v>0</v>
      </c>
      <c r="K148" s="2606">
        <f t="shared" si="73"/>
        <v>0</v>
      </c>
      <c r="L148" s="2608">
        <f t="shared" si="80"/>
        <v>0</v>
      </c>
      <c r="M148" s="2607">
        <f t="shared" si="64"/>
        <v>0</v>
      </c>
      <c r="N148" s="525"/>
      <c r="O148" s="2605">
        <f t="shared" si="65"/>
        <v>124</v>
      </c>
      <c r="P148" s="2607">
        <f t="shared" si="54"/>
        <v>0</v>
      </c>
      <c r="Q148" s="2606">
        <f t="shared" si="74"/>
        <v>0</v>
      </c>
      <c r="R148" s="2608">
        <f t="shared" si="81"/>
        <v>0</v>
      </c>
      <c r="S148" s="2607">
        <f t="shared" si="66"/>
        <v>0</v>
      </c>
      <c r="T148" s="525"/>
      <c r="U148" s="2605">
        <f t="shared" si="67"/>
        <v>124</v>
      </c>
      <c r="V148" s="2607">
        <f t="shared" si="82"/>
        <v>0</v>
      </c>
      <c r="W148" s="2606">
        <f t="shared" si="75"/>
        <v>0</v>
      </c>
      <c r="X148" s="2608">
        <f t="shared" si="85"/>
        <v>0</v>
      </c>
      <c r="Y148" s="2607">
        <f t="shared" si="68"/>
        <v>0</v>
      </c>
      <c r="Z148" s="525"/>
      <c r="AA148" s="2605">
        <f t="shared" si="69"/>
        <v>124</v>
      </c>
      <c r="AB148" s="2607">
        <f t="shared" si="83"/>
        <v>0</v>
      </c>
      <c r="AC148" s="2606">
        <f t="shared" si="76"/>
        <v>0</v>
      </c>
      <c r="AD148" s="2608">
        <f t="shared" si="86"/>
        <v>0</v>
      </c>
      <c r="AE148" s="2607">
        <f t="shared" si="70"/>
        <v>0</v>
      </c>
      <c r="AF148" s="525"/>
      <c r="AG148" s="2605">
        <f t="shared" si="71"/>
        <v>124</v>
      </c>
      <c r="AH148" s="2607">
        <f t="shared" si="84"/>
        <v>0</v>
      </c>
      <c r="AI148" s="2606">
        <f t="shared" si="77"/>
        <v>0</v>
      </c>
      <c r="AJ148" s="2608">
        <f t="shared" si="87"/>
        <v>0</v>
      </c>
      <c r="AK148" s="2607">
        <f t="shared" si="72"/>
        <v>0</v>
      </c>
    </row>
    <row r="149" spans="2:37" ht="20.100000000000001" customHeight="1" x14ac:dyDescent="0.3">
      <c r="B149" s="985"/>
      <c r="C149" s="986"/>
      <c r="D149" s="986"/>
      <c r="E149" s="986"/>
      <c r="F149" s="986"/>
      <c r="G149" s="986"/>
      <c r="H149" s="525"/>
      <c r="I149" s="2605">
        <f t="shared" si="63"/>
        <v>125</v>
      </c>
      <c r="J149" s="2607">
        <f t="shared" si="53"/>
        <v>0</v>
      </c>
      <c r="K149" s="2606">
        <f t="shared" si="73"/>
        <v>0</v>
      </c>
      <c r="L149" s="2608">
        <f t="shared" si="80"/>
        <v>0</v>
      </c>
      <c r="M149" s="2607">
        <f t="shared" si="64"/>
        <v>0</v>
      </c>
      <c r="N149" s="525"/>
      <c r="O149" s="2605">
        <f t="shared" si="65"/>
        <v>125</v>
      </c>
      <c r="P149" s="2607">
        <f t="shared" si="54"/>
        <v>0</v>
      </c>
      <c r="Q149" s="2606">
        <f t="shared" si="74"/>
        <v>0</v>
      </c>
      <c r="R149" s="2608">
        <f t="shared" si="81"/>
        <v>0</v>
      </c>
      <c r="S149" s="2607">
        <f t="shared" si="66"/>
        <v>0</v>
      </c>
      <c r="T149" s="525"/>
      <c r="U149" s="2605">
        <f t="shared" si="67"/>
        <v>125</v>
      </c>
      <c r="V149" s="2607">
        <f t="shared" si="82"/>
        <v>0</v>
      </c>
      <c r="W149" s="2606">
        <f t="shared" si="75"/>
        <v>0</v>
      </c>
      <c r="X149" s="2608">
        <f t="shared" si="85"/>
        <v>0</v>
      </c>
      <c r="Y149" s="2607">
        <f t="shared" si="68"/>
        <v>0</v>
      </c>
      <c r="Z149" s="525"/>
      <c r="AA149" s="2605">
        <f t="shared" si="69"/>
        <v>125</v>
      </c>
      <c r="AB149" s="2607">
        <f t="shared" si="83"/>
        <v>0</v>
      </c>
      <c r="AC149" s="2606">
        <f t="shared" si="76"/>
        <v>0</v>
      </c>
      <c r="AD149" s="2608">
        <f t="shared" si="86"/>
        <v>0</v>
      </c>
      <c r="AE149" s="2607">
        <f t="shared" si="70"/>
        <v>0</v>
      </c>
      <c r="AF149" s="525"/>
      <c r="AG149" s="2605">
        <f t="shared" si="71"/>
        <v>125</v>
      </c>
      <c r="AH149" s="2607">
        <f t="shared" si="84"/>
        <v>0</v>
      </c>
      <c r="AI149" s="2606">
        <f t="shared" si="77"/>
        <v>0</v>
      </c>
      <c r="AJ149" s="2608">
        <f t="shared" si="87"/>
        <v>0</v>
      </c>
      <c r="AK149" s="2607">
        <f t="shared" si="72"/>
        <v>0</v>
      </c>
    </row>
    <row r="150" spans="2:37" ht="20.100000000000001" customHeight="1" x14ac:dyDescent="0.3">
      <c r="B150" s="985"/>
      <c r="C150" s="986"/>
      <c r="D150" s="986"/>
      <c r="E150" s="986"/>
      <c r="F150" s="986"/>
      <c r="G150" s="986"/>
      <c r="H150" s="525"/>
      <c r="I150" s="2605">
        <f t="shared" si="63"/>
        <v>126</v>
      </c>
      <c r="J150" s="2607">
        <f t="shared" si="53"/>
        <v>0</v>
      </c>
      <c r="K150" s="2606">
        <f t="shared" si="73"/>
        <v>0</v>
      </c>
      <c r="L150" s="2608">
        <f t="shared" si="80"/>
        <v>0</v>
      </c>
      <c r="M150" s="2607">
        <f t="shared" si="64"/>
        <v>0</v>
      </c>
      <c r="N150" s="525"/>
      <c r="O150" s="2605">
        <f t="shared" si="65"/>
        <v>126</v>
      </c>
      <c r="P150" s="2607">
        <f t="shared" si="54"/>
        <v>0</v>
      </c>
      <c r="Q150" s="2606">
        <f t="shared" si="74"/>
        <v>0</v>
      </c>
      <c r="R150" s="2608">
        <f t="shared" si="81"/>
        <v>0</v>
      </c>
      <c r="S150" s="2607">
        <f t="shared" si="66"/>
        <v>0</v>
      </c>
      <c r="T150" s="525"/>
      <c r="U150" s="2605">
        <f t="shared" si="67"/>
        <v>126</v>
      </c>
      <c r="V150" s="2607">
        <f t="shared" si="82"/>
        <v>0</v>
      </c>
      <c r="W150" s="2606">
        <f t="shared" si="75"/>
        <v>0</v>
      </c>
      <c r="X150" s="2608">
        <f t="shared" si="85"/>
        <v>0</v>
      </c>
      <c r="Y150" s="2607">
        <f t="shared" si="68"/>
        <v>0</v>
      </c>
      <c r="Z150" s="525"/>
      <c r="AA150" s="2605">
        <f t="shared" si="69"/>
        <v>126</v>
      </c>
      <c r="AB150" s="2607">
        <f t="shared" si="83"/>
        <v>0</v>
      </c>
      <c r="AC150" s="2606">
        <f t="shared" si="76"/>
        <v>0</v>
      </c>
      <c r="AD150" s="2608">
        <f t="shared" si="86"/>
        <v>0</v>
      </c>
      <c r="AE150" s="2607">
        <f t="shared" si="70"/>
        <v>0</v>
      </c>
      <c r="AF150" s="525"/>
      <c r="AG150" s="2605">
        <f t="shared" si="71"/>
        <v>126</v>
      </c>
      <c r="AH150" s="2607">
        <f t="shared" si="84"/>
        <v>0</v>
      </c>
      <c r="AI150" s="2606">
        <f t="shared" si="77"/>
        <v>0</v>
      </c>
      <c r="AJ150" s="2608">
        <f t="shared" si="87"/>
        <v>0</v>
      </c>
      <c r="AK150" s="2607">
        <f t="shared" si="72"/>
        <v>0</v>
      </c>
    </row>
    <row r="151" spans="2:37" ht="20.100000000000001" customHeight="1" x14ac:dyDescent="0.3">
      <c r="B151" s="985"/>
      <c r="C151" s="986"/>
      <c r="D151" s="986"/>
      <c r="E151" s="986"/>
      <c r="F151" s="986"/>
      <c r="G151" s="986"/>
      <c r="H151" s="525"/>
      <c r="I151" s="2605">
        <f t="shared" si="63"/>
        <v>127</v>
      </c>
      <c r="J151" s="2607">
        <f t="shared" si="53"/>
        <v>0</v>
      </c>
      <c r="K151" s="2606">
        <f t="shared" si="73"/>
        <v>0</v>
      </c>
      <c r="L151" s="2608">
        <f t="shared" si="80"/>
        <v>0</v>
      </c>
      <c r="M151" s="2607">
        <f t="shared" si="64"/>
        <v>0</v>
      </c>
      <c r="N151" s="525"/>
      <c r="O151" s="2605">
        <f t="shared" si="65"/>
        <v>127</v>
      </c>
      <c r="P151" s="2607">
        <f t="shared" si="54"/>
        <v>0</v>
      </c>
      <c r="Q151" s="2606">
        <f t="shared" si="74"/>
        <v>0</v>
      </c>
      <c r="R151" s="2608">
        <f t="shared" si="81"/>
        <v>0</v>
      </c>
      <c r="S151" s="2607">
        <f t="shared" si="66"/>
        <v>0</v>
      </c>
      <c r="T151" s="525"/>
      <c r="U151" s="2605">
        <f t="shared" si="67"/>
        <v>127</v>
      </c>
      <c r="V151" s="2607">
        <f t="shared" si="82"/>
        <v>0</v>
      </c>
      <c r="W151" s="2606">
        <f t="shared" si="75"/>
        <v>0</v>
      </c>
      <c r="X151" s="2608">
        <f t="shared" si="85"/>
        <v>0</v>
      </c>
      <c r="Y151" s="2607">
        <f t="shared" si="68"/>
        <v>0</v>
      </c>
      <c r="Z151" s="525"/>
      <c r="AA151" s="2605">
        <f t="shared" si="69"/>
        <v>127</v>
      </c>
      <c r="AB151" s="2607">
        <f t="shared" si="83"/>
        <v>0</v>
      </c>
      <c r="AC151" s="2606">
        <f t="shared" si="76"/>
        <v>0</v>
      </c>
      <c r="AD151" s="2608">
        <f t="shared" si="86"/>
        <v>0</v>
      </c>
      <c r="AE151" s="2607">
        <f t="shared" si="70"/>
        <v>0</v>
      </c>
      <c r="AF151" s="525"/>
      <c r="AG151" s="2605">
        <f t="shared" si="71"/>
        <v>127</v>
      </c>
      <c r="AH151" s="2607">
        <f t="shared" si="84"/>
        <v>0</v>
      </c>
      <c r="AI151" s="2606">
        <f t="shared" si="77"/>
        <v>0</v>
      </c>
      <c r="AJ151" s="2608">
        <f t="shared" si="87"/>
        <v>0</v>
      </c>
      <c r="AK151" s="2607">
        <f t="shared" si="72"/>
        <v>0</v>
      </c>
    </row>
    <row r="152" spans="2:37" ht="20.100000000000001" customHeight="1" x14ac:dyDescent="0.3">
      <c r="B152" s="985"/>
      <c r="C152" s="986"/>
      <c r="D152" s="986"/>
      <c r="E152" s="986"/>
      <c r="F152" s="986"/>
      <c r="G152" s="986"/>
      <c r="H152" s="525"/>
      <c r="I152" s="2605">
        <f t="shared" si="63"/>
        <v>128</v>
      </c>
      <c r="J152" s="2607">
        <f t="shared" si="53"/>
        <v>0</v>
      </c>
      <c r="K152" s="2606">
        <f t="shared" si="73"/>
        <v>0</v>
      </c>
      <c r="L152" s="2608">
        <f t="shared" si="80"/>
        <v>0</v>
      </c>
      <c r="M152" s="2607">
        <f t="shared" si="64"/>
        <v>0</v>
      </c>
      <c r="N152" s="525"/>
      <c r="O152" s="2605">
        <f t="shared" si="65"/>
        <v>128</v>
      </c>
      <c r="P152" s="2607">
        <f t="shared" si="54"/>
        <v>0</v>
      </c>
      <c r="Q152" s="2606">
        <f t="shared" si="74"/>
        <v>0</v>
      </c>
      <c r="R152" s="2608">
        <f t="shared" si="81"/>
        <v>0</v>
      </c>
      <c r="S152" s="2607">
        <f t="shared" si="66"/>
        <v>0</v>
      </c>
      <c r="T152" s="525"/>
      <c r="U152" s="2605">
        <f t="shared" si="67"/>
        <v>128</v>
      </c>
      <c r="V152" s="2607">
        <f t="shared" si="82"/>
        <v>0</v>
      </c>
      <c r="W152" s="2606">
        <f t="shared" si="75"/>
        <v>0</v>
      </c>
      <c r="X152" s="2608">
        <f t="shared" si="85"/>
        <v>0</v>
      </c>
      <c r="Y152" s="2607">
        <f t="shared" si="68"/>
        <v>0</v>
      </c>
      <c r="Z152" s="525"/>
      <c r="AA152" s="2605">
        <f t="shared" si="69"/>
        <v>128</v>
      </c>
      <c r="AB152" s="2607">
        <f t="shared" si="83"/>
        <v>0</v>
      </c>
      <c r="AC152" s="2606">
        <f t="shared" si="76"/>
        <v>0</v>
      </c>
      <c r="AD152" s="2608">
        <f t="shared" si="86"/>
        <v>0</v>
      </c>
      <c r="AE152" s="2607">
        <f t="shared" si="70"/>
        <v>0</v>
      </c>
      <c r="AF152" s="525"/>
      <c r="AG152" s="2605">
        <f t="shared" si="71"/>
        <v>128</v>
      </c>
      <c r="AH152" s="2607">
        <f t="shared" si="84"/>
        <v>0</v>
      </c>
      <c r="AI152" s="2606">
        <f t="shared" si="77"/>
        <v>0</v>
      </c>
      <c r="AJ152" s="2608">
        <f t="shared" si="87"/>
        <v>0</v>
      </c>
      <c r="AK152" s="2607">
        <f t="shared" si="72"/>
        <v>0</v>
      </c>
    </row>
    <row r="153" spans="2:37" ht="20.100000000000001" customHeight="1" x14ac:dyDescent="0.3">
      <c r="B153" s="985"/>
      <c r="C153" s="986"/>
      <c r="D153" s="986"/>
      <c r="E153" s="986"/>
      <c r="F153" s="986"/>
      <c r="G153" s="986"/>
      <c r="H153" s="525"/>
      <c r="I153" s="2605">
        <f t="shared" si="63"/>
        <v>129</v>
      </c>
      <c r="J153" s="2607">
        <f t="shared" si="53"/>
        <v>0</v>
      </c>
      <c r="K153" s="2606">
        <f t="shared" si="73"/>
        <v>0</v>
      </c>
      <c r="L153" s="2608">
        <f t="shared" si="80"/>
        <v>0</v>
      </c>
      <c r="M153" s="2607">
        <f t="shared" si="64"/>
        <v>0</v>
      </c>
      <c r="N153" s="525"/>
      <c r="O153" s="2605">
        <f t="shared" si="65"/>
        <v>129</v>
      </c>
      <c r="P153" s="2607">
        <f t="shared" si="54"/>
        <v>0</v>
      </c>
      <c r="Q153" s="2606">
        <f t="shared" si="74"/>
        <v>0</v>
      </c>
      <c r="R153" s="2608">
        <f t="shared" si="81"/>
        <v>0</v>
      </c>
      <c r="S153" s="2607">
        <f t="shared" si="66"/>
        <v>0</v>
      </c>
      <c r="T153" s="525"/>
      <c r="U153" s="2605">
        <f t="shared" si="67"/>
        <v>129</v>
      </c>
      <c r="V153" s="2607">
        <f t="shared" ref="V153:V184" si="88">ROUND(IF(U153&gt;annuité_emprunt3,0,IF(U153&gt;différé_emprunt3,-PMT((taux_emprunt3/périodicité_emprunt3),(annuité_emprunt3-différé_emprunt3),emprunt3),emprunt3*taux_emprunt3/périodicité_emprunt3)),2)</f>
        <v>0</v>
      </c>
      <c r="W153" s="2606">
        <f t="shared" si="75"/>
        <v>0</v>
      </c>
      <c r="X153" s="2608">
        <f t="shared" si="85"/>
        <v>0</v>
      </c>
      <c r="Y153" s="2607">
        <f t="shared" si="68"/>
        <v>0</v>
      </c>
      <c r="Z153" s="525"/>
      <c r="AA153" s="2605">
        <f t="shared" si="69"/>
        <v>129</v>
      </c>
      <c r="AB153" s="2607">
        <f t="shared" ref="AB153:AB184" si="89">ROUND(IF(AA153&gt;annuité_emprunt4,0,IF(AA153&gt;différé_emprunt4,-PMT((taux_emprunt4/périodicité_emprunt4),(annuité_emprunt4-différé_emprunt4),emprunt4),emprunt4*taux_emprunt4/périodicité_emprunt4)),2)</f>
        <v>0</v>
      </c>
      <c r="AC153" s="2606">
        <f t="shared" si="76"/>
        <v>0</v>
      </c>
      <c r="AD153" s="2608">
        <f t="shared" si="86"/>
        <v>0</v>
      </c>
      <c r="AE153" s="2607">
        <f t="shared" si="70"/>
        <v>0</v>
      </c>
      <c r="AF153" s="525"/>
      <c r="AG153" s="2605">
        <f t="shared" si="71"/>
        <v>129</v>
      </c>
      <c r="AH153" s="2607">
        <f t="shared" ref="AH153:AH184" si="90">ROUND(IF(AG153&gt;annuité_emprunt5,0,IF(AG153&gt;différé_emprunt5,-PMT((taux_emprunt5/périodicité_emprunt5),(annuité_emprunt5-différé_emprunt5),emprunt5),emprunt5*taux_emprunt5/périodicité_emprunt5)),2)</f>
        <v>0</v>
      </c>
      <c r="AI153" s="2606">
        <f t="shared" si="77"/>
        <v>0</v>
      </c>
      <c r="AJ153" s="2608">
        <f t="shared" si="87"/>
        <v>0</v>
      </c>
      <c r="AK153" s="2607">
        <f t="shared" si="72"/>
        <v>0</v>
      </c>
    </row>
    <row r="154" spans="2:37" ht="20.100000000000001" customHeight="1" x14ac:dyDescent="0.3">
      <c r="B154" s="985"/>
      <c r="C154" s="986"/>
      <c r="D154" s="986"/>
      <c r="E154" s="986"/>
      <c r="F154" s="986"/>
      <c r="G154" s="986"/>
      <c r="H154" s="525"/>
      <c r="I154" s="2605">
        <f t="shared" si="63"/>
        <v>130</v>
      </c>
      <c r="J154" s="2607">
        <f t="shared" si="53"/>
        <v>0</v>
      </c>
      <c r="K154" s="2606">
        <f t="shared" si="73"/>
        <v>0</v>
      </c>
      <c r="L154" s="2608">
        <f t="shared" si="80"/>
        <v>0</v>
      </c>
      <c r="M154" s="2607">
        <f t="shared" si="64"/>
        <v>0</v>
      </c>
      <c r="N154" s="525"/>
      <c r="O154" s="2605">
        <f t="shared" si="65"/>
        <v>130</v>
      </c>
      <c r="P154" s="2607">
        <f t="shared" si="54"/>
        <v>0</v>
      </c>
      <c r="Q154" s="2606">
        <f t="shared" si="74"/>
        <v>0</v>
      </c>
      <c r="R154" s="2608">
        <f t="shared" si="81"/>
        <v>0</v>
      </c>
      <c r="S154" s="2607">
        <f t="shared" si="66"/>
        <v>0</v>
      </c>
      <c r="T154" s="525"/>
      <c r="U154" s="2605">
        <f t="shared" si="67"/>
        <v>130</v>
      </c>
      <c r="V154" s="2607">
        <f t="shared" si="88"/>
        <v>0</v>
      </c>
      <c r="W154" s="2606">
        <f t="shared" si="75"/>
        <v>0</v>
      </c>
      <c r="X154" s="2608">
        <f t="shared" ref="X154:X185" si="91">ROUND(IF(V154=0,0,IF(U154=annuité_emprunt3,Y153,IF(U154&gt;différé_emprunt3,-PPMT((taux_emprunt3/périodicité_emprunt3),U154-différé_emprunt3,(annuité_emprunt3-différé_emprunt3),emprunt3),0))),2)</f>
        <v>0</v>
      </c>
      <c r="Y154" s="2607">
        <f t="shared" si="68"/>
        <v>0</v>
      </c>
      <c r="Z154" s="525"/>
      <c r="AA154" s="2605">
        <f t="shared" si="69"/>
        <v>130</v>
      </c>
      <c r="AB154" s="2607">
        <f t="shared" si="89"/>
        <v>0</v>
      </c>
      <c r="AC154" s="2606">
        <f t="shared" si="76"/>
        <v>0</v>
      </c>
      <c r="AD154" s="2608">
        <f t="shared" ref="AD154:AD185" si="92">ROUND(IF(AB154=0,0,IF(AA154=annuité_emprunt4,AE153,IF(AA154&gt;différé_emprunt4,-PPMT((taux_emprunt4/périodicité_emprunt4),AA154-différé_emprunt4,(annuité_emprunt4-différé_emprunt4),emprunt4),0))),2)</f>
        <v>0</v>
      </c>
      <c r="AE154" s="2607">
        <f t="shared" si="70"/>
        <v>0</v>
      </c>
      <c r="AF154" s="525"/>
      <c r="AG154" s="2605">
        <f t="shared" si="71"/>
        <v>130</v>
      </c>
      <c r="AH154" s="2607">
        <f t="shared" si="90"/>
        <v>0</v>
      </c>
      <c r="AI154" s="2606">
        <f t="shared" si="77"/>
        <v>0</v>
      </c>
      <c r="AJ154" s="2608">
        <f t="shared" ref="AJ154:AJ185" si="93">ROUND(IF(AH154=0,0,IF(AG154=annuité_emprunt5,AK153,IF(AG154&gt;différé_emprunt5,-PPMT((taux_emprunt5/périodicité_emprunt5),AG154-différé_emprunt5,(annuité_emprunt5-différé_emprunt5),emprunt5),0))),2)</f>
        <v>0</v>
      </c>
      <c r="AK154" s="2607">
        <f t="shared" si="72"/>
        <v>0</v>
      </c>
    </row>
    <row r="155" spans="2:37" ht="20.100000000000001" customHeight="1" x14ac:dyDescent="0.3">
      <c r="B155" s="985"/>
      <c r="C155" s="986"/>
      <c r="D155" s="986"/>
      <c r="E155" s="986"/>
      <c r="F155" s="986"/>
      <c r="G155" s="986"/>
      <c r="H155" s="525"/>
      <c r="I155" s="2605">
        <f t="shared" ref="I155:I204" si="94">1+I154</f>
        <v>131</v>
      </c>
      <c r="J155" s="2607">
        <f t="shared" si="53"/>
        <v>0</v>
      </c>
      <c r="K155" s="2606">
        <f t="shared" si="73"/>
        <v>0</v>
      </c>
      <c r="L155" s="2608">
        <f t="shared" si="80"/>
        <v>0</v>
      </c>
      <c r="M155" s="2607">
        <f t="shared" ref="M155:M204" si="95">M154-L155</f>
        <v>0</v>
      </c>
      <c r="N155" s="525"/>
      <c r="O155" s="2605">
        <f t="shared" ref="O155:O204" si="96">1+O154</f>
        <v>131</v>
      </c>
      <c r="P155" s="2607">
        <f t="shared" si="54"/>
        <v>0</v>
      </c>
      <c r="Q155" s="2606">
        <f t="shared" si="74"/>
        <v>0</v>
      </c>
      <c r="R155" s="2608">
        <f t="shared" si="81"/>
        <v>0</v>
      </c>
      <c r="S155" s="2607">
        <f t="shared" ref="S155:S204" si="97">S154-R155</f>
        <v>0</v>
      </c>
      <c r="T155" s="525"/>
      <c r="U155" s="2605">
        <f t="shared" ref="U155:U204" si="98">1+U154</f>
        <v>131</v>
      </c>
      <c r="V155" s="2607">
        <f t="shared" si="88"/>
        <v>0</v>
      </c>
      <c r="W155" s="2606">
        <f t="shared" si="75"/>
        <v>0</v>
      </c>
      <c r="X155" s="2608">
        <f t="shared" si="91"/>
        <v>0</v>
      </c>
      <c r="Y155" s="2607">
        <f t="shared" ref="Y155:Y204" si="99">Y154-X155</f>
        <v>0</v>
      </c>
      <c r="Z155" s="525"/>
      <c r="AA155" s="2605">
        <f t="shared" ref="AA155:AA204" si="100">1+AA154</f>
        <v>131</v>
      </c>
      <c r="AB155" s="2607">
        <f t="shared" si="89"/>
        <v>0</v>
      </c>
      <c r="AC155" s="2606">
        <f t="shared" si="76"/>
        <v>0</v>
      </c>
      <c r="AD155" s="2608">
        <f t="shared" si="92"/>
        <v>0</v>
      </c>
      <c r="AE155" s="2607">
        <f t="shared" ref="AE155:AE204" si="101">AE154-AD155</f>
        <v>0</v>
      </c>
      <c r="AF155" s="525"/>
      <c r="AG155" s="2605">
        <f t="shared" ref="AG155:AG204" si="102">1+AG154</f>
        <v>131</v>
      </c>
      <c r="AH155" s="2607">
        <f t="shared" si="90"/>
        <v>0</v>
      </c>
      <c r="AI155" s="2606">
        <f t="shared" si="77"/>
        <v>0</v>
      </c>
      <c r="AJ155" s="2608">
        <f t="shared" si="93"/>
        <v>0</v>
      </c>
      <c r="AK155" s="2607">
        <f t="shared" ref="AK155:AK204" si="103">AK154-AJ155</f>
        <v>0</v>
      </c>
    </row>
    <row r="156" spans="2:37" ht="20.100000000000001" customHeight="1" x14ac:dyDescent="0.3">
      <c r="B156" s="985"/>
      <c r="C156" s="986"/>
      <c r="D156" s="986"/>
      <c r="E156" s="986"/>
      <c r="F156" s="986"/>
      <c r="G156" s="986"/>
      <c r="H156" s="525"/>
      <c r="I156" s="2605">
        <f t="shared" si="94"/>
        <v>132</v>
      </c>
      <c r="J156" s="2607">
        <f t="shared" si="53"/>
        <v>0</v>
      </c>
      <c r="K156" s="2606">
        <f t="shared" ref="K156:K204" si="104">IF(J156=0,0,J156-L156)</f>
        <v>0</v>
      </c>
      <c r="L156" s="2608">
        <f t="shared" si="80"/>
        <v>0</v>
      </c>
      <c r="M156" s="2607">
        <f t="shared" si="95"/>
        <v>0</v>
      </c>
      <c r="N156" s="525"/>
      <c r="O156" s="2605">
        <f t="shared" si="96"/>
        <v>132</v>
      </c>
      <c r="P156" s="2607">
        <f t="shared" si="54"/>
        <v>0</v>
      </c>
      <c r="Q156" s="2606">
        <f t="shared" ref="Q156:Q204" si="105">IF(P156=0,0,P156-R156)</f>
        <v>0</v>
      </c>
      <c r="R156" s="2608">
        <f t="shared" si="81"/>
        <v>0</v>
      </c>
      <c r="S156" s="2607">
        <f t="shared" si="97"/>
        <v>0</v>
      </c>
      <c r="T156" s="525"/>
      <c r="U156" s="2605">
        <f t="shared" si="98"/>
        <v>132</v>
      </c>
      <c r="V156" s="2607">
        <f t="shared" si="88"/>
        <v>0</v>
      </c>
      <c r="W156" s="2606">
        <f t="shared" ref="W156:W204" si="106">IF(V156=0,0,V156-X156)</f>
        <v>0</v>
      </c>
      <c r="X156" s="2608">
        <f t="shared" si="91"/>
        <v>0</v>
      </c>
      <c r="Y156" s="2607">
        <f t="shared" si="99"/>
        <v>0</v>
      </c>
      <c r="Z156" s="525"/>
      <c r="AA156" s="2605">
        <f t="shared" si="100"/>
        <v>132</v>
      </c>
      <c r="AB156" s="2607">
        <f t="shared" si="89"/>
        <v>0</v>
      </c>
      <c r="AC156" s="2606">
        <f t="shared" ref="AC156:AC204" si="107">IF(AB156=0,0,AB156-AD156)</f>
        <v>0</v>
      </c>
      <c r="AD156" s="2608">
        <f t="shared" si="92"/>
        <v>0</v>
      </c>
      <c r="AE156" s="2607">
        <f t="shared" si="101"/>
        <v>0</v>
      </c>
      <c r="AF156" s="525"/>
      <c r="AG156" s="2605">
        <f t="shared" si="102"/>
        <v>132</v>
      </c>
      <c r="AH156" s="2607">
        <f t="shared" si="90"/>
        <v>0</v>
      </c>
      <c r="AI156" s="2606">
        <f t="shared" ref="AI156:AI204" si="108">IF(AH156=0,0,AH156-AJ156)</f>
        <v>0</v>
      </c>
      <c r="AJ156" s="2608">
        <f t="shared" si="93"/>
        <v>0</v>
      </c>
      <c r="AK156" s="2607">
        <f t="shared" si="103"/>
        <v>0</v>
      </c>
    </row>
    <row r="157" spans="2:37" ht="20.100000000000001" customHeight="1" x14ac:dyDescent="0.3">
      <c r="B157" s="985"/>
      <c r="C157" s="986"/>
      <c r="D157" s="986"/>
      <c r="E157" s="986"/>
      <c r="F157" s="986"/>
      <c r="G157" s="986"/>
      <c r="H157" s="525"/>
      <c r="I157" s="2605">
        <f t="shared" si="94"/>
        <v>133</v>
      </c>
      <c r="J157" s="2607">
        <f t="shared" ref="J157:J204" si="109">ROUND(IF(I157&gt;annuité_emprunt1,0,IF(I157&gt;différé_emprunt1,-PMT((taux_emprunt1/périodicité_emprunt1),(annuité_emprunt1-différé_emprunt1),emprunt1),emprunt1*taux_emprunt1/périodicité_emprunt1)),2)</f>
        <v>0</v>
      </c>
      <c r="K157" s="2606">
        <f t="shared" si="104"/>
        <v>0</v>
      </c>
      <c r="L157" s="2608">
        <f t="shared" si="80"/>
        <v>0</v>
      </c>
      <c r="M157" s="2607">
        <f t="shared" si="95"/>
        <v>0</v>
      </c>
      <c r="N157" s="525"/>
      <c r="O157" s="2605">
        <f t="shared" si="96"/>
        <v>133</v>
      </c>
      <c r="P157" s="2607">
        <f t="shared" ref="P157:P204" si="110">ROUND(IF(O157&gt;annuité_emprunt2,0,IF(O157&gt;différé_emprunt2,-PMT((taux_emprunt2/périodicité_emprunt2),(annuité_emprunt2-différé_emprunt2),emprunt2),emprunt2*taux_emprunt2/périodicité_emprunt2)),2)</f>
        <v>0</v>
      </c>
      <c r="Q157" s="2606">
        <f t="shared" si="105"/>
        <v>0</v>
      </c>
      <c r="R157" s="2608">
        <f t="shared" si="81"/>
        <v>0</v>
      </c>
      <c r="S157" s="2607">
        <f t="shared" si="97"/>
        <v>0</v>
      </c>
      <c r="T157" s="525"/>
      <c r="U157" s="2605">
        <f t="shared" si="98"/>
        <v>133</v>
      </c>
      <c r="V157" s="2607">
        <f t="shared" si="88"/>
        <v>0</v>
      </c>
      <c r="W157" s="2606">
        <f t="shared" si="106"/>
        <v>0</v>
      </c>
      <c r="X157" s="2608">
        <f t="shared" si="91"/>
        <v>0</v>
      </c>
      <c r="Y157" s="2607">
        <f t="shared" si="99"/>
        <v>0</v>
      </c>
      <c r="Z157" s="525"/>
      <c r="AA157" s="2605">
        <f t="shared" si="100"/>
        <v>133</v>
      </c>
      <c r="AB157" s="2607">
        <f t="shared" si="89"/>
        <v>0</v>
      </c>
      <c r="AC157" s="2606">
        <f t="shared" si="107"/>
        <v>0</v>
      </c>
      <c r="AD157" s="2608">
        <f t="shared" si="92"/>
        <v>0</v>
      </c>
      <c r="AE157" s="2607">
        <f t="shared" si="101"/>
        <v>0</v>
      </c>
      <c r="AF157" s="525"/>
      <c r="AG157" s="2605">
        <f t="shared" si="102"/>
        <v>133</v>
      </c>
      <c r="AH157" s="2607">
        <f t="shared" si="90"/>
        <v>0</v>
      </c>
      <c r="AI157" s="2606">
        <f t="shared" si="108"/>
        <v>0</v>
      </c>
      <c r="AJ157" s="2608">
        <f t="shared" si="93"/>
        <v>0</v>
      </c>
      <c r="AK157" s="2607">
        <f t="shared" si="103"/>
        <v>0</v>
      </c>
    </row>
    <row r="158" spans="2:37" ht="20.100000000000001" customHeight="1" x14ac:dyDescent="0.3">
      <c r="B158" s="985"/>
      <c r="C158" s="986"/>
      <c r="D158" s="986"/>
      <c r="E158" s="986"/>
      <c r="F158" s="986"/>
      <c r="G158" s="986"/>
      <c r="H158" s="525"/>
      <c r="I158" s="2605">
        <f t="shared" si="94"/>
        <v>134</v>
      </c>
      <c r="J158" s="2607">
        <f t="shared" si="109"/>
        <v>0</v>
      </c>
      <c r="K158" s="2606">
        <f t="shared" si="104"/>
        <v>0</v>
      </c>
      <c r="L158" s="2608">
        <f t="shared" si="80"/>
        <v>0</v>
      </c>
      <c r="M158" s="2607">
        <f t="shared" si="95"/>
        <v>0</v>
      </c>
      <c r="N158" s="525"/>
      <c r="O158" s="2605">
        <f t="shared" si="96"/>
        <v>134</v>
      </c>
      <c r="P158" s="2607">
        <f t="shared" si="110"/>
        <v>0</v>
      </c>
      <c r="Q158" s="2606">
        <f t="shared" si="105"/>
        <v>0</v>
      </c>
      <c r="R158" s="2608">
        <f t="shared" si="81"/>
        <v>0</v>
      </c>
      <c r="S158" s="2607">
        <f t="shared" si="97"/>
        <v>0</v>
      </c>
      <c r="T158" s="525"/>
      <c r="U158" s="2605">
        <f t="shared" si="98"/>
        <v>134</v>
      </c>
      <c r="V158" s="2607">
        <f t="shared" si="88"/>
        <v>0</v>
      </c>
      <c r="W158" s="2606">
        <f t="shared" si="106"/>
        <v>0</v>
      </c>
      <c r="X158" s="2608">
        <f t="shared" si="91"/>
        <v>0</v>
      </c>
      <c r="Y158" s="2607">
        <f t="shared" si="99"/>
        <v>0</v>
      </c>
      <c r="Z158" s="525"/>
      <c r="AA158" s="2605">
        <f t="shared" si="100"/>
        <v>134</v>
      </c>
      <c r="AB158" s="2607">
        <f t="shared" si="89"/>
        <v>0</v>
      </c>
      <c r="AC158" s="2606">
        <f t="shared" si="107"/>
        <v>0</v>
      </c>
      <c r="AD158" s="2608">
        <f t="shared" si="92"/>
        <v>0</v>
      </c>
      <c r="AE158" s="2607">
        <f t="shared" si="101"/>
        <v>0</v>
      </c>
      <c r="AF158" s="525"/>
      <c r="AG158" s="2605">
        <f t="shared" si="102"/>
        <v>134</v>
      </c>
      <c r="AH158" s="2607">
        <f t="shared" si="90"/>
        <v>0</v>
      </c>
      <c r="AI158" s="2606">
        <f t="shared" si="108"/>
        <v>0</v>
      </c>
      <c r="AJ158" s="2608">
        <f t="shared" si="93"/>
        <v>0</v>
      </c>
      <c r="AK158" s="2607">
        <f t="shared" si="103"/>
        <v>0</v>
      </c>
    </row>
    <row r="159" spans="2:37" ht="20.100000000000001" customHeight="1" x14ac:dyDescent="0.3">
      <c r="B159" s="985"/>
      <c r="C159" s="986"/>
      <c r="D159" s="986"/>
      <c r="E159" s="986"/>
      <c r="F159" s="986"/>
      <c r="G159" s="986"/>
      <c r="H159" s="525"/>
      <c r="I159" s="2605">
        <f t="shared" si="94"/>
        <v>135</v>
      </c>
      <c r="J159" s="2607">
        <f t="shared" si="109"/>
        <v>0</v>
      </c>
      <c r="K159" s="2606">
        <f t="shared" si="104"/>
        <v>0</v>
      </c>
      <c r="L159" s="2608">
        <f t="shared" si="80"/>
        <v>0</v>
      </c>
      <c r="M159" s="2607">
        <f t="shared" si="95"/>
        <v>0</v>
      </c>
      <c r="N159" s="525"/>
      <c r="O159" s="2605">
        <f t="shared" si="96"/>
        <v>135</v>
      </c>
      <c r="P159" s="2607">
        <f t="shared" si="110"/>
        <v>0</v>
      </c>
      <c r="Q159" s="2606">
        <f t="shared" si="105"/>
        <v>0</v>
      </c>
      <c r="R159" s="2608">
        <f t="shared" si="81"/>
        <v>0</v>
      </c>
      <c r="S159" s="2607">
        <f t="shared" si="97"/>
        <v>0</v>
      </c>
      <c r="T159" s="525"/>
      <c r="U159" s="2605">
        <f t="shared" si="98"/>
        <v>135</v>
      </c>
      <c r="V159" s="2607">
        <f t="shared" si="88"/>
        <v>0</v>
      </c>
      <c r="W159" s="2606">
        <f t="shared" si="106"/>
        <v>0</v>
      </c>
      <c r="X159" s="2608">
        <f t="shared" si="91"/>
        <v>0</v>
      </c>
      <c r="Y159" s="2607">
        <f t="shared" si="99"/>
        <v>0</v>
      </c>
      <c r="Z159" s="525"/>
      <c r="AA159" s="2605">
        <f t="shared" si="100"/>
        <v>135</v>
      </c>
      <c r="AB159" s="2607">
        <f t="shared" si="89"/>
        <v>0</v>
      </c>
      <c r="AC159" s="2606">
        <f t="shared" si="107"/>
        <v>0</v>
      </c>
      <c r="AD159" s="2608">
        <f t="shared" si="92"/>
        <v>0</v>
      </c>
      <c r="AE159" s="2607">
        <f t="shared" si="101"/>
        <v>0</v>
      </c>
      <c r="AF159" s="525"/>
      <c r="AG159" s="2605">
        <f t="shared" si="102"/>
        <v>135</v>
      </c>
      <c r="AH159" s="2607">
        <f t="shared" si="90"/>
        <v>0</v>
      </c>
      <c r="AI159" s="2606">
        <f t="shared" si="108"/>
        <v>0</v>
      </c>
      <c r="AJ159" s="2608">
        <f t="shared" si="93"/>
        <v>0</v>
      </c>
      <c r="AK159" s="2607">
        <f t="shared" si="103"/>
        <v>0</v>
      </c>
    </row>
    <row r="160" spans="2:37" ht="20.100000000000001" customHeight="1" x14ac:dyDescent="0.3">
      <c r="B160" s="985"/>
      <c r="C160" s="986"/>
      <c r="D160" s="986"/>
      <c r="E160" s="986"/>
      <c r="F160" s="986"/>
      <c r="G160" s="986"/>
      <c r="H160" s="525"/>
      <c r="I160" s="2605">
        <f t="shared" si="94"/>
        <v>136</v>
      </c>
      <c r="J160" s="2607">
        <f t="shared" si="109"/>
        <v>0</v>
      </c>
      <c r="K160" s="2606">
        <f t="shared" si="104"/>
        <v>0</v>
      </c>
      <c r="L160" s="2608">
        <f t="shared" si="80"/>
        <v>0</v>
      </c>
      <c r="M160" s="2607">
        <f t="shared" si="95"/>
        <v>0</v>
      </c>
      <c r="N160" s="525"/>
      <c r="O160" s="2605">
        <f t="shared" si="96"/>
        <v>136</v>
      </c>
      <c r="P160" s="2607">
        <f t="shared" si="110"/>
        <v>0</v>
      </c>
      <c r="Q160" s="2606">
        <f t="shared" si="105"/>
        <v>0</v>
      </c>
      <c r="R160" s="2608">
        <f t="shared" si="81"/>
        <v>0</v>
      </c>
      <c r="S160" s="2607">
        <f t="shared" si="97"/>
        <v>0</v>
      </c>
      <c r="T160" s="525"/>
      <c r="U160" s="2605">
        <f t="shared" si="98"/>
        <v>136</v>
      </c>
      <c r="V160" s="2607">
        <f t="shared" si="88"/>
        <v>0</v>
      </c>
      <c r="W160" s="2606">
        <f t="shared" si="106"/>
        <v>0</v>
      </c>
      <c r="X160" s="2608">
        <f t="shared" si="91"/>
        <v>0</v>
      </c>
      <c r="Y160" s="2607">
        <f t="shared" si="99"/>
        <v>0</v>
      </c>
      <c r="Z160" s="525"/>
      <c r="AA160" s="2605">
        <f t="shared" si="100"/>
        <v>136</v>
      </c>
      <c r="AB160" s="2607">
        <f t="shared" si="89"/>
        <v>0</v>
      </c>
      <c r="AC160" s="2606">
        <f t="shared" si="107"/>
        <v>0</v>
      </c>
      <c r="AD160" s="2608">
        <f t="shared" si="92"/>
        <v>0</v>
      </c>
      <c r="AE160" s="2607">
        <f t="shared" si="101"/>
        <v>0</v>
      </c>
      <c r="AF160" s="525"/>
      <c r="AG160" s="2605">
        <f t="shared" si="102"/>
        <v>136</v>
      </c>
      <c r="AH160" s="2607">
        <f t="shared" si="90"/>
        <v>0</v>
      </c>
      <c r="AI160" s="2606">
        <f t="shared" si="108"/>
        <v>0</v>
      </c>
      <c r="AJ160" s="2608">
        <f t="shared" si="93"/>
        <v>0</v>
      </c>
      <c r="AK160" s="2607">
        <f t="shared" si="103"/>
        <v>0</v>
      </c>
    </row>
    <row r="161" spans="2:37" ht="20.100000000000001" customHeight="1" x14ac:dyDescent="0.3">
      <c r="B161" s="985"/>
      <c r="C161" s="986"/>
      <c r="D161" s="986"/>
      <c r="E161" s="986"/>
      <c r="F161" s="986"/>
      <c r="G161" s="986"/>
      <c r="H161" s="525"/>
      <c r="I161" s="2605">
        <f t="shared" si="94"/>
        <v>137</v>
      </c>
      <c r="J161" s="2607">
        <f t="shared" si="109"/>
        <v>0</v>
      </c>
      <c r="K161" s="2606">
        <f t="shared" si="104"/>
        <v>0</v>
      </c>
      <c r="L161" s="2608">
        <f t="shared" si="80"/>
        <v>0</v>
      </c>
      <c r="M161" s="2607">
        <f t="shared" si="95"/>
        <v>0</v>
      </c>
      <c r="N161" s="525"/>
      <c r="O161" s="2605">
        <f t="shared" si="96"/>
        <v>137</v>
      </c>
      <c r="P161" s="2607">
        <f t="shared" si="110"/>
        <v>0</v>
      </c>
      <c r="Q161" s="2606">
        <f t="shared" si="105"/>
        <v>0</v>
      </c>
      <c r="R161" s="2608">
        <f t="shared" si="81"/>
        <v>0</v>
      </c>
      <c r="S161" s="2607">
        <f t="shared" si="97"/>
        <v>0</v>
      </c>
      <c r="T161" s="525"/>
      <c r="U161" s="2605">
        <f t="shared" si="98"/>
        <v>137</v>
      </c>
      <c r="V161" s="2607">
        <f t="shared" si="88"/>
        <v>0</v>
      </c>
      <c r="W161" s="2606">
        <f t="shared" si="106"/>
        <v>0</v>
      </c>
      <c r="X161" s="2608">
        <f t="shared" si="91"/>
        <v>0</v>
      </c>
      <c r="Y161" s="2607">
        <f t="shared" si="99"/>
        <v>0</v>
      </c>
      <c r="Z161" s="525"/>
      <c r="AA161" s="2605">
        <f t="shared" si="100"/>
        <v>137</v>
      </c>
      <c r="AB161" s="2607">
        <f t="shared" si="89"/>
        <v>0</v>
      </c>
      <c r="AC161" s="2606">
        <f t="shared" si="107"/>
        <v>0</v>
      </c>
      <c r="AD161" s="2608">
        <f t="shared" si="92"/>
        <v>0</v>
      </c>
      <c r="AE161" s="2607">
        <f t="shared" si="101"/>
        <v>0</v>
      </c>
      <c r="AF161" s="525"/>
      <c r="AG161" s="2605">
        <f t="shared" si="102"/>
        <v>137</v>
      </c>
      <c r="AH161" s="2607">
        <f t="shared" si="90"/>
        <v>0</v>
      </c>
      <c r="AI161" s="2606">
        <f t="shared" si="108"/>
        <v>0</v>
      </c>
      <c r="AJ161" s="2608">
        <f t="shared" si="93"/>
        <v>0</v>
      </c>
      <c r="AK161" s="2607">
        <f t="shared" si="103"/>
        <v>0</v>
      </c>
    </row>
    <row r="162" spans="2:37" ht="20.100000000000001" customHeight="1" x14ac:dyDescent="0.3">
      <c r="B162" s="985"/>
      <c r="C162" s="986"/>
      <c r="D162" s="986"/>
      <c r="E162" s="986"/>
      <c r="F162" s="986"/>
      <c r="G162" s="986"/>
      <c r="H162" s="525"/>
      <c r="I162" s="2605">
        <f t="shared" si="94"/>
        <v>138</v>
      </c>
      <c r="J162" s="2607">
        <f t="shared" si="109"/>
        <v>0</v>
      </c>
      <c r="K162" s="2606">
        <f t="shared" si="104"/>
        <v>0</v>
      </c>
      <c r="L162" s="2608">
        <f t="shared" si="80"/>
        <v>0</v>
      </c>
      <c r="M162" s="2607">
        <f t="shared" si="95"/>
        <v>0</v>
      </c>
      <c r="N162" s="525"/>
      <c r="O162" s="2605">
        <f t="shared" si="96"/>
        <v>138</v>
      </c>
      <c r="P162" s="2607">
        <f t="shared" si="110"/>
        <v>0</v>
      </c>
      <c r="Q162" s="2606">
        <f t="shared" si="105"/>
        <v>0</v>
      </c>
      <c r="R162" s="2608">
        <f t="shared" si="81"/>
        <v>0</v>
      </c>
      <c r="S162" s="2607">
        <f t="shared" si="97"/>
        <v>0</v>
      </c>
      <c r="T162" s="525"/>
      <c r="U162" s="2605">
        <f t="shared" si="98"/>
        <v>138</v>
      </c>
      <c r="V162" s="2607">
        <f t="shared" si="88"/>
        <v>0</v>
      </c>
      <c r="W162" s="2606">
        <f t="shared" si="106"/>
        <v>0</v>
      </c>
      <c r="X162" s="2608">
        <f t="shared" si="91"/>
        <v>0</v>
      </c>
      <c r="Y162" s="2607">
        <f t="shared" si="99"/>
        <v>0</v>
      </c>
      <c r="Z162" s="525"/>
      <c r="AA162" s="2605">
        <f t="shared" si="100"/>
        <v>138</v>
      </c>
      <c r="AB162" s="2607">
        <f t="shared" si="89"/>
        <v>0</v>
      </c>
      <c r="AC162" s="2606">
        <f t="shared" si="107"/>
        <v>0</v>
      </c>
      <c r="AD162" s="2608">
        <f t="shared" si="92"/>
        <v>0</v>
      </c>
      <c r="AE162" s="2607">
        <f t="shared" si="101"/>
        <v>0</v>
      </c>
      <c r="AF162" s="525"/>
      <c r="AG162" s="2605">
        <f t="shared" si="102"/>
        <v>138</v>
      </c>
      <c r="AH162" s="2607">
        <f t="shared" si="90"/>
        <v>0</v>
      </c>
      <c r="AI162" s="2606">
        <f t="shared" si="108"/>
        <v>0</v>
      </c>
      <c r="AJ162" s="2608">
        <f t="shared" si="93"/>
        <v>0</v>
      </c>
      <c r="AK162" s="2607">
        <f t="shared" si="103"/>
        <v>0</v>
      </c>
    </row>
    <row r="163" spans="2:37" ht="20.100000000000001" customHeight="1" x14ac:dyDescent="0.3">
      <c r="B163" s="985"/>
      <c r="C163" s="986"/>
      <c r="D163" s="986"/>
      <c r="E163" s="986"/>
      <c r="F163" s="986"/>
      <c r="G163" s="986"/>
      <c r="H163" s="525"/>
      <c r="I163" s="2605">
        <f t="shared" si="94"/>
        <v>139</v>
      </c>
      <c r="J163" s="2607">
        <f t="shared" si="109"/>
        <v>0</v>
      </c>
      <c r="K163" s="2606">
        <f t="shared" si="104"/>
        <v>0</v>
      </c>
      <c r="L163" s="2608">
        <f t="shared" si="80"/>
        <v>0</v>
      </c>
      <c r="M163" s="2607">
        <f t="shared" si="95"/>
        <v>0</v>
      </c>
      <c r="N163" s="525"/>
      <c r="O163" s="2605">
        <f t="shared" si="96"/>
        <v>139</v>
      </c>
      <c r="P163" s="2607">
        <f t="shared" si="110"/>
        <v>0</v>
      </c>
      <c r="Q163" s="2606">
        <f t="shared" si="105"/>
        <v>0</v>
      </c>
      <c r="R163" s="2608">
        <f t="shared" si="81"/>
        <v>0</v>
      </c>
      <c r="S163" s="2607">
        <f t="shared" si="97"/>
        <v>0</v>
      </c>
      <c r="T163" s="525"/>
      <c r="U163" s="2605">
        <f t="shared" si="98"/>
        <v>139</v>
      </c>
      <c r="V163" s="2607">
        <f t="shared" si="88"/>
        <v>0</v>
      </c>
      <c r="W163" s="2606">
        <f t="shared" si="106"/>
        <v>0</v>
      </c>
      <c r="X163" s="2608">
        <f t="shared" si="91"/>
        <v>0</v>
      </c>
      <c r="Y163" s="2607">
        <f t="shared" si="99"/>
        <v>0</v>
      </c>
      <c r="Z163" s="525"/>
      <c r="AA163" s="2605">
        <f t="shared" si="100"/>
        <v>139</v>
      </c>
      <c r="AB163" s="2607">
        <f t="shared" si="89"/>
        <v>0</v>
      </c>
      <c r="AC163" s="2606">
        <f t="shared" si="107"/>
        <v>0</v>
      </c>
      <c r="AD163" s="2608">
        <f t="shared" si="92"/>
        <v>0</v>
      </c>
      <c r="AE163" s="2607">
        <f t="shared" si="101"/>
        <v>0</v>
      </c>
      <c r="AF163" s="525"/>
      <c r="AG163" s="2605">
        <f t="shared" si="102"/>
        <v>139</v>
      </c>
      <c r="AH163" s="2607">
        <f t="shared" si="90"/>
        <v>0</v>
      </c>
      <c r="AI163" s="2606">
        <f t="shared" si="108"/>
        <v>0</v>
      </c>
      <c r="AJ163" s="2608">
        <f t="shared" si="93"/>
        <v>0</v>
      </c>
      <c r="AK163" s="2607">
        <f t="shared" si="103"/>
        <v>0</v>
      </c>
    </row>
    <row r="164" spans="2:37" ht="20.100000000000001" customHeight="1" x14ac:dyDescent="0.3">
      <c r="B164" s="985"/>
      <c r="C164" s="986"/>
      <c r="D164" s="986"/>
      <c r="E164" s="986"/>
      <c r="F164" s="986"/>
      <c r="G164" s="986"/>
      <c r="H164" s="525"/>
      <c r="I164" s="2605">
        <f t="shared" si="94"/>
        <v>140</v>
      </c>
      <c r="J164" s="2607">
        <f t="shared" si="109"/>
        <v>0</v>
      </c>
      <c r="K164" s="2606">
        <f t="shared" si="104"/>
        <v>0</v>
      </c>
      <c r="L164" s="2608">
        <f t="shared" si="80"/>
        <v>0</v>
      </c>
      <c r="M164" s="2607">
        <f t="shared" si="95"/>
        <v>0</v>
      </c>
      <c r="N164" s="525"/>
      <c r="O164" s="2605">
        <f t="shared" si="96"/>
        <v>140</v>
      </c>
      <c r="P164" s="2607">
        <f t="shared" si="110"/>
        <v>0</v>
      </c>
      <c r="Q164" s="2606">
        <f t="shared" si="105"/>
        <v>0</v>
      </c>
      <c r="R164" s="2608">
        <f t="shared" si="81"/>
        <v>0</v>
      </c>
      <c r="S164" s="2607">
        <f t="shared" si="97"/>
        <v>0</v>
      </c>
      <c r="T164" s="525"/>
      <c r="U164" s="2605">
        <f t="shared" si="98"/>
        <v>140</v>
      </c>
      <c r="V164" s="2607">
        <f t="shared" si="88"/>
        <v>0</v>
      </c>
      <c r="W164" s="2606">
        <f t="shared" si="106"/>
        <v>0</v>
      </c>
      <c r="X164" s="2608">
        <f t="shared" si="91"/>
        <v>0</v>
      </c>
      <c r="Y164" s="2607">
        <f t="shared" si="99"/>
        <v>0</v>
      </c>
      <c r="Z164" s="525"/>
      <c r="AA164" s="2605">
        <f t="shared" si="100"/>
        <v>140</v>
      </c>
      <c r="AB164" s="2607">
        <f t="shared" si="89"/>
        <v>0</v>
      </c>
      <c r="AC164" s="2606">
        <f t="shared" si="107"/>
        <v>0</v>
      </c>
      <c r="AD164" s="2608">
        <f t="shared" si="92"/>
        <v>0</v>
      </c>
      <c r="AE164" s="2607">
        <f t="shared" si="101"/>
        <v>0</v>
      </c>
      <c r="AF164" s="525"/>
      <c r="AG164" s="2605">
        <f t="shared" si="102"/>
        <v>140</v>
      </c>
      <c r="AH164" s="2607">
        <f t="shared" si="90"/>
        <v>0</v>
      </c>
      <c r="AI164" s="2606">
        <f t="shared" si="108"/>
        <v>0</v>
      </c>
      <c r="AJ164" s="2608">
        <f t="shared" si="93"/>
        <v>0</v>
      </c>
      <c r="AK164" s="2607">
        <f t="shared" si="103"/>
        <v>0</v>
      </c>
    </row>
    <row r="165" spans="2:37" ht="20.100000000000001" customHeight="1" x14ac:dyDescent="0.3">
      <c r="B165" s="985"/>
      <c r="C165" s="986"/>
      <c r="D165" s="986"/>
      <c r="E165" s="986"/>
      <c r="F165" s="986"/>
      <c r="G165" s="986"/>
      <c r="H165" s="525"/>
      <c r="I165" s="2605">
        <f t="shared" si="94"/>
        <v>141</v>
      </c>
      <c r="J165" s="2607">
        <f t="shared" si="109"/>
        <v>0</v>
      </c>
      <c r="K165" s="2606">
        <f t="shared" si="104"/>
        <v>0</v>
      </c>
      <c r="L165" s="2608">
        <f t="shared" si="80"/>
        <v>0</v>
      </c>
      <c r="M165" s="2607">
        <f t="shared" si="95"/>
        <v>0</v>
      </c>
      <c r="N165" s="525"/>
      <c r="O165" s="2605">
        <f t="shared" si="96"/>
        <v>141</v>
      </c>
      <c r="P165" s="2607">
        <f t="shared" si="110"/>
        <v>0</v>
      </c>
      <c r="Q165" s="2606">
        <f t="shared" si="105"/>
        <v>0</v>
      </c>
      <c r="R165" s="2608">
        <f t="shared" si="81"/>
        <v>0</v>
      </c>
      <c r="S165" s="2607">
        <f t="shared" si="97"/>
        <v>0</v>
      </c>
      <c r="T165" s="525"/>
      <c r="U165" s="2605">
        <f t="shared" si="98"/>
        <v>141</v>
      </c>
      <c r="V165" s="2607">
        <f t="shared" si="88"/>
        <v>0</v>
      </c>
      <c r="W165" s="2606">
        <f t="shared" si="106"/>
        <v>0</v>
      </c>
      <c r="X165" s="2608">
        <f t="shared" si="91"/>
        <v>0</v>
      </c>
      <c r="Y165" s="2607">
        <f t="shared" si="99"/>
        <v>0</v>
      </c>
      <c r="Z165" s="525"/>
      <c r="AA165" s="2605">
        <f t="shared" si="100"/>
        <v>141</v>
      </c>
      <c r="AB165" s="2607">
        <f t="shared" si="89"/>
        <v>0</v>
      </c>
      <c r="AC165" s="2606">
        <f t="shared" si="107"/>
        <v>0</v>
      </c>
      <c r="AD165" s="2608">
        <f t="shared" si="92"/>
        <v>0</v>
      </c>
      <c r="AE165" s="2607">
        <f t="shared" si="101"/>
        <v>0</v>
      </c>
      <c r="AF165" s="525"/>
      <c r="AG165" s="2605">
        <f t="shared" si="102"/>
        <v>141</v>
      </c>
      <c r="AH165" s="2607">
        <f t="shared" si="90"/>
        <v>0</v>
      </c>
      <c r="AI165" s="2606">
        <f t="shared" si="108"/>
        <v>0</v>
      </c>
      <c r="AJ165" s="2608">
        <f t="shared" si="93"/>
        <v>0</v>
      </c>
      <c r="AK165" s="2607">
        <f t="shared" si="103"/>
        <v>0</v>
      </c>
    </row>
    <row r="166" spans="2:37" ht="20.100000000000001" customHeight="1" x14ac:dyDescent="0.3">
      <c r="B166" s="985"/>
      <c r="C166" s="986"/>
      <c r="D166" s="986"/>
      <c r="E166" s="986"/>
      <c r="F166" s="986"/>
      <c r="G166" s="986"/>
      <c r="H166" s="525"/>
      <c r="I166" s="2605">
        <f t="shared" si="94"/>
        <v>142</v>
      </c>
      <c r="J166" s="2607">
        <f t="shared" si="109"/>
        <v>0</v>
      </c>
      <c r="K166" s="2606">
        <f t="shared" si="104"/>
        <v>0</v>
      </c>
      <c r="L166" s="2608">
        <f t="shared" si="80"/>
        <v>0</v>
      </c>
      <c r="M166" s="2607">
        <f t="shared" si="95"/>
        <v>0</v>
      </c>
      <c r="N166" s="525"/>
      <c r="O166" s="2605">
        <f t="shared" si="96"/>
        <v>142</v>
      </c>
      <c r="P166" s="2607">
        <f t="shared" si="110"/>
        <v>0</v>
      </c>
      <c r="Q166" s="2606">
        <f t="shared" si="105"/>
        <v>0</v>
      </c>
      <c r="R166" s="2608">
        <f t="shared" si="81"/>
        <v>0</v>
      </c>
      <c r="S166" s="2607">
        <f t="shared" si="97"/>
        <v>0</v>
      </c>
      <c r="T166" s="525"/>
      <c r="U166" s="2605">
        <f t="shared" si="98"/>
        <v>142</v>
      </c>
      <c r="V166" s="2607">
        <f t="shared" si="88"/>
        <v>0</v>
      </c>
      <c r="W166" s="2606">
        <f t="shared" si="106"/>
        <v>0</v>
      </c>
      <c r="X166" s="2608">
        <f t="shared" si="91"/>
        <v>0</v>
      </c>
      <c r="Y166" s="2607">
        <f t="shared" si="99"/>
        <v>0</v>
      </c>
      <c r="Z166" s="525"/>
      <c r="AA166" s="2605">
        <f t="shared" si="100"/>
        <v>142</v>
      </c>
      <c r="AB166" s="2607">
        <f t="shared" si="89"/>
        <v>0</v>
      </c>
      <c r="AC166" s="2606">
        <f t="shared" si="107"/>
        <v>0</v>
      </c>
      <c r="AD166" s="2608">
        <f t="shared" si="92"/>
        <v>0</v>
      </c>
      <c r="AE166" s="2607">
        <f t="shared" si="101"/>
        <v>0</v>
      </c>
      <c r="AF166" s="525"/>
      <c r="AG166" s="2605">
        <f t="shared" si="102"/>
        <v>142</v>
      </c>
      <c r="AH166" s="2607">
        <f t="shared" si="90"/>
        <v>0</v>
      </c>
      <c r="AI166" s="2606">
        <f t="shared" si="108"/>
        <v>0</v>
      </c>
      <c r="AJ166" s="2608">
        <f t="shared" si="93"/>
        <v>0</v>
      </c>
      <c r="AK166" s="2607">
        <f t="shared" si="103"/>
        <v>0</v>
      </c>
    </row>
    <row r="167" spans="2:37" ht="20.100000000000001" customHeight="1" x14ac:dyDescent="0.3">
      <c r="B167" s="985"/>
      <c r="C167" s="986"/>
      <c r="D167" s="986"/>
      <c r="E167" s="986"/>
      <c r="F167" s="986"/>
      <c r="G167" s="986"/>
      <c r="H167" s="525"/>
      <c r="I167" s="2605">
        <f t="shared" si="94"/>
        <v>143</v>
      </c>
      <c r="J167" s="2607">
        <f t="shared" si="109"/>
        <v>0</v>
      </c>
      <c r="K167" s="2606">
        <f t="shared" si="104"/>
        <v>0</v>
      </c>
      <c r="L167" s="2608">
        <f t="shared" si="80"/>
        <v>0</v>
      </c>
      <c r="M167" s="2607">
        <f t="shared" si="95"/>
        <v>0</v>
      </c>
      <c r="N167" s="525"/>
      <c r="O167" s="2605">
        <f t="shared" si="96"/>
        <v>143</v>
      </c>
      <c r="P167" s="2607">
        <f t="shared" si="110"/>
        <v>0</v>
      </c>
      <c r="Q167" s="2606">
        <f t="shared" si="105"/>
        <v>0</v>
      </c>
      <c r="R167" s="2608">
        <f t="shared" si="81"/>
        <v>0</v>
      </c>
      <c r="S167" s="2607">
        <f t="shared" si="97"/>
        <v>0</v>
      </c>
      <c r="T167" s="525"/>
      <c r="U167" s="2605">
        <f t="shared" si="98"/>
        <v>143</v>
      </c>
      <c r="V167" s="2607">
        <f t="shared" si="88"/>
        <v>0</v>
      </c>
      <c r="W167" s="2606">
        <f t="shared" si="106"/>
        <v>0</v>
      </c>
      <c r="X167" s="2608">
        <f t="shared" si="91"/>
        <v>0</v>
      </c>
      <c r="Y167" s="2607">
        <f t="shared" si="99"/>
        <v>0</v>
      </c>
      <c r="Z167" s="525"/>
      <c r="AA167" s="2605">
        <f t="shared" si="100"/>
        <v>143</v>
      </c>
      <c r="AB167" s="2607">
        <f t="shared" si="89"/>
        <v>0</v>
      </c>
      <c r="AC167" s="2606">
        <f t="shared" si="107"/>
        <v>0</v>
      </c>
      <c r="AD167" s="2608">
        <f t="shared" si="92"/>
        <v>0</v>
      </c>
      <c r="AE167" s="2607">
        <f t="shared" si="101"/>
        <v>0</v>
      </c>
      <c r="AF167" s="525"/>
      <c r="AG167" s="2605">
        <f t="shared" si="102"/>
        <v>143</v>
      </c>
      <c r="AH167" s="2607">
        <f t="shared" si="90"/>
        <v>0</v>
      </c>
      <c r="AI167" s="2606">
        <f t="shared" si="108"/>
        <v>0</v>
      </c>
      <c r="AJ167" s="2608">
        <f t="shared" si="93"/>
        <v>0</v>
      </c>
      <c r="AK167" s="2607">
        <f t="shared" si="103"/>
        <v>0</v>
      </c>
    </row>
    <row r="168" spans="2:37" ht="20.100000000000001" customHeight="1" x14ac:dyDescent="0.3">
      <c r="B168" s="985"/>
      <c r="C168" s="986"/>
      <c r="D168" s="986"/>
      <c r="E168" s="986"/>
      <c r="F168" s="986"/>
      <c r="G168" s="986"/>
      <c r="H168" s="525"/>
      <c r="I168" s="2605">
        <f t="shared" si="94"/>
        <v>144</v>
      </c>
      <c r="J168" s="2607">
        <f t="shared" si="109"/>
        <v>0</v>
      </c>
      <c r="K168" s="2606">
        <f t="shared" si="104"/>
        <v>0</v>
      </c>
      <c r="L168" s="2608">
        <f t="shared" si="80"/>
        <v>0</v>
      </c>
      <c r="M168" s="2607">
        <f t="shared" si="95"/>
        <v>0</v>
      </c>
      <c r="N168" s="525"/>
      <c r="O168" s="2605">
        <f t="shared" si="96"/>
        <v>144</v>
      </c>
      <c r="P168" s="2607">
        <f t="shared" si="110"/>
        <v>0</v>
      </c>
      <c r="Q168" s="2606">
        <f t="shared" si="105"/>
        <v>0</v>
      </c>
      <c r="R168" s="2608">
        <f t="shared" si="81"/>
        <v>0</v>
      </c>
      <c r="S168" s="2607">
        <f t="shared" si="97"/>
        <v>0</v>
      </c>
      <c r="T168" s="525"/>
      <c r="U168" s="2605">
        <f t="shared" si="98"/>
        <v>144</v>
      </c>
      <c r="V168" s="2607">
        <f t="shared" si="88"/>
        <v>0</v>
      </c>
      <c r="W168" s="2606">
        <f t="shared" si="106"/>
        <v>0</v>
      </c>
      <c r="X168" s="2608">
        <f t="shared" si="91"/>
        <v>0</v>
      </c>
      <c r="Y168" s="2607">
        <f t="shared" si="99"/>
        <v>0</v>
      </c>
      <c r="Z168" s="525"/>
      <c r="AA168" s="2605">
        <f t="shared" si="100"/>
        <v>144</v>
      </c>
      <c r="AB168" s="2607">
        <f t="shared" si="89"/>
        <v>0</v>
      </c>
      <c r="AC168" s="2606">
        <f t="shared" si="107"/>
        <v>0</v>
      </c>
      <c r="AD168" s="2608">
        <f t="shared" si="92"/>
        <v>0</v>
      </c>
      <c r="AE168" s="2607">
        <f t="shared" si="101"/>
        <v>0</v>
      </c>
      <c r="AF168" s="525"/>
      <c r="AG168" s="2605">
        <f t="shared" si="102"/>
        <v>144</v>
      </c>
      <c r="AH168" s="2607">
        <f t="shared" si="90"/>
        <v>0</v>
      </c>
      <c r="AI168" s="2606">
        <f t="shared" si="108"/>
        <v>0</v>
      </c>
      <c r="AJ168" s="2608">
        <f t="shared" si="93"/>
        <v>0</v>
      </c>
      <c r="AK168" s="2607">
        <f t="shared" si="103"/>
        <v>0</v>
      </c>
    </row>
    <row r="169" spans="2:37" ht="20.100000000000001" customHeight="1" x14ac:dyDescent="0.3">
      <c r="B169" s="985"/>
      <c r="C169" s="986"/>
      <c r="D169" s="986"/>
      <c r="E169" s="986"/>
      <c r="F169" s="986"/>
      <c r="G169" s="986"/>
      <c r="H169" s="525"/>
      <c r="I169" s="2605">
        <f t="shared" si="94"/>
        <v>145</v>
      </c>
      <c r="J169" s="2607">
        <f t="shared" si="109"/>
        <v>0</v>
      </c>
      <c r="K169" s="2606">
        <f t="shared" si="104"/>
        <v>0</v>
      </c>
      <c r="L169" s="2608">
        <f t="shared" si="80"/>
        <v>0</v>
      </c>
      <c r="M169" s="2607">
        <f t="shared" si="95"/>
        <v>0</v>
      </c>
      <c r="N169" s="525"/>
      <c r="O169" s="2605">
        <f t="shared" si="96"/>
        <v>145</v>
      </c>
      <c r="P169" s="2607">
        <f t="shared" si="110"/>
        <v>0</v>
      </c>
      <c r="Q169" s="2606">
        <f t="shared" si="105"/>
        <v>0</v>
      </c>
      <c r="R169" s="2608">
        <f t="shared" si="81"/>
        <v>0</v>
      </c>
      <c r="S169" s="2607">
        <f t="shared" si="97"/>
        <v>0</v>
      </c>
      <c r="T169" s="525"/>
      <c r="U169" s="2605">
        <f t="shared" si="98"/>
        <v>145</v>
      </c>
      <c r="V169" s="2607">
        <f t="shared" si="88"/>
        <v>0</v>
      </c>
      <c r="W169" s="2606">
        <f t="shared" si="106"/>
        <v>0</v>
      </c>
      <c r="X169" s="2608">
        <f t="shared" si="91"/>
        <v>0</v>
      </c>
      <c r="Y169" s="2607">
        <f t="shared" si="99"/>
        <v>0</v>
      </c>
      <c r="Z169" s="525"/>
      <c r="AA169" s="2605">
        <f t="shared" si="100"/>
        <v>145</v>
      </c>
      <c r="AB169" s="2607">
        <f t="shared" si="89"/>
        <v>0</v>
      </c>
      <c r="AC169" s="2606">
        <f t="shared" si="107"/>
        <v>0</v>
      </c>
      <c r="AD169" s="2608">
        <f t="shared" si="92"/>
        <v>0</v>
      </c>
      <c r="AE169" s="2607">
        <f t="shared" si="101"/>
        <v>0</v>
      </c>
      <c r="AF169" s="525"/>
      <c r="AG169" s="2605">
        <f t="shared" si="102"/>
        <v>145</v>
      </c>
      <c r="AH169" s="2607">
        <f t="shared" si="90"/>
        <v>0</v>
      </c>
      <c r="AI169" s="2606">
        <f t="shared" si="108"/>
        <v>0</v>
      </c>
      <c r="AJ169" s="2608">
        <f t="shared" si="93"/>
        <v>0</v>
      </c>
      <c r="AK169" s="2607">
        <f t="shared" si="103"/>
        <v>0</v>
      </c>
    </row>
    <row r="170" spans="2:37" ht="20.100000000000001" customHeight="1" x14ac:dyDescent="0.3">
      <c r="B170" s="985"/>
      <c r="C170" s="986"/>
      <c r="D170" s="986"/>
      <c r="E170" s="986"/>
      <c r="F170" s="986"/>
      <c r="G170" s="986"/>
      <c r="H170" s="525"/>
      <c r="I170" s="2605">
        <f t="shared" si="94"/>
        <v>146</v>
      </c>
      <c r="J170" s="2607">
        <f t="shared" si="109"/>
        <v>0</v>
      </c>
      <c r="K170" s="2606">
        <f t="shared" si="104"/>
        <v>0</v>
      </c>
      <c r="L170" s="2608">
        <f t="shared" si="80"/>
        <v>0</v>
      </c>
      <c r="M170" s="2607">
        <f t="shared" si="95"/>
        <v>0</v>
      </c>
      <c r="N170" s="525"/>
      <c r="O170" s="2605">
        <f t="shared" si="96"/>
        <v>146</v>
      </c>
      <c r="P170" s="2607">
        <f t="shared" si="110"/>
        <v>0</v>
      </c>
      <c r="Q170" s="2606">
        <f t="shared" si="105"/>
        <v>0</v>
      </c>
      <c r="R170" s="2608">
        <f t="shared" si="81"/>
        <v>0</v>
      </c>
      <c r="S170" s="2607">
        <f t="shared" si="97"/>
        <v>0</v>
      </c>
      <c r="T170" s="525"/>
      <c r="U170" s="2605">
        <f t="shared" si="98"/>
        <v>146</v>
      </c>
      <c r="V170" s="2607">
        <f t="shared" si="88"/>
        <v>0</v>
      </c>
      <c r="W170" s="2606">
        <f t="shared" si="106"/>
        <v>0</v>
      </c>
      <c r="X170" s="2608">
        <f t="shared" si="91"/>
        <v>0</v>
      </c>
      <c r="Y170" s="2607">
        <f t="shared" si="99"/>
        <v>0</v>
      </c>
      <c r="Z170" s="525"/>
      <c r="AA170" s="2605">
        <f t="shared" si="100"/>
        <v>146</v>
      </c>
      <c r="AB170" s="2607">
        <f t="shared" si="89"/>
        <v>0</v>
      </c>
      <c r="AC170" s="2606">
        <f t="shared" si="107"/>
        <v>0</v>
      </c>
      <c r="AD170" s="2608">
        <f t="shared" si="92"/>
        <v>0</v>
      </c>
      <c r="AE170" s="2607">
        <f t="shared" si="101"/>
        <v>0</v>
      </c>
      <c r="AF170" s="525"/>
      <c r="AG170" s="2605">
        <f t="shared" si="102"/>
        <v>146</v>
      </c>
      <c r="AH170" s="2607">
        <f t="shared" si="90"/>
        <v>0</v>
      </c>
      <c r="AI170" s="2606">
        <f t="shared" si="108"/>
        <v>0</v>
      </c>
      <c r="AJ170" s="2608">
        <f t="shared" si="93"/>
        <v>0</v>
      </c>
      <c r="AK170" s="2607">
        <f t="shared" si="103"/>
        <v>0</v>
      </c>
    </row>
    <row r="171" spans="2:37" ht="20.100000000000001" customHeight="1" x14ac:dyDescent="0.3">
      <c r="B171" s="985"/>
      <c r="C171" s="986"/>
      <c r="D171" s="986"/>
      <c r="E171" s="986"/>
      <c r="F171" s="986"/>
      <c r="G171" s="986"/>
      <c r="H171" s="525"/>
      <c r="I171" s="2605">
        <f t="shared" si="94"/>
        <v>147</v>
      </c>
      <c r="J171" s="2607">
        <f t="shared" si="109"/>
        <v>0</v>
      </c>
      <c r="K171" s="2606">
        <f t="shared" si="104"/>
        <v>0</v>
      </c>
      <c r="L171" s="2608">
        <f t="shared" si="80"/>
        <v>0</v>
      </c>
      <c r="M171" s="2607">
        <f t="shared" si="95"/>
        <v>0</v>
      </c>
      <c r="N171" s="525"/>
      <c r="O171" s="2605">
        <f t="shared" si="96"/>
        <v>147</v>
      </c>
      <c r="P171" s="2607">
        <f t="shared" si="110"/>
        <v>0</v>
      </c>
      <c r="Q171" s="2606">
        <f t="shared" si="105"/>
        <v>0</v>
      </c>
      <c r="R171" s="2608">
        <f t="shared" si="81"/>
        <v>0</v>
      </c>
      <c r="S171" s="2607">
        <f t="shared" si="97"/>
        <v>0</v>
      </c>
      <c r="T171" s="525"/>
      <c r="U171" s="2605">
        <f t="shared" si="98"/>
        <v>147</v>
      </c>
      <c r="V171" s="2607">
        <f t="shared" si="88"/>
        <v>0</v>
      </c>
      <c r="W171" s="2606">
        <f t="shared" si="106"/>
        <v>0</v>
      </c>
      <c r="X171" s="2608">
        <f t="shared" si="91"/>
        <v>0</v>
      </c>
      <c r="Y171" s="2607">
        <f t="shared" si="99"/>
        <v>0</v>
      </c>
      <c r="Z171" s="525"/>
      <c r="AA171" s="2605">
        <f t="shared" si="100"/>
        <v>147</v>
      </c>
      <c r="AB171" s="2607">
        <f t="shared" si="89"/>
        <v>0</v>
      </c>
      <c r="AC171" s="2606">
        <f t="shared" si="107"/>
        <v>0</v>
      </c>
      <c r="AD171" s="2608">
        <f t="shared" si="92"/>
        <v>0</v>
      </c>
      <c r="AE171" s="2607">
        <f t="shared" si="101"/>
        <v>0</v>
      </c>
      <c r="AF171" s="525"/>
      <c r="AG171" s="2605">
        <f t="shared" si="102"/>
        <v>147</v>
      </c>
      <c r="AH171" s="2607">
        <f t="shared" si="90"/>
        <v>0</v>
      </c>
      <c r="AI171" s="2606">
        <f t="shared" si="108"/>
        <v>0</v>
      </c>
      <c r="AJ171" s="2608">
        <f t="shared" si="93"/>
        <v>0</v>
      </c>
      <c r="AK171" s="2607">
        <f t="shared" si="103"/>
        <v>0</v>
      </c>
    </row>
    <row r="172" spans="2:37" ht="20.100000000000001" customHeight="1" x14ac:dyDescent="0.3">
      <c r="B172" s="985"/>
      <c r="C172" s="986"/>
      <c r="D172" s="986"/>
      <c r="E172" s="986"/>
      <c r="F172" s="986"/>
      <c r="G172" s="986"/>
      <c r="H172" s="525"/>
      <c r="I172" s="2605">
        <f t="shared" si="94"/>
        <v>148</v>
      </c>
      <c r="J172" s="2607">
        <f t="shared" si="109"/>
        <v>0</v>
      </c>
      <c r="K172" s="2606">
        <f t="shared" si="104"/>
        <v>0</v>
      </c>
      <c r="L172" s="2608">
        <f t="shared" ref="L172:L204" si="111">ROUND(IF(J172=0,0,IF(I172=annuité_emprunt1,M171,IF(I172&gt;différé_emprunt1,-PPMT((taux_emprunt1/périodicité_emprunt1),I172-différé_emprunt1,(annuité_emprunt1-différé_emprunt1),emprunt1),0))),2)</f>
        <v>0</v>
      </c>
      <c r="M172" s="2607">
        <f t="shared" si="95"/>
        <v>0</v>
      </c>
      <c r="N172" s="525"/>
      <c r="O172" s="2605">
        <f t="shared" si="96"/>
        <v>148</v>
      </c>
      <c r="P172" s="2607">
        <f t="shared" si="110"/>
        <v>0</v>
      </c>
      <c r="Q172" s="2606">
        <f t="shared" si="105"/>
        <v>0</v>
      </c>
      <c r="R172" s="2608">
        <f t="shared" ref="R172:R204" si="112">ROUND(IF(P172=0,0,IF(O172=annuité_emprunt2,S171,IF(O172&gt;différé_emprunt2,-PPMT((taux_emprunt2/périodicité_emprunt2),O172-différé_emprunt2,(annuité_emprunt2-différé_emprunt2),emprunt2),0))),2)</f>
        <v>0</v>
      </c>
      <c r="S172" s="2607">
        <f t="shared" si="97"/>
        <v>0</v>
      </c>
      <c r="T172" s="525"/>
      <c r="U172" s="2605">
        <f t="shared" si="98"/>
        <v>148</v>
      </c>
      <c r="V172" s="2607">
        <f t="shared" si="88"/>
        <v>0</v>
      </c>
      <c r="W172" s="2606">
        <f t="shared" si="106"/>
        <v>0</v>
      </c>
      <c r="X172" s="2608">
        <f t="shared" si="91"/>
        <v>0</v>
      </c>
      <c r="Y172" s="2607">
        <f t="shared" si="99"/>
        <v>0</v>
      </c>
      <c r="Z172" s="525"/>
      <c r="AA172" s="2605">
        <f t="shared" si="100"/>
        <v>148</v>
      </c>
      <c r="AB172" s="2607">
        <f t="shared" si="89"/>
        <v>0</v>
      </c>
      <c r="AC172" s="2606">
        <f t="shared" si="107"/>
        <v>0</v>
      </c>
      <c r="AD172" s="2608">
        <f t="shared" si="92"/>
        <v>0</v>
      </c>
      <c r="AE172" s="2607">
        <f t="shared" si="101"/>
        <v>0</v>
      </c>
      <c r="AF172" s="525"/>
      <c r="AG172" s="2605">
        <f t="shared" si="102"/>
        <v>148</v>
      </c>
      <c r="AH172" s="2607">
        <f t="shared" si="90"/>
        <v>0</v>
      </c>
      <c r="AI172" s="2606">
        <f t="shared" si="108"/>
        <v>0</v>
      </c>
      <c r="AJ172" s="2608">
        <f t="shared" si="93"/>
        <v>0</v>
      </c>
      <c r="AK172" s="2607">
        <f t="shared" si="103"/>
        <v>0</v>
      </c>
    </row>
    <row r="173" spans="2:37" ht="20.100000000000001" customHeight="1" x14ac:dyDescent="0.3">
      <c r="B173" s="985"/>
      <c r="C173" s="986"/>
      <c r="D173" s="986"/>
      <c r="E173" s="986"/>
      <c r="F173" s="986"/>
      <c r="G173" s="986"/>
      <c r="H173" s="525"/>
      <c r="I173" s="2605">
        <f t="shared" si="94"/>
        <v>149</v>
      </c>
      <c r="J173" s="2607">
        <f t="shared" si="109"/>
        <v>0</v>
      </c>
      <c r="K173" s="2606">
        <f t="shared" si="104"/>
        <v>0</v>
      </c>
      <c r="L173" s="2608">
        <f t="shared" si="111"/>
        <v>0</v>
      </c>
      <c r="M173" s="2607">
        <f t="shared" si="95"/>
        <v>0</v>
      </c>
      <c r="N173" s="525"/>
      <c r="O173" s="2605">
        <f t="shared" si="96"/>
        <v>149</v>
      </c>
      <c r="P173" s="2607">
        <f t="shared" si="110"/>
        <v>0</v>
      </c>
      <c r="Q173" s="2606">
        <f t="shared" si="105"/>
        <v>0</v>
      </c>
      <c r="R173" s="2608">
        <f t="shared" si="112"/>
        <v>0</v>
      </c>
      <c r="S173" s="2607">
        <f t="shared" si="97"/>
        <v>0</v>
      </c>
      <c r="T173" s="525"/>
      <c r="U173" s="2605">
        <f t="shared" si="98"/>
        <v>149</v>
      </c>
      <c r="V173" s="2607">
        <f t="shared" si="88"/>
        <v>0</v>
      </c>
      <c r="W173" s="2606">
        <f t="shared" si="106"/>
        <v>0</v>
      </c>
      <c r="X173" s="2608">
        <f t="shared" si="91"/>
        <v>0</v>
      </c>
      <c r="Y173" s="2607">
        <f t="shared" si="99"/>
        <v>0</v>
      </c>
      <c r="Z173" s="525"/>
      <c r="AA173" s="2605">
        <f t="shared" si="100"/>
        <v>149</v>
      </c>
      <c r="AB173" s="2607">
        <f t="shared" si="89"/>
        <v>0</v>
      </c>
      <c r="AC173" s="2606">
        <f t="shared" si="107"/>
        <v>0</v>
      </c>
      <c r="AD173" s="2608">
        <f t="shared" si="92"/>
        <v>0</v>
      </c>
      <c r="AE173" s="2607">
        <f t="shared" si="101"/>
        <v>0</v>
      </c>
      <c r="AF173" s="525"/>
      <c r="AG173" s="2605">
        <f t="shared" si="102"/>
        <v>149</v>
      </c>
      <c r="AH173" s="2607">
        <f t="shared" si="90"/>
        <v>0</v>
      </c>
      <c r="AI173" s="2606">
        <f t="shared" si="108"/>
        <v>0</v>
      </c>
      <c r="AJ173" s="2608">
        <f t="shared" si="93"/>
        <v>0</v>
      </c>
      <c r="AK173" s="2607">
        <f t="shared" si="103"/>
        <v>0</v>
      </c>
    </row>
    <row r="174" spans="2:37" ht="20.100000000000001" customHeight="1" x14ac:dyDescent="0.3">
      <c r="B174" s="985"/>
      <c r="C174" s="986"/>
      <c r="D174" s="986"/>
      <c r="E174" s="986"/>
      <c r="F174" s="986"/>
      <c r="G174" s="986"/>
      <c r="H174" s="525"/>
      <c r="I174" s="2605">
        <f t="shared" si="94"/>
        <v>150</v>
      </c>
      <c r="J174" s="2607">
        <f t="shared" si="109"/>
        <v>0</v>
      </c>
      <c r="K174" s="2606">
        <f t="shared" si="104"/>
        <v>0</v>
      </c>
      <c r="L174" s="2608">
        <f t="shared" si="111"/>
        <v>0</v>
      </c>
      <c r="M174" s="2607">
        <f t="shared" si="95"/>
        <v>0</v>
      </c>
      <c r="N174" s="525"/>
      <c r="O174" s="2605">
        <f t="shared" si="96"/>
        <v>150</v>
      </c>
      <c r="P174" s="2607">
        <f t="shared" si="110"/>
        <v>0</v>
      </c>
      <c r="Q174" s="2606">
        <f t="shared" si="105"/>
        <v>0</v>
      </c>
      <c r="R174" s="2608">
        <f t="shared" si="112"/>
        <v>0</v>
      </c>
      <c r="S174" s="2607">
        <f t="shared" si="97"/>
        <v>0</v>
      </c>
      <c r="T174" s="525"/>
      <c r="U174" s="2605">
        <f t="shared" si="98"/>
        <v>150</v>
      </c>
      <c r="V174" s="2607">
        <f t="shared" si="88"/>
        <v>0</v>
      </c>
      <c r="W174" s="2606">
        <f t="shared" si="106"/>
        <v>0</v>
      </c>
      <c r="X174" s="2608">
        <f t="shared" si="91"/>
        <v>0</v>
      </c>
      <c r="Y174" s="2607">
        <f t="shared" si="99"/>
        <v>0</v>
      </c>
      <c r="Z174" s="525"/>
      <c r="AA174" s="2605">
        <f t="shared" si="100"/>
        <v>150</v>
      </c>
      <c r="AB174" s="2607">
        <f t="shared" si="89"/>
        <v>0</v>
      </c>
      <c r="AC174" s="2606">
        <f t="shared" si="107"/>
        <v>0</v>
      </c>
      <c r="AD174" s="2608">
        <f t="shared" si="92"/>
        <v>0</v>
      </c>
      <c r="AE174" s="2607">
        <f t="shared" si="101"/>
        <v>0</v>
      </c>
      <c r="AF174" s="525"/>
      <c r="AG174" s="2605">
        <f t="shared" si="102"/>
        <v>150</v>
      </c>
      <c r="AH174" s="2607">
        <f t="shared" si="90"/>
        <v>0</v>
      </c>
      <c r="AI174" s="2606">
        <f t="shared" si="108"/>
        <v>0</v>
      </c>
      <c r="AJ174" s="2608">
        <f t="shared" si="93"/>
        <v>0</v>
      </c>
      <c r="AK174" s="2607">
        <f t="shared" si="103"/>
        <v>0</v>
      </c>
    </row>
    <row r="175" spans="2:37" ht="20.100000000000001" customHeight="1" x14ac:dyDescent="0.3">
      <c r="B175" s="985"/>
      <c r="C175" s="986"/>
      <c r="D175" s="986"/>
      <c r="E175" s="986"/>
      <c r="F175" s="986"/>
      <c r="G175" s="986"/>
      <c r="H175" s="525"/>
      <c r="I175" s="2605">
        <f t="shared" si="94"/>
        <v>151</v>
      </c>
      <c r="J175" s="2607">
        <f t="shared" si="109"/>
        <v>0</v>
      </c>
      <c r="K175" s="2606">
        <f t="shared" si="104"/>
        <v>0</v>
      </c>
      <c r="L175" s="2608">
        <f t="shared" si="111"/>
        <v>0</v>
      </c>
      <c r="M175" s="2607">
        <f t="shared" si="95"/>
        <v>0</v>
      </c>
      <c r="N175" s="525"/>
      <c r="O175" s="2605">
        <f t="shared" si="96"/>
        <v>151</v>
      </c>
      <c r="P175" s="2607">
        <f t="shared" si="110"/>
        <v>0</v>
      </c>
      <c r="Q175" s="2606">
        <f t="shared" si="105"/>
        <v>0</v>
      </c>
      <c r="R175" s="2608">
        <f t="shared" si="112"/>
        <v>0</v>
      </c>
      <c r="S175" s="2607">
        <f t="shared" si="97"/>
        <v>0</v>
      </c>
      <c r="T175" s="525"/>
      <c r="U175" s="2605">
        <f t="shared" si="98"/>
        <v>151</v>
      </c>
      <c r="V175" s="2607">
        <f t="shared" si="88"/>
        <v>0</v>
      </c>
      <c r="W175" s="2606">
        <f t="shared" si="106"/>
        <v>0</v>
      </c>
      <c r="X175" s="2608">
        <f t="shared" si="91"/>
        <v>0</v>
      </c>
      <c r="Y175" s="2607">
        <f t="shared" si="99"/>
        <v>0</v>
      </c>
      <c r="Z175" s="525"/>
      <c r="AA175" s="2605">
        <f t="shared" si="100"/>
        <v>151</v>
      </c>
      <c r="AB175" s="2607">
        <f t="shared" si="89"/>
        <v>0</v>
      </c>
      <c r="AC175" s="2606">
        <f t="shared" si="107"/>
        <v>0</v>
      </c>
      <c r="AD175" s="2608">
        <f t="shared" si="92"/>
        <v>0</v>
      </c>
      <c r="AE175" s="2607">
        <f t="shared" si="101"/>
        <v>0</v>
      </c>
      <c r="AF175" s="525"/>
      <c r="AG175" s="2605">
        <f t="shared" si="102"/>
        <v>151</v>
      </c>
      <c r="AH175" s="2607">
        <f t="shared" si="90"/>
        <v>0</v>
      </c>
      <c r="AI175" s="2606">
        <f t="shared" si="108"/>
        <v>0</v>
      </c>
      <c r="AJ175" s="2608">
        <f t="shared" si="93"/>
        <v>0</v>
      </c>
      <c r="AK175" s="2607">
        <f t="shared" si="103"/>
        <v>0</v>
      </c>
    </row>
    <row r="176" spans="2:37" ht="20.100000000000001" customHeight="1" x14ac:dyDescent="0.3">
      <c r="B176" s="985"/>
      <c r="C176" s="986"/>
      <c r="D176" s="986"/>
      <c r="E176" s="986"/>
      <c r="F176" s="986"/>
      <c r="G176" s="986"/>
      <c r="H176" s="525"/>
      <c r="I176" s="2605">
        <f t="shared" si="94"/>
        <v>152</v>
      </c>
      <c r="J176" s="2607">
        <f t="shared" si="109"/>
        <v>0</v>
      </c>
      <c r="K176" s="2606">
        <f t="shared" si="104"/>
        <v>0</v>
      </c>
      <c r="L176" s="2608">
        <f t="shared" si="111"/>
        <v>0</v>
      </c>
      <c r="M176" s="2607">
        <f t="shared" si="95"/>
        <v>0</v>
      </c>
      <c r="N176" s="525"/>
      <c r="O176" s="2605">
        <f t="shared" si="96"/>
        <v>152</v>
      </c>
      <c r="P176" s="2607">
        <f t="shared" si="110"/>
        <v>0</v>
      </c>
      <c r="Q176" s="2606">
        <f t="shared" si="105"/>
        <v>0</v>
      </c>
      <c r="R176" s="2608">
        <f t="shared" si="112"/>
        <v>0</v>
      </c>
      <c r="S176" s="2607">
        <f t="shared" si="97"/>
        <v>0</v>
      </c>
      <c r="T176" s="525"/>
      <c r="U176" s="2605">
        <f t="shared" si="98"/>
        <v>152</v>
      </c>
      <c r="V176" s="2607">
        <f t="shared" si="88"/>
        <v>0</v>
      </c>
      <c r="W176" s="2606">
        <f t="shared" si="106"/>
        <v>0</v>
      </c>
      <c r="X176" s="2608">
        <f t="shared" si="91"/>
        <v>0</v>
      </c>
      <c r="Y176" s="2607">
        <f t="shared" si="99"/>
        <v>0</v>
      </c>
      <c r="Z176" s="525"/>
      <c r="AA176" s="2605">
        <f t="shared" si="100"/>
        <v>152</v>
      </c>
      <c r="AB176" s="2607">
        <f t="shared" si="89"/>
        <v>0</v>
      </c>
      <c r="AC176" s="2606">
        <f t="shared" si="107"/>
        <v>0</v>
      </c>
      <c r="AD176" s="2608">
        <f t="shared" si="92"/>
        <v>0</v>
      </c>
      <c r="AE176" s="2607">
        <f t="shared" si="101"/>
        <v>0</v>
      </c>
      <c r="AF176" s="525"/>
      <c r="AG176" s="2605">
        <f t="shared" si="102"/>
        <v>152</v>
      </c>
      <c r="AH176" s="2607">
        <f t="shared" si="90"/>
        <v>0</v>
      </c>
      <c r="AI176" s="2606">
        <f t="shared" si="108"/>
        <v>0</v>
      </c>
      <c r="AJ176" s="2608">
        <f t="shared" si="93"/>
        <v>0</v>
      </c>
      <c r="AK176" s="2607">
        <f t="shared" si="103"/>
        <v>0</v>
      </c>
    </row>
    <row r="177" spans="2:37" ht="20.100000000000001" customHeight="1" x14ac:dyDescent="0.3">
      <c r="B177" s="985"/>
      <c r="C177" s="986"/>
      <c r="D177" s="986"/>
      <c r="E177" s="986"/>
      <c r="F177" s="986"/>
      <c r="G177" s="986"/>
      <c r="H177" s="525"/>
      <c r="I177" s="2605">
        <f t="shared" si="94"/>
        <v>153</v>
      </c>
      <c r="J177" s="2607">
        <f t="shared" si="109"/>
        <v>0</v>
      </c>
      <c r="K177" s="2606">
        <f t="shared" si="104"/>
        <v>0</v>
      </c>
      <c r="L177" s="2608">
        <f t="shared" si="111"/>
        <v>0</v>
      </c>
      <c r="M177" s="2607">
        <f t="shared" si="95"/>
        <v>0</v>
      </c>
      <c r="N177" s="525"/>
      <c r="O177" s="2605">
        <f t="shared" si="96"/>
        <v>153</v>
      </c>
      <c r="P177" s="2607">
        <f t="shared" si="110"/>
        <v>0</v>
      </c>
      <c r="Q177" s="2606">
        <f t="shared" si="105"/>
        <v>0</v>
      </c>
      <c r="R177" s="2608">
        <f t="shared" si="112"/>
        <v>0</v>
      </c>
      <c r="S177" s="2607">
        <f t="shared" si="97"/>
        <v>0</v>
      </c>
      <c r="T177" s="525"/>
      <c r="U177" s="2605">
        <f t="shared" si="98"/>
        <v>153</v>
      </c>
      <c r="V177" s="2607">
        <f t="shared" si="88"/>
        <v>0</v>
      </c>
      <c r="W177" s="2606">
        <f t="shared" si="106"/>
        <v>0</v>
      </c>
      <c r="X177" s="2608">
        <f t="shared" si="91"/>
        <v>0</v>
      </c>
      <c r="Y177" s="2607">
        <f t="shared" si="99"/>
        <v>0</v>
      </c>
      <c r="Z177" s="525"/>
      <c r="AA177" s="2605">
        <f t="shared" si="100"/>
        <v>153</v>
      </c>
      <c r="AB177" s="2607">
        <f t="shared" si="89"/>
        <v>0</v>
      </c>
      <c r="AC177" s="2606">
        <f t="shared" si="107"/>
        <v>0</v>
      </c>
      <c r="AD177" s="2608">
        <f t="shared" si="92"/>
        <v>0</v>
      </c>
      <c r="AE177" s="2607">
        <f t="shared" si="101"/>
        <v>0</v>
      </c>
      <c r="AF177" s="525"/>
      <c r="AG177" s="2605">
        <f t="shared" si="102"/>
        <v>153</v>
      </c>
      <c r="AH177" s="2607">
        <f t="shared" si="90"/>
        <v>0</v>
      </c>
      <c r="AI177" s="2606">
        <f t="shared" si="108"/>
        <v>0</v>
      </c>
      <c r="AJ177" s="2608">
        <f t="shared" si="93"/>
        <v>0</v>
      </c>
      <c r="AK177" s="2607">
        <f t="shared" si="103"/>
        <v>0</v>
      </c>
    </row>
    <row r="178" spans="2:37" ht="20.100000000000001" customHeight="1" x14ac:dyDescent="0.3">
      <c r="B178" s="985"/>
      <c r="C178" s="986"/>
      <c r="D178" s="986"/>
      <c r="E178" s="986"/>
      <c r="F178" s="986"/>
      <c r="G178" s="986"/>
      <c r="H178" s="525"/>
      <c r="I178" s="2605">
        <f t="shared" si="94"/>
        <v>154</v>
      </c>
      <c r="J178" s="2607">
        <f t="shared" si="109"/>
        <v>0</v>
      </c>
      <c r="K178" s="2606">
        <f t="shared" si="104"/>
        <v>0</v>
      </c>
      <c r="L178" s="2608">
        <f t="shared" si="111"/>
        <v>0</v>
      </c>
      <c r="M178" s="2607">
        <f t="shared" si="95"/>
        <v>0</v>
      </c>
      <c r="N178" s="525"/>
      <c r="O178" s="2605">
        <f t="shared" si="96"/>
        <v>154</v>
      </c>
      <c r="P178" s="2607">
        <f t="shared" si="110"/>
        <v>0</v>
      </c>
      <c r="Q178" s="2606">
        <f t="shared" si="105"/>
        <v>0</v>
      </c>
      <c r="R178" s="2608">
        <f t="shared" si="112"/>
        <v>0</v>
      </c>
      <c r="S178" s="2607">
        <f t="shared" si="97"/>
        <v>0</v>
      </c>
      <c r="T178" s="525"/>
      <c r="U178" s="2605">
        <f t="shared" si="98"/>
        <v>154</v>
      </c>
      <c r="V178" s="2607">
        <f t="shared" si="88"/>
        <v>0</v>
      </c>
      <c r="W178" s="2606">
        <f t="shared" si="106"/>
        <v>0</v>
      </c>
      <c r="X178" s="2608">
        <f t="shared" si="91"/>
        <v>0</v>
      </c>
      <c r="Y178" s="2607">
        <f t="shared" si="99"/>
        <v>0</v>
      </c>
      <c r="Z178" s="525"/>
      <c r="AA178" s="2605">
        <f t="shared" si="100"/>
        <v>154</v>
      </c>
      <c r="AB178" s="2607">
        <f t="shared" si="89"/>
        <v>0</v>
      </c>
      <c r="AC178" s="2606">
        <f t="shared" si="107"/>
        <v>0</v>
      </c>
      <c r="AD178" s="2608">
        <f t="shared" si="92"/>
        <v>0</v>
      </c>
      <c r="AE178" s="2607">
        <f t="shared" si="101"/>
        <v>0</v>
      </c>
      <c r="AF178" s="525"/>
      <c r="AG178" s="2605">
        <f t="shared" si="102"/>
        <v>154</v>
      </c>
      <c r="AH178" s="2607">
        <f t="shared" si="90"/>
        <v>0</v>
      </c>
      <c r="AI178" s="2606">
        <f t="shared" si="108"/>
        <v>0</v>
      </c>
      <c r="AJ178" s="2608">
        <f t="shared" si="93"/>
        <v>0</v>
      </c>
      <c r="AK178" s="2607">
        <f t="shared" si="103"/>
        <v>0</v>
      </c>
    </row>
    <row r="179" spans="2:37" ht="20.100000000000001" customHeight="1" x14ac:dyDescent="0.3">
      <c r="B179" s="985"/>
      <c r="C179" s="986"/>
      <c r="D179" s="986"/>
      <c r="E179" s="986"/>
      <c r="F179" s="986"/>
      <c r="G179" s="986"/>
      <c r="H179" s="525"/>
      <c r="I179" s="2605">
        <f t="shared" si="94"/>
        <v>155</v>
      </c>
      <c r="J179" s="2607">
        <f t="shared" si="109"/>
        <v>0</v>
      </c>
      <c r="K179" s="2606">
        <f t="shared" si="104"/>
        <v>0</v>
      </c>
      <c r="L179" s="2608">
        <f t="shared" si="111"/>
        <v>0</v>
      </c>
      <c r="M179" s="2607">
        <f t="shared" si="95"/>
        <v>0</v>
      </c>
      <c r="N179" s="525"/>
      <c r="O179" s="2605">
        <f t="shared" si="96"/>
        <v>155</v>
      </c>
      <c r="P179" s="2607">
        <f t="shared" si="110"/>
        <v>0</v>
      </c>
      <c r="Q179" s="2606">
        <f t="shared" si="105"/>
        <v>0</v>
      </c>
      <c r="R179" s="2608">
        <f t="shared" si="112"/>
        <v>0</v>
      </c>
      <c r="S179" s="2607">
        <f t="shared" si="97"/>
        <v>0</v>
      </c>
      <c r="T179" s="525"/>
      <c r="U179" s="2605">
        <f t="shared" si="98"/>
        <v>155</v>
      </c>
      <c r="V179" s="2607">
        <f t="shared" si="88"/>
        <v>0</v>
      </c>
      <c r="W179" s="2606">
        <f t="shared" si="106"/>
        <v>0</v>
      </c>
      <c r="X179" s="2608">
        <f t="shared" si="91"/>
        <v>0</v>
      </c>
      <c r="Y179" s="2607">
        <f t="shared" si="99"/>
        <v>0</v>
      </c>
      <c r="Z179" s="525"/>
      <c r="AA179" s="2605">
        <f t="shared" si="100"/>
        <v>155</v>
      </c>
      <c r="AB179" s="2607">
        <f t="shared" si="89"/>
        <v>0</v>
      </c>
      <c r="AC179" s="2606">
        <f t="shared" si="107"/>
        <v>0</v>
      </c>
      <c r="AD179" s="2608">
        <f t="shared" si="92"/>
        <v>0</v>
      </c>
      <c r="AE179" s="2607">
        <f t="shared" si="101"/>
        <v>0</v>
      </c>
      <c r="AF179" s="525"/>
      <c r="AG179" s="2605">
        <f t="shared" si="102"/>
        <v>155</v>
      </c>
      <c r="AH179" s="2607">
        <f t="shared" si="90"/>
        <v>0</v>
      </c>
      <c r="AI179" s="2606">
        <f t="shared" si="108"/>
        <v>0</v>
      </c>
      <c r="AJ179" s="2608">
        <f t="shared" si="93"/>
        <v>0</v>
      </c>
      <c r="AK179" s="2607">
        <f t="shared" si="103"/>
        <v>0</v>
      </c>
    </row>
    <row r="180" spans="2:37" ht="20.100000000000001" customHeight="1" x14ac:dyDescent="0.3">
      <c r="B180" s="985"/>
      <c r="C180" s="986"/>
      <c r="D180" s="986"/>
      <c r="E180" s="986"/>
      <c r="F180" s="986"/>
      <c r="G180" s="986"/>
      <c r="H180" s="525"/>
      <c r="I180" s="2605">
        <f t="shared" si="94"/>
        <v>156</v>
      </c>
      <c r="J180" s="2607">
        <f t="shared" si="109"/>
        <v>0</v>
      </c>
      <c r="K180" s="2606">
        <f t="shared" si="104"/>
        <v>0</v>
      </c>
      <c r="L180" s="2608">
        <f t="shared" si="111"/>
        <v>0</v>
      </c>
      <c r="M180" s="2607">
        <f t="shared" si="95"/>
        <v>0</v>
      </c>
      <c r="N180" s="525"/>
      <c r="O180" s="2605">
        <f t="shared" si="96"/>
        <v>156</v>
      </c>
      <c r="P180" s="2607">
        <f t="shared" si="110"/>
        <v>0</v>
      </c>
      <c r="Q180" s="2606">
        <f t="shared" si="105"/>
        <v>0</v>
      </c>
      <c r="R180" s="2608">
        <f t="shared" si="112"/>
        <v>0</v>
      </c>
      <c r="S180" s="2607">
        <f t="shared" si="97"/>
        <v>0</v>
      </c>
      <c r="T180" s="525"/>
      <c r="U180" s="2605">
        <f t="shared" si="98"/>
        <v>156</v>
      </c>
      <c r="V180" s="2607">
        <f t="shared" si="88"/>
        <v>0</v>
      </c>
      <c r="W180" s="2606">
        <f t="shared" si="106"/>
        <v>0</v>
      </c>
      <c r="X180" s="2608">
        <f t="shared" si="91"/>
        <v>0</v>
      </c>
      <c r="Y180" s="2607">
        <f t="shared" si="99"/>
        <v>0</v>
      </c>
      <c r="Z180" s="525"/>
      <c r="AA180" s="2605">
        <f t="shared" si="100"/>
        <v>156</v>
      </c>
      <c r="AB180" s="2607">
        <f t="shared" si="89"/>
        <v>0</v>
      </c>
      <c r="AC180" s="2606">
        <f t="shared" si="107"/>
        <v>0</v>
      </c>
      <c r="AD180" s="2608">
        <f t="shared" si="92"/>
        <v>0</v>
      </c>
      <c r="AE180" s="2607">
        <f t="shared" si="101"/>
        <v>0</v>
      </c>
      <c r="AF180" s="525"/>
      <c r="AG180" s="2605">
        <f t="shared" si="102"/>
        <v>156</v>
      </c>
      <c r="AH180" s="2607">
        <f t="shared" si="90"/>
        <v>0</v>
      </c>
      <c r="AI180" s="2606">
        <f t="shared" si="108"/>
        <v>0</v>
      </c>
      <c r="AJ180" s="2608">
        <f t="shared" si="93"/>
        <v>0</v>
      </c>
      <c r="AK180" s="2607">
        <f t="shared" si="103"/>
        <v>0</v>
      </c>
    </row>
    <row r="181" spans="2:37" ht="20.100000000000001" customHeight="1" x14ac:dyDescent="0.3">
      <c r="B181" s="985"/>
      <c r="C181" s="986"/>
      <c r="D181" s="986"/>
      <c r="E181" s="986"/>
      <c r="F181" s="986"/>
      <c r="G181" s="986"/>
      <c r="H181" s="525"/>
      <c r="I181" s="2605">
        <f t="shared" si="94"/>
        <v>157</v>
      </c>
      <c r="J181" s="2607">
        <f t="shared" si="109"/>
        <v>0</v>
      </c>
      <c r="K181" s="2606">
        <f t="shared" si="104"/>
        <v>0</v>
      </c>
      <c r="L181" s="2608">
        <f t="shared" si="111"/>
        <v>0</v>
      </c>
      <c r="M181" s="2607">
        <f t="shared" si="95"/>
        <v>0</v>
      </c>
      <c r="N181" s="525"/>
      <c r="O181" s="2605">
        <f t="shared" si="96"/>
        <v>157</v>
      </c>
      <c r="P181" s="2607">
        <f t="shared" si="110"/>
        <v>0</v>
      </c>
      <c r="Q181" s="2606">
        <f t="shared" si="105"/>
        <v>0</v>
      </c>
      <c r="R181" s="2608">
        <f t="shared" si="112"/>
        <v>0</v>
      </c>
      <c r="S181" s="2607">
        <f t="shared" si="97"/>
        <v>0</v>
      </c>
      <c r="T181" s="525"/>
      <c r="U181" s="2605">
        <f t="shared" si="98"/>
        <v>157</v>
      </c>
      <c r="V181" s="2607">
        <f t="shared" si="88"/>
        <v>0</v>
      </c>
      <c r="W181" s="2606">
        <f t="shared" si="106"/>
        <v>0</v>
      </c>
      <c r="X181" s="2608">
        <f t="shared" si="91"/>
        <v>0</v>
      </c>
      <c r="Y181" s="2607">
        <f t="shared" si="99"/>
        <v>0</v>
      </c>
      <c r="Z181" s="525"/>
      <c r="AA181" s="2605">
        <f t="shared" si="100"/>
        <v>157</v>
      </c>
      <c r="AB181" s="2607">
        <f t="shared" si="89"/>
        <v>0</v>
      </c>
      <c r="AC181" s="2606">
        <f t="shared" si="107"/>
        <v>0</v>
      </c>
      <c r="AD181" s="2608">
        <f t="shared" si="92"/>
        <v>0</v>
      </c>
      <c r="AE181" s="2607">
        <f t="shared" si="101"/>
        <v>0</v>
      </c>
      <c r="AF181" s="525"/>
      <c r="AG181" s="2605">
        <f t="shared" si="102"/>
        <v>157</v>
      </c>
      <c r="AH181" s="2607">
        <f t="shared" si="90"/>
        <v>0</v>
      </c>
      <c r="AI181" s="2606">
        <f t="shared" si="108"/>
        <v>0</v>
      </c>
      <c r="AJ181" s="2608">
        <f t="shared" si="93"/>
        <v>0</v>
      </c>
      <c r="AK181" s="2607">
        <f t="shared" si="103"/>
        <v>0</v>
      </c>
    </row>
    <row r="182" spans="2:37" ht="20.100000000000001" customHeight="1" x14ac:dyDescent="0.3">
      <c r="B182" s="985"/>
      <c r="C182" s="986"/>
      <c r="D182" s="986"/>
      <c r="E182" s="986"/>
      <c r="F182" s="986"/>
      <c r="G182" s="986"/>
      <c r="H182" s="525"/>
      <c r="I182" s="2605">
        <f t="shared" si="94"/>
        <v>158</v>
      </c>
      <c r="J182" s="2607">
        <f t="shared" si="109"/>
        <v>0</v>
      </c>
      <c r="K182" s="2606">
        <f t="shared" si="104"/>
        <v>0</v>
      </c>
      <c r="L182" s="2608">
        <f t="shared" si="111"/>
        <v>0</v>
      </c>
      <c r="M182" s="2607">
        <f t="shared" si="95"/>
        <v>0</v>
      </c>
      <c r="N182" s="525"/>
      <c r="O182" s="2605">
        <f t="shared" si="96"/>
        <v>158</v>
      </c>
      <c r="P182" s="2607">
        <f t="shared" si="110"/>
        <v>0</v>
      </c>
      <c r="Q182" s="2606">
        <f t="shared" si="105"/>
        <v>0</v>
      </c>
      <c r="R182" s="2608">
        <f t="shared" si="112"/>
        <v>0</v>
      </c>
      <c r="S182" s="2607">
        <f t="shared" si="97"/>
        <v>0</v>
      </c>
      <c r="T182" s="525"/>
      <c r="U182" s="2605">
        <f t="shared" si="98"/>
        <v>158</v>
      </c>
      <c r="V182" s="2607">
        <f t="shared" si="88"/>
        <v>0</v>
      </c>
      <c r="W182" s="2606">
        <f t="shared" si="106"/>
        <v>0</v>
      </c>
      <c r="X182" s="2608">
        <f t="shared" si="91"/>
        <v>0</v>
      </c>
      <c r="Y182" s="2607">
        <f t="shared" si="99"/>
        <v>0</v>
      </c>
      <c r="Z182" s="525"/>
      <c r="AA182" s="2605">
        <f t="shared" si="100"/>
        <v>158</v>
      </c>
      <c r="AB182" s="2607">
        <f t="shared" si="89"/>
        <v>0</v>
      </c>
      <c r="AC182" s="2606">
        <f t="shared" si="107"/>
        <v>0</v>
      </c>
      <c r="AD182" s="2608">
        <f t="shared" si="92"/>
        <v>0</v>
      </c>
      <c r="AE182" s="2607">
        <f t="shared" si="101"/>
        <v>0</v>
      </c>
      <c r="AF182" s="525"/>
      <c r="AG182" s="2605">
        <f t="shared" si="102"/>
        <v>158</v>
      </c>
      <c r="AH182" s="2607">
        <f t="shared" si="90"/>
        <v>0</v>
      </c>
      <c r="AI182" s="2606">
        <f t="shared" si="108"/>
        <v>0</v>
      </c>
      <c r="AJ182" s="2608">
        <f t="shared" si="93"/>
        <v>0</v>
      </c>
      <c r="AK182" s="2607">
        <f t="shared" si="103"/>
        <v>0</v>
      </c>
    </row>
    <row r="183" spans="2:37" ht="20.100000000000001" customHeight="1" x14ac:dyDescent="0.3">
      <c r="B183" s="985"/>
      <c r="C183" s="986"/>
      <c r="D183" s="986"/>
      <c r="E183" s="986"/>
      <c r="F183" s="986"/>
      <c r="G183" s="986"/>
      <c r="H183" s="525"/>
      <c r="I183" s="2605">
        <f t="shared" si="94"/>
        <v>159</v>
      </c>
      <c r="J183" s="2607">
        <f t="shared" si="109"/>
        <v>0</v>
      </c>
      <c r="K183" s="2606">
        <f t="shared" si="104"/>
        <v>0</v>
      </c>
      <c r="L183" s="2608">
        <f t="shared" si="111"/>
        <v>0</v>
      </c>
      <c r="M183" s="2607">
        <f t="shared" si="95"/>
        <v>0</v>
      </c>
      <c r="N183" s="525"/>
      <c r="O183" s="2605">
        <f t="shared" si="96"/>
        <v>159</v>
      </c>
      <c r="P183" s="2607">
        <f t="shared" si="110"/>
        <v>0</v>
      </c>
      <c r="Q183" s="2606">
        <f t="shared" si="105"/>
        <v>0</v>
      </c>
      <c r="R183" s="2608">
        <f t="shared" si="112"/>
        <v>0</v>
      </c>
      <c r="S183" s="2607">
        <f t="shared" si="97"/>
        <v>0</v>
      </c>
      <c r="T183" s="525"/>
      <c r="U183" s="2605">
        <f t="shared" si="98"/>
        <v>159</v>
      </c>
      <c r="V183" s="2607">
        <f t="shared" si="88"/>
        <v>0</v>
      </c>
      <c r="W183" s="2606">
        <f t="shared" si="106"/>
        <v>0</v>
      </c>
      <c r="X183" s="2608">
        <f t="shared" si="91"/>
        <v>0</v>
      </c>
      <c r="Y183" s="2607">
        <f t="shared" si="99"/>
        <v>0</v>
      </c>
      <c r="Z183" s="525"/>
      <c r="AA183" s="2605">
        <f t="shared" si="100"/>
        <v>159</v>
      </c>
      <c r="AB183" s="2607">
        <f t="shared" si="89"/>
        <v>0</v>
      </c>
      <c r="AC183" s="2606">
        <f t="shared" si="107"/>
        <v>0</v>
      </c>
      <c r="AD183" s="2608">
        <f t="shared" si="92"/>
        <v>0</v>
      </c>
      <c r="AE183" s="2607">
        <f t="shared" si="101"/>
        <v>0</v>
      </c>
      <c r="AF183" s="525"/>
      <c r="AG183" s="2605">
        <f t="shared" si="102"/>
        <v>159</v>
      </c>
      <c r="AH183" s="2607">
        <f t="shared" si="90"/>
        <v>0</v>
      </c>
      <c r="AI183" s="2606">
        <f t="shared" si="108"/>
        <v>0</v>
      </c>
      <c r="AJ183" s="2608">
        <f t="shared" si="93"/>
        <v>0</v>
      </c>
      <c r="AK183" s="2607">
        <f t="shared" si="103"/>
        <v>0</v>
      </c>
    </row>
    <row r="184" spans="2:37" ht="20.100000000000001" customHeight="1" x14ac:dyDescent="0.3">
      <c r="B184" s="985"/>
      <c r="C184" s="986"/>
      <c r="D184" s="986"/>
      <c r="E184" s="986"/>
      <c r="F184" s="986"/>
      <c r="G184" s="986"/>
      <c r="H184" s="525"/>
      <c r="I184" s="2605">
        <f t="shared" si="94"/>
        <v>160</v>
      </c>
      <c r="J184" s="2607">
        <f t="shared" si="109"/>
        <v>0</v>
      </c>
      <c r="K184" s="2606">
        <f t="shared" si="104"/>
        <v>0</v>
      </c>
      <c r="L184" s="2608">
        <f t="shared" si="111"/>
        <v>0</v>
      </c>
      <c r="M184" s="2607">
        <f t="shared" si="95"/>
        <v>0</v>
      </c>
      <c r="N184" s="525"/>
      <c r="O184" s="2605">
        <f t="shared" si="96"/>
        <v>160</v>
      </c>
      <c r="P184" s="2607">
        <f t="shared" si="110"/>
        <v>0</v>
      </c>
      <c r="Q184" s="2606">
        <f t="shared" si="105"/>
        <v>0</v>
      </c>
      <c r="R184" s="2608">
        <f t="shared" si="112"/>
        <v>0</v>
      </c>
      <c r="S184" s="2607">
        <f t="shared" si="97"/>
        <v>0</v>
      </c>
      <c r="T184" s="525"/>
      <c r="U184" s="2605">
        <f t="shared" si="98"/>
        <v>160</v>
      </c>
      <c r="V184" s="2607">
        <f t="shared" si="88"/>
        <v>0</v>
      </c>
      <c r="W184" s="2606">
        <f t="shared" si="106"/>
        <v>0</v>
      </c>
      <c r="X184" s="2608">
        <f t="shared" si="91"/>
        <v>0</v>
      </c>
      <c r="Y184" s="2607">
        <f t="shared" si="99"/>
        <v>0</v>
      </c>
      <c r="Z184" s="525"/>
      <c r="AA184" s="2605">
        <f t="shared" si="100"/>
        <v>160</v>
      </c>
      <c r="AB184" s="2607">
        <f t="shared" si="89"/>
        <v>0</v>
      </c>
      <c r="AC184" s="2606">
        <f t="shared" si="107"/>
        <v>0</v>
      </c>
      <c r="AD184" s="2608">
        <f t="shared" si="92"/>
        <v>0</v>
      </c>
      <c r="AE184" s="2607">
        <f t="shared" si="101"/>
        <v>0</v>
      </c>
      <c r="AF184" s="525"/>
      <c r="AG184" s="2605">
        <f t="shared" si="102"/>
        <v>160</v>
      </c>
      <c r="AH184" s="2607">
        <f t="shared" si="90"/>
        <v>0</v>
      </c>
      <c r="AI184" s="2606">
        <f t="shared" si="108"/>
        <v>0</v>
      </c>
      <c r="AJ184" s="2608">
        <f t="shared" si="93"/>
        <v>0</v>
      </c>
      <c r="AK184" s="2607">
        <f t="shared" si="103"/>
        <v>0</v>
      </c>
    </row>
    <row r="185" spans="2:37" ht="20.100000000000001" customHeight="1" x14ac:dyDescent="0.3">
      <c r="B185" s="985"/>
      <c r="C185" s="986"/>
      <c r="D185" s="986"/>
      <c r="E185" s="986"/>
      <c r="F185" s="986"/>
      <c r="G185" s="986"/>
      <c r="H185" s="525"/>
      <c r="I185" s="2605">
        <f t="shared" si="94"/>
        <v>161</v>
      </c>
      <c r="J185" s="2607">
        <f t="shared" si="109"/>
        <v>0</v>
      </c>
      <c r="K185" s="2606">
        <f t="shared" si="104"/>
        <v>0</v>
      </c>
      <c r="L185" s="2608">
        <f t="shared" si="111"/>
        <v>0</v>
      </c>
      <c r="M185" s="2607">
        <f t="shared" si="95"/>
        <v>0</v>
      </c>
      <c r="N185" s="525"/>
      <c r="O185" s="2605">
        <f t="shared" si="96"/>
        <v>161</v>
      </c>
      <c r="P185" s="2607">
        <f t="shared" si="110"/>
        <v>0</v>
      </c>
      <c r="Q185" s="2606">
        <f t="shared" si="105"/>
        <v>0</v>
      </c>
      <c r="R185" s="2608">
        <f t="shared" si="112"/>
        <v>0</v>
      </c>
      <c r="S185" s="2607">
        <f t="shared" si="97"/>
        <v>0</v>
      </c>
      <c r="T185" s="525"/>
      <c r="U185" s="2605">
        <f t="shared" si="98"/>
        <v>161</v>
      </c>
      <c r="V185" s="2607">
        <f t="shared" ref="V185:V204" si="113">ROUND(IF(U185&gt;annuité_emprunt3,0,IF(U185&gt;différé_emprunt3,-PMT((taux_emprunt3/périodicité_emprunt3),(annuité_emprunt3-différé_emprunt3),emprunt3),emprunt3*taux_emprunt3/périodicité_emprunt3)),2)</f>
        <v>0</v>
      </c>
      <c r="W185" s="2606">
        <f t="shared" si="106"/>
        <v>0</v>
      </c>
      <c r="X185" s="2608">
        <f t="shared" si="91"/>
        <v>0</v>
      </c>
      <c r="Y185" s="2607">
        <f t="shared" si="99"/>
        <v>0</v>
      </c>
      <c r="Z185" s="525"/>
      <c r="AA185" s="2605">
        <f t="shared" si="100"/>
        <v>161</v>
      </c>
      <c r="AB185" s="2607">
        <f t="shared" ref="AB185:AB204" si="114">ROUND(IF(AA185&gt;annuité_emprunt4,0,IF(AA185&gt;différé_emprunt4,-PMT((taux_emprunt4/périodicité_emprunt4),(annuité_emprunt4-différé_emprunt4),emprunt4),emprunt4*taux_emprunt4/périodicité_emprunt4)),2)</f>
        <v>0</v>
      </c>
      <c r="AC185" s="2606">
        <f t="shared" si="107"/>
        <v>0</v>
      </c>
      <c r="AD185" s="2608">
        <f t="shared" si="92"/>
        <v>0</v>
      </c>
      <c r="AE185" s="2607">
        <f t="shared" si="101"/>
        <v>0</v>
      </c>
      <c r="AF185" s="525"/>
      <c r="AG185" s="2605">
        <f t="shared" si="102"/>
        <v>161</v>
      </c>
      <c r="AH185" s="2607">
        <f t="shared" ref="AH185:AH204" si="115">ROUND(IF(AG185&gt;annuité_emprunt5,0,IF(AG185&gt;différé_emprunt5,-PMT((taux_emprunt5/périodicité_emprunt5),(annuité_emprunt5-différé_emprunt5),emprunt5),emprunt5*taux_emprunt5/périodicité_emprunt5)),2)</f>
        <v>0</v>
      </c>
      <c r="AI185" s="2606">
        <f t="shared" si="108"/>
        <v>0</v>
      </c>
      <c r="AJ185" s="2608">
        <f t="shared" si="93"/>
        <v>0</v>
      </c>
      <c r="AK185" s="2607">
        <f t="shared" si="103"/>
        <v>0</v>
      </c>
    </row>
    <row r="186" spans="2:37" ht="20.100000000000001" customHeight="1" x14ac:dyDescent="0.3">
      <c r="B186" s="985"/>
      <c r="C186" s="986"/>
      <c r="D186" s="986"/>
      <c r="E186" s="986"/>
      <c r="F186" s="986"/>
      <c r="G186" s="986"/>
      <c r="H186" s="525"/>
      <c r="I186" s="2605">
        <f t="shared" si="94"/>
        <v>162</v>
      </c>
      <c r="J186" s="2607">
        <f t="shared" si="109"/>
        <v>0</v>
      </c>
      <c r="K186" s="2606">
        <f t="shared" si="104"/>
        <v>0</v>
      </c>
      <c r="L186" s="2608">
        <f t="shared" si="111"/>
        <v>0</v>
      </c>
      <c r="M186" s="2607">
        <f t="shared" si="95"/>
        <v>0</v>
      </c>
      <c r="N186" s="525"/>
      <c r="O186" s="2605">
        <f t="shared" si="96"/>
        <v>162</v>
      </c>
      <c r="P186" s="2607">
        <f t="shared" si="110"/>
        <v>0</v>
      </c>
      <c r="Q186" s="2606">
        <f t="shared" si="105"/>
        <v>0</v>
      </c>
      <c r="R186" s="2608">
        <f t="shared" si="112"/>
        <v>0</v>
      </c>
      <c r="S186" s="2607">
        <f t="shared" si="97"/>
        <v>0</v>
      </c>
      <c r="T186" s="525"/>
      <c r="U186" s="2605">
        <f t="shared" si="98"/>
        <v>162</v>
      </c>
      <c r="V186" s="2607">
        <f t="shared" si="113"/>
        <v>0</v>
      </c>
      <c r="W186" s="2606">
        <f t="shared" si="106"/>
        <v>0</v>
      </c>
      <c r="X186" s="2608">
        <f t="shared" ref="X186:X204" si="116">ROUND(IF(V186=0,0,IF(U186=annuité_emprunt3,Y185,IF(U186&gt;différé_emprunt3,-PPMT((taux_emprunt3/périodicité_emprunt3),U186-différé_emprunt3,(annuité_emprunt3-différé_emprunt3),emprunt3),0))),2)</f>
        <v>0</v>
      </c>
      <c r="Y186" s="2607">
        <f t="shared" si="99"/>
        <v>0</v>
      </c>
      <c r="Z186" s="525"/>
      <c r="AA186" s="2605">
        <f t="shared" si="100"/>
        <v>162</v>
      </c>
      <c r="AB186" s="2607">
        <f t="shared" si="114"/>
        <v>0</v>
      </c>
      <c r="AC186" s="2606">
        <f t="shared" si="107"/>
        <v>0</v>
      </c>
      <c r="AD186" s="2608">
        <f t="shared" ref="AD186:AD204" si="117">ROUND(IF(AB186=0,0,IF(AA186=annuité_emprunt4,AE185,IF(AA186&gt;différé_emprunt4,-PPMT((taux_emprunt4/périodicité_emprunt4),AA186-différé_emprunt4,(annuité_emprunt4-différé_emprunt4),emprunt4),0))),2)</f>
        <v>0</v>
      </c>
      <c r="AE186" s="2607">
        <f t="shared" si="101"/>
        <v>0</v>
      </c>
      <c r="AF186" s="525"/>
      <c r="AG186" s="2605">
        <f t="shared" si="102"/>
        <v>162</v>
      </c>
      <c r="AH186" s="2607">
        <f t="shared" si="115"/>
        <v>0</v>
      </c>
      <c r="AI186" s="2606">
        <f t="shared" si="108"/>
        <v>0</v>
      </c>
      <c r="AJ186" s="2608">
        <f t="shared" ref="AJ186:AJ204" si="118">ROUND(IF(AH186=0,0,IF(AG186=annuité_emprunt5,AK185,IF(AG186&gt;différé_emprunt5,-PPMT((taux_emprunt5/périodicité_emprunt5),AG186-différé_emprunt5,(annuité_emprunt5-différé_emprunt5),emprunt5),0))),2)</f>
        <v>0</v>
      </c>
      <c r="AK186" s="2607">
        <f t="shared" si="103"/>
        <v>0</v>
      </c>
    </row>
    <row r="187" spans="2:37" ht="20.100000000000001" customHeight="1" x14ac:dyDescent="0.3">
      <c r="B187" s="985"/>
      <c r="C187" s="986"/>
      <c r="D187" s="986"/>
      <c r="E187" s="986"/>
      <c r="F187" s="986"/>
      <c r="G187" s="986"/>
      <c r="H187" s="525"/>
      <c r="I187" s="2605">
        <f t="shared" si="94"/>
        <v>163</v>
      </c>
      <c r="J187" s="2607">
        <f t="shared" si="109"/>
        <v>0</v>
      </c>
      <c r="K187" s="2606">
        <f t="shared" si="104"/>
        <v>0</v>
      </c>
      <c r="L187" s="2608">
        <f t="shared" si="111"/>
        <v>0</v>
      </c>
      <c r="M187" s="2607">
        <f t="shared" si="95"/>
        <v>0</v>
      </c>
      <c r="N187" s="525"/>
      <c r="O187" s="2605">
        <f t="shared" si="96"/>
        <v>163</v>
      </c>
      <c r="P187" s="2607">
        <f t="shared" si="110"/>
        <v>0</v>
      </c>
      <c r="Q187" s="2606">
        <f t="shared" si="105"/>
        <v>0</v>
      </c>
      <c r="R187" s="2608">
        <f t="shared" si="112"/>
        <v>0</v>
      </c>
      <c r="S187" s="2607">
        <f t="shared" si="97"/>
        <v>0</v>
      </c>
      <c r="T187" s="525"/>
      <c r="U187" s="2605">
        <f t="shared" si="98"/>
        <v>163</v>
      </c>
      <c r="V187" s="2607">
        <f t="shared" si="113"/>
        <v>0</v>
      </c>
      <c r="W187" s="2606">
        <f t="shared" si="106"/>
        <v>0</v>
      </c>
      <c r="X187" s="2608">
        <f t="shared" si="116"/>
        <v>0</v>
      </c>
      <c r="Y187" s="2607">
        <f t="shared" si="99"/>
        <v>0</v>
      </c>
      <c r="Z187" s="525"/>
      <c r="AA187" s="2605">
        <f t="shared" si="100"/>
        <v>163</v>
      </c>
      <c r="AB187" s="2607">
        <f t="shared" si="114"/>
        <v>0</v>
      </c>
      <c r="AC187" s="2606">
        <f t="shared" si="107"/>
        <v>0</v>
      </c>
      <c r="AD187" s="2608">
        <f t="shared" si="117"/>
        <v>0</v>
      </c>
      <c r="AE187" s="2607">
        <f t="shared" si="101"/>
        <v>0</v>
      </c>
      <c r="AF187" s="525"/>
      <c r="AG187" s="2605">
        <f t="shared" si="102"/>
        <v>163</v>
      </c>
      <c r="AH187" s="2607">
        <f t="shared" si="115"/>
        <v>0</v>
      </c>
      <c r="AI187" s="2606">
        <f t="shared" si="108"/>
        <v>0</v>
      </c>
      <c r="AJ187" s="2608">
        <f t="shared" si="118"/>
        <v>0</v>
      </c>
      <c r="AK187" s="2607">
        <f t="shared" si="103"/>
        <v>0</v>
      </c>
    </row>
    <row r="188" spans="2:37" ht="20.100000000000001" customHeight="1" x14ac:dyDescent="0.3">
      <c r="B188" s="985"/>
      <c r="C188" s="986"/>
      <c r="D188" s="986"/>
      <c r="E188" s="986"/>
      <c r="F188" s="986"/>
      <c r="G188" s="986"/>
      <c r="H188" s="525"/>
      <c r="I188" s="2605">
        <f t="shared" si="94"/>
        <v>164</v>
      </c>
      <c r="J188" s="2607">
        <f t="shared" si="109"/>
        <v>0</v>
      </c>
      <c r="K188" s="2606">
        <f t="shared" si="104"/>
        <v>0</v>
      </c>
      <c r="L188" s="2608">
        <f t="shared" si="111"/>
        <v>0</v>
      </c>
      <c r="M188" s="2607">
        <f t="shared" si="95"/>
        <v>0</v>
      </c>
      <c r="N188" s="525"/>
      <c r="O188" s="2605">
        <f t="shared" si="96"/>
        <v>164</v>
      </c>
      <c r="P188" s="2607">
        <f t="shared" si="110"/>
        <v>0</v>
      </c>
      <c r="Q188" s="2606">
        <f t="shared" si="105"/>
        <v>0</v>
      </c>
      <c r="R188" s="2608">
        <f t="shared" si="112"/>
        <v>0</v>
      </c>
      <c r="S188" s="2607">
        <f t="shared" si="97"/>
        <v>0</v>
      </c>
      <c r="T188" s="525"/>
      <c r="U188" s="2605">
        <f t="shared" si="98"/>
        <v>164</v>
      </c>
      <c r="V188" s="2607">
        <f t="shared" si="113"/>
        <v>0</v>
      </c>
      <c r="W188" s="2606">
        <f t="shared" si="106"/>
        <v>0</v>
      </c>
      <c r="X188" s="2608">
        <f t="shared" si="116"/>
        <v>0</v>
      </c>
      <c r="Y188" s="2607">
        <f t="shared" si="99"/>
        <v>0</v>
      </c>
      <c r="Z188" s="525"/>
      <c r="AA188" s="2605">
        <f t="shared" si="100"/>
        <v>164</v>
      </c>
      <c r="AB188" s="2607">
        <f t="shared" si="114"/>
        <v>0</v>
      </c>
      <c r="AC188" s="2606">
        <f t="shared" si="107"/>
        <v>0</v>
      </c>
      <c r="AD188" s="2608">
        <f t="shared" si="117"/>
        <v>0</v>
      </c>
      <c r="AE188" s="2607">
        <f t="shared" si="101"/>
        <v>0</v>
      </c>
      <c r="AF188" s="525"/>
      <c r="AG188" s="2605">
        <f t="shared" si="102"/>
        <v>164</v>
      </c>
      <c r="AH188" s="2607">
        <f t="shared" si="115"/>
        <v>0</v>
      </c>
      <c r="AI188" s="2606">
        <f t="shared" si="108"/>
        <v>0</v>
      </c>
      <c r="AJ188" s="2608">
        <f t="shared" si="118"/>
        <v>0</v>
      </c>
      <c r="AK188" s="2607">
        <f t="shared" si="103"/>
        <v>0</v>
      </c>
    </row>
    <row r="189" spans="2:37" ht="20.100000000000001" customHeight="1" x14ac:dyDescent="0.3">
      <c r="B189" s="985"/>
      <c r="C189" s="986"/>
      <c r="D189" s="986"/>
      <c r="E189" s="986"/>
      <c r="F189" s="986"/>
      <c r="G189" s="986"/>
      <c r="H189" s="525"/>
      <c r="I189" s="2605">
        <f t="shared" si="94"/>
        <v>165</v>
      </c>
      <c r="J189" s="2607">
        <f t="shared" si="109"/>
        <v>0</v>
      </c>
      <c r="K189" s="2606">
        <f t="shared" si="104"/>
        <v>0</v>
      </c>
      <c r="L189" s="2608">
        <f t="shared" si="111"/>
        <v>0</v>
      </c>
      <c r="M189" s="2607">
        <f t="shared" si="95"/>
        <v>0</v>
      </c>
      <c r="N189" s="525"/>
      <c r="O189" s="2605">
        <f t="shared" si="96"/>
        <v>165</v>
      </c>
      <c r="P189" s="2607">
        <f t="shared" si="110"/>
        <v>0</v>
      </c>
      <c r="Q189" s="2606">
        <f t="shared" si="105"/>
        <v>0</v>
      </c>
      <c r="R189" s="2608">
        <f t="shared" si="112"/>
        <v>0</v>
      </c>
      <c r="S189" s="2607">
        <f t="shared" si="97"/>
        <v>0</v>
      </c>
      <c r="T189" s="525"/>
      <c r="U189" s="2605">
        <f t="shared" si="98"/>
        <v>165</v>
      </c>
      <c r="V189" s="2607">
        <f t="shared" si="113"/>
        <v>0</v>
      </c>
      <c r="W189" s="2606">
        <f t="shared" si="106"/>
        <v>0</v>
      </c>
      <c r="X189" s="2608">
        <f t="shared" si="116"/>
        <v>0</v>
      </c>
      <c r="Y189" s="2607">
        <f t="shared" si="99"/>
        <v>0</v>
      </c>
      <c r="Z189" s="525"/>
      <c r="AA189" s="2605">
        <f t="shared" si="100"/>
        <v>165</v>
      </c>
      <c r="AB189" s="2607">
        <f t="shared" si="114"/>
        <v>0</v>
      </c>
      <c r="AC189" s="2606">
        <f t="shared" si="107"/>
        <v>0</v>
      </c>
      <c r="AD189" s="2608">
        <f t="shared" si="117"/>
        <v>0</v>
      </c>
      <c r="AE189" s="2607">
        <f t="shared" si="101"/>
        <v>0</v>
      </c>
      <c r="AF189" s="525"/>
      <c r="AG189" s="2605">
        <f t="shared" si="102"/>
        <v>165</v>
      </c>
      <c r="AH189" s="2607">
        <f t="shared" si="115"/>
        <v>0</v>
      </c>
      <c r="AI189" s="2606">
        <f t="shared" si="108"/>
        <v>0</v>
      </c>
      <c r="AJ189" s="2608">
        <f t="shared" si="118"/>
        <v>0</v>
      </c>
      <c r="AK189" s="2607">
        <f t="shared" si="103"/>
        <v>0</v>
      </c>
    </row>
    <row r="190" spans="2:37" ht="20.100000000000001" customHeight="1" x14ac:dyDescent="0.3">
      <c r="B190" s="985"/>
      <c r="C190" s="986"/>
      <c r="D190" s="986"/>
      <c r="E190" s="986"/>
      <c r="F190" s="986"/>
      <c r="G190" s="986"/>
      <c r="H190" s="525"/>
      <c r="I190" s="2605">
        <f t="shared" si="94"/>
        <v>166</v>
      </c>
      <c r="J190" s="2607">
        <f t="shared" si="109"/>
        <v>0</v>
      </c>
      <c r="K190" s="2606">
        <f t="shared" si="104"/>
        <v>0</v>
      </c>
      <c r="L190" s="2608">
        <f t="shared" si="111"/>
        <v>0</v>
      </c>
      <c r="M190" s="2607">
        <f t="shared" si="95"/>
        <v>0</v>
      </c>
      <c r="N190" s="525"/>
      <c r="O190" s="2605">
        <f t="shared" si="96"/>
        <v>166</v>
      </c>
      <c r="P190" s="2607">
        <f t="shared" si="110"/>
        <v>0</v>
      </c>
      <c r="Q190" s="2606">
        <f t="shared" si="105"/>
        <v>0</v>
      </c>
      <c r="R190" s="2608">
        <f t="shared" si="112"/>
        <v>0</v>
      </c>
      <c r="S190" s="2607">
        <f t="shared" si="97"/>
        <v>0</v>
      </c>
      <c r="T190" s="525"/>
      <c r="U190" s="2605">
        <f t="shared" si="98"/>
        <v>166</v>
      </c>
      <c r="V190" s="2607">
        <f t="shared" si="113"/>
        <v>0</v>
      </c>
      <c r="W190" s="2606">
        <f t="shared" si="106"/>
        <v>0</v>
      </c>
      <c r="X190" s="2608">
        <f t="shared" si="116"/>
        <v>0</v>
      </c>
      <c r="Y190" s="2607">
        <f t="shared" si="99"/>
        <v>0</v>
      </c>
      <c r="Z190" s="525"/>
      <c r="AA190" s="2605">
        <f t="shared" si="100"/>
        <v>166</v>
      </c>
      <c r="AB190" s="2607">
        <f t="shared" si="114"/>
        <v>0</v>
      </c>
      <c r="AC190" s="2606">
        <f t="shared" si="107"/>
        <v>0</v>
      </c>
      <c r="AD190" s="2608">
        <f t="shared" si="117"/>
        <v>0</v>
      </c>
      <c r="AE190" s="2607">
        <f t="shared" si="101"/>
        <v>0</v>
      </c>
      <c r="AF190" s="525"/>
      <c r="AG190" s="2605">
        <f t="shared" si="102"/>
        <v>166</v>
      </c>
      <c r="AH190" s="2607">
        <f t="shared" si="115"/>
        <v>0</v>
      </c>
      <c r="AI190" s="2606">
        <f t="shared" si="108"/>
        <v>0</v>
      </c>
      <c r="AJ190" s="2608">
        <f t="shared" si="118"/>
        <v>0</v>
      </c>
      <c r="AK190" s="2607">
        <f t="shared" si="103"/>
        <v>0</v>
      </c>
    </row>
    <row r="191" spans="2:37" ht="20.100000000000001" customHeight="1" x14ac:dyDescent="0.3">
      <c r="B191" s="985"/>
      <c r="C191" s="986"/>
      <c r="D191" s="986"/>
      <c r="E191" s="986"/>
      <c r="F191" s="986"/>
      <c r="G191" s="986"/>
      <c r="H191" s="525"/>
      <c r="I191" s="2605">
        <f t="shared" si="94"/>
        <v>167</v>
      </c>
      <c r="J191" s="2607">
        <f t="shared" si="109"/>
        <v>0</v>
      </c>
      <c r="K191" s="2606">
        <f t="shared" si="104"/>
        <v>0</v>
      </c>
      <c r="L191" s="2608">
        <f t="shared" si="111"/>
        <v>0</v>
      </c>
      <c r="M191" s="2607">
        <f t="shared" si="95"/>
        <v>0</v>
      </c>
      <c r="N191" s="525"/>
      <c r="O191" s="2605">
        <f t="shared" si="96"/>
        <v>167</v>
      </c>
      <c r="P191" s="2607">
        <f t="shared" si="110"/>
        <v>0</v>
      </c>
      <c r="Q191" s="2606">
        <f t="shared" si="105"/>
        <v>0</v>
      </c>
      <c r="R191" s="2608">
        <f t="shared" si="112"/>
        <v>0</v>
      </c>
      <c r="S191" s="2607">
        <f t="shared" si="97"/>
        <v>0</v>
      </c>
      <c r="T191" s="525"/>
      <c r="U191" s="2605">
        <f t="shared" si="98"/>
        <v>167</v>
      </c>
      <c r="V191" s="2607">
        <f t="shared" si="113"/>
        <v>0</v>
      </c>
      <c r="W191" s="2606">
        <f t="shared" si="106"/>
        <v>0</v>
      </c>
      <c r="X191" s="2608">
        <f t="shared" si="116"/>
        <v>0</v>
      </c>
      <c r="Y191" s="2607">
        <f t="shared" si="99"/>
        <v>0</v>
      </c>
      <c r="Z191" s="525"/>
      <c r="AA191" s="2605">
        <f t="shared" si="100"/>
        <v>167</v>
      </c>
      <c r="AB191" s="2607">
        <f t="shared" si="114"/>
        <v>0</v>
      </c>
      <c r="AC191" s="2606">
        <f t="shared" si="107"/>
        <v>0</v>
      </c>
      <c r="AD191" s="2608">
        <f t="shared" si="117"/>
        <v>0</v>
      </c>
      <c r="AE191" s="2607">
        <f t="shared" si="101"/>
        <v>0</v>
      </c>
      <c r="AF191" s="525"/>
      <c r="AG191" s="2605">
        <f t="shared" si="102"/>
        <v>167</v>
      </c>
      <c r="AH191" s="2607">
        <f t="shared" si="115"/>
        <v>0</v>
      </c>
      <c r="AI191" s="2606">
        <f t="shared" si="108"/>
        <v>0</v>
      </c>
      <c r="AJ191" s="2608">
        <f t="shared" si="118"/>
        <v>0</v>
      </c>
      <c r="AK191" s="2607">
        <f t="shared" si="103"/>
        <v>0</v>
      </c>
    </row>
    <row r="192" spans="2:37" ht="20.100000000000001" customHeight="1" x14ac:dyDescent="0.3">
      <c r="B192" s="985"/>
      <c r="C192" s="986"/>
      <c r="D192" s="986"/>
      <c r="E192" s="986"/>
      <c r="F192" s="986"/>
      <c r="G192" s="986"/>
      <c r="H192" s="525"/>
      <c r="I192" s="2605">
        <f t="shared" si="94"/>
        <v>168</v>
      </c>
      <c r="J192" s="2607">
        <f t="shared" si="109"/>
        <v>0</v>
      </c>
      <c r="K192" s="2606">
        <f t="shared" si="104"/>
        <v>0</v>
      </c>
      <c r="L192" s="2608">
        <f t="shared" si="111"/>
        <v>0</v>
      </c>
      <c r="M192" s="2607">
        <f t="shared" si="95"/>
        <v>0</v>
      </c>
      <c r="N192" s="525"/>
      <c r="O192" s="2605">
        <f t="shared" si="96"/>
        <v>168</v>
      </c>
      <c r="P192" s="2607">
        <f t="shared" si="110"/>
        <v>0</v>
      </c>
      <c r="Q192" s="2606">
        <f t="shared" si="105"/>
        <v>0</v>
      </c>
      <c r="R192" s="2608">
        <f t="shared" si="112"/>
        <v>0</v>
      </c>
      <c r="S192" s="2607">
        <f t="shared" si="97"/>
        <v>0</v>
      </c>
      <c r="T192" s="525"/>
      <c r="U192" s="2605">
        <f t="shared" si="98"/>
        <v>168</v>
      </c>
      <c r="V192" s="2607">
        <f t="shared" si="113"/>
        <v>0</v>
      </c>
      <c r="W192" s="2606">
        <f t="shared" si="106"/>
        <v>0</v>
      </c>
      <c r="X192" s="2608">
        <f t="shared" si="116"/>
        <v>0</v>
      </c>
      <c r="Y192" s="2607">
        <f t="shared" si="99"/>
        <v>0</v>
      </c>
      <c r="Z192" s="525"/>
      <c r="AA192" s="2605">
        <f t="shared" si="100"/>
        <v>168</v>
      </c>
      <c r="AB192" s="2607">
        <f t="shared" si="114"/>
        <v>0</v>
      </c>
      <c r="AC192" s="2606">
        <f t="shared" si="107"/>
        <v>0</v>
      </c>
      <c r="AD192" s="2608">
        <f t="shared" si="117"/>
        <v>0</v>
      </c>
      <c r="AE192" s="2607">
        <f t="shared" si="101"/>
        <v>0</v>
      </c>
      <c r="AF192" s="525"/>
      <c r="AG192" s="2605">
        <f t="shared" si="102"/>
        <v>168</v>
      </c>
      <c r="AH192" s="2607">
        <f t="shared" si="115"/>
        <v>0</v>
      </c>
      <c r="AI192" s="2606">
        <f t="shared" si="108"/>
        <v>0</v>
      </c>
      <c r="AJ192" s="2608">
        <f t="shared" si="118"/>
        <v>0</v>
      </c>
      <c r="AK192" s="2607">
        <f t="shared" si="103"/>
        <v>0</v>
      </c>
    </row>
    <row r="193" spans="1:245" ht="20.100000000000001" customHeight="1" x14ac:dyDescent="0.3">
      <c r="B193" s="985"/>
      <c r="C193" s="986"/>
      <c r="D193" s="986"/>
      <c r="E193" s="986"/>
      <c r="F193" s="986"/>
      <c r="G193" s="986"/>
      <c r="H193" s="525"/>
      <c r="I193" s="2605">
        <f t="shared" si="94"/>
        <v>169</v>
      </c>
      <c r="J193" s="2607">
        <f t="shared" si="109"/>
        <v>0</v>
      </c>
      <c r="K193" s="2606">
        <f t="shared" si="104"/>
        <v>0</v>
      </c>
      <c r="L193" s="2608">
        <f t="shared" si="111"/>
        <v>0</v>
      </c>
      <c r="M193" s="2607">
        <f t="shared" si="95"/>
        <v>0</v>
      </c>
      <c r="N193" s="525"/>
      <c r="O193" s="2605">
        <f t="shared" si="96"/>
        <v>169</v>
      </c>
      <c r="P193" s="2607">
        <f t="shared" si="110"/>
        <v>0</v>
      </c>
      <c r="Q193" s="2606">
        <f t="shared" si="105"/>
        <v>0</v>
      </c>
      <c r="R193" s="2608">
        <f t="shared" si="112"/>
        <v>0</v>
      </c>
      <c r="S193" s="2607">
        <f t="shared" si="97"/>
        <v>0</v>
      </c>
      <c r="T193" s="525"/>
      <c r="U193" s="2605">
        <f t="shared" si="98"/>
        <v>169</v>
      </c>
      <c r="V193" s="2607">
        <f t="shared" si="113"/>
        <v>0</v>
      </c>
      <c r="W193" s="2606">
        <f t="shared" si="106"/>
        <v>0</v>
      </c>
      <c r="X193" s="2608">
        <f t="shared" si="116"/>
        <v>0</v>
      </c>
      <c r="Y193" s="2607">
        <f t="shared" si="99"/>
        <v>0</v>
      </c>
      <c r="Z193" s="525"/>
      <c r="AA193" s="2605">
        <f t="shared" si="100"/>
        <v>169</v>
      </c>
      <c r="AB193" s="2607">
        <f t="shared" si="114"/>
        <v>0</v>
      </c>
      <c r="AC193" s="2606">
        <f t="shared" si="107"/>
        <v>0</v>
      </c>
      <c r="AD193" s="2608">
        <f t="shared" si="117"/>
        <v>0</v>
      </c>
      <c r="AE193" s="2607">
        <f t="shared" si="101"/>
        <v>0</v>
      </c>
      <c r="AF193" s="525"/>
      <c r="AG193" s="2605">
        <f t="shared" si="102"/>
        <v>169</v>
      </c>
      <c r="AH193" s="2607">
        <f t="shared" si="115"/>
        <v>0</v>
      </c>
      <c r="AI193" s="2606">
        <f t="shared" si="108"/>
        <v>0</v>
      </c>
      <c r="AJ193" s="2608">
        <f t="shared" si="118"/>
        <v>0</v>
      </c>
      <c r="AK193" s="2607">
        <f t="shared" si="103"/>
        <v>0</v>
      </c>
    </row>
    <row r="194" spans="1:245" ht="20.100000000000001" customHeight="1" x14ac:dyDescent="0.3">
      <c r="B194" s="985"/>
      <c r="C194" s="986"/>
      <c r="D194" s="986"/>
      <c r="E194" s="986"/>
      <c r="F194" s="986"/>
      <c r="G194" s="986"/>
      <c r="H194" s="525"/>
      <c r="I194" s="2605">
        <f t="shared" si="94"/>
        <v>170</v>
      </c>
      <c r="J194" s="2607">
        <f t="shared" si="109"/>
        <v>0</v>
      </c>
      <c r="K194" s="2606">
        <f t="shared" si="104"/>
        <v>0</v>
      </c>
      <c r="L194" s="2608">
        <f t="shared" si="111"/>
        <v>0</v>
      </c>
      <c r="M194" s="2607">
        <f t="shared" si="95"/>
        <v>0</v>
      </c>
      <c r="N194" s="525"/>
      <c r="O194" s="2605">
        <f t="shared" si="96"/>
        <v>170</v>
      </c>
      <c r="P194" s="2607">
        <f t="shared" si="110"/>
        <v>0</v>
      </c>
      <c r="Q194" s="2606">
        <f t="shared" si="105"/>
        <v>0</v>
      </c>
      <c r="R194" s="2608">
        <f t="shared" si="112"/>
        <v>0</v>
      </c>
      <c r="S194" s="2607">
        <f t="shared" si="97"/>
        <v>0</v>
      </c>
      <c r="T194" s="525"/>
      <c r="U194" s="2605">
        <f t="shared" si="98"/>
        <v>170</v>
      </c>
      <c r="V194" s="2607">
        <f t="shared" si="113"/>
        <v>0</v>
      </c>
      <c r="W194" s="2606">
        <f t="shared" si="106"/>
        <v>0</v>
      </c>
      <c r="X194" s="2608">
        <f t="shared" si="116"/>
        <v>0</v>
      </c>
      <c r="Y194" s="2607">
        <f t="shared" si="99"/>
        <v>0</v>
      </c>
      <c r="Z194" s="525"/>
      <c r="AA194" s="2605">
        <f t="shared" si="100"/>
        <v>170</v>
      </c>
      <c r="AB194" s="2607">
        <f t="shared" si="114"/>
        <v>0</v>
      </c>
      <c r="AC194" s="2606">
        <f t="shared" si="107"/>
        <v>0</v>
      </c>
      <c r="AD194" s="2608">
        <f t="shared" si="117"/>
        <v>0</v>
      </c>
      <c r="AE194" s="2607">
        <f t="shared" si="101"/>
        <v>0</v>
      </c>
      <c r="AF194" s="525"/>
      <c r="AG194" s="2605">
        <f t="shared" si="102"/>
        <v>170</v>
      </c>
      <c r="AH194" s="2607">
        <f t="shared" si="115"/>
        <v>0</v>
      </c>
      <c r="AI194" s="2606">
        <f t="shared" si="108"/>
        <v>0</v>
      </c>
      <c r="AJ194" s="2608">
        <f t="shared" si="118"/>
        <v>0</v>
      </c>
      <c r="AK194" s="2607">
        <f t="shared" si="103"/>
        <v>0</v>
      </c>
    </row>
    <row r="195" spans="1:245" ht="20.100000000000001" customHeight="1" x14ac:dyDescent="0.3">
      <c r="B195" s="985"/>
      <c r="C195" s="986"/>
      <c r="D195" s="986"/>
      <c r="E195" s="986"/>
      <c r="F195" s="986"/>
      <c r="G195" s="986"/>
      <c r="H195" s="525"/>
      <c r="I195" s="2605">
        <f t="shared" si="94"/>
        <v>171</v>
      </c>
      <c r="J195" s="2607">
        <f t="shared" si="109"/>
        <v>0</v>
      </c>
      <c r="K195" s="2606">
        <f t="shared" si="104"/>
        <v>0</v>
      </c>
      <c r="L195" s="2608">
        <f t="shared" si="111"/>
        <v>0</v>
      </c>
      <c r="M195" s="2607">
        <f t="shared" si="95"/>
        <v>0</v>
      </c>
      <c r="N195" s="525"/>
      <c r="O195" s="2605">
        <f t="shared" si="96"/>
        <v>171</v>
      </c>
      <c r="P195" s="2607">
        <f t="shared" si="110"/>
        <v>0</v>
      </c>
      <c r="Q195" s="2606">
        <f t="shared" si="105"/>
        <v>0</v>
      </c>
      <c r="R195" s="2608">
        <f t="shared" si="112"/>
        <v>0</v>
      </c>
      <c r="S195" s="2607">
        <f t="shared" si="97"/>
        <v>0</v>
      </c>
      <c r="T195" s="525"/>
      <c r="U195" s="2605">
        <f t="shared" si="98"/>
        <v>171</v>
      </c>
      <c r="V195" s="2607">
        <f t="shared" si="113"/>
        <v>0</v>
      </c>
      <c r="W195" s="2606">
        <f t="shared" si="106"/>
        <v>0</v>
      </c>
      <c r="X195" s="2608">
        <f t="shared" si="116"/>
        <v>0</v>
      </c>
      <c r="Y195" s="2607">
        <f t="shared" si="99"/>
        <v>0</v>
      </c>
      <c r="Z195" s="525"/>
      <c r="AA195" s="2605">
        <f t="shared" si="100"/>
        <v>171</v>
      </c>
      <c r="AB195" s="2607">
        <f t="shared" si="114"/>
        <v>0</v>
      </c>
      <c r="AC195" s="2606">
        <f t="shared" si="107"/>
        <v>0</v>
      </c>
      <c r="AD195" s="2608">
        <f t="shared" si="117"/>
        <v>0</v>
      </c>
      <c r="AE195" s="2607">
        <f t="shared" si="101"/>
        <v>0</v>
      </c>
      <c r="AF195" s="525"/>
      <c r="AG195" s="2605">
        <f t="shared" si="102"/>
        <v>171</v>
      </c>
      <c r="AH195" s="2607">
        <f t="shared" si="115"/>
        <v>0</v>
      </c>
      <c r="AI195" s="2606">
        <f t="shared" si="108"/>
        <v>0</v>
      </c>
      <c r="AJ195" s="2608">
        <f t="shared" si="118"/>
        <v>0</v>
      </c>
      <c r="AK195" s="2607">
        <f t="shared" si="103"/>
        <v>0</v>
      </c>
    </row>
    <row r="196" spans="1:245" ht="20.100000000000001" customHeight="1" x14ac:dyDescent="0.3">
      <c r="B196" s="985"/>
      <c r="C196" s="986"/>
      <c r="D196" s="986"/>
      <c r="E196" s="986"/>
      <c r="F196" s="986"/>
      <c r="G196" s="986"/>
      <c r="H196" s="525"/>
      <c r="I196" s="2605">
        <f t="shared" si="94"/>
        <v>172</v>
      </c>
      <c r="J196" s="2607">
        <f t="shared" si="109"/>
        <v>0</v>
      </c>
      <c r="K196" s="2606">
        <f t="shared" si="104"/>
        <v>0</v>
      </c>
      <c r="L196" s="2608">
        <f t="shared" si="111"/>
        <v>0</v>
      </c>
      <c r="M196" s="2607">
        <f t="shared" si="95"/>
        <v>0</v>
      </c>
      <c r="N196" s="525"/>
      <c r="O196" s="2605">
        <f t="shared" si="96"/>
        <v>172</v>
      </c>
      <c r="P196" s="2607">
        <f t="shared" si="110"/>
        <v>0</v>
      </c>
      <c r="Q196" s="2606">
        <f t="shared" si="105"/>
        <v>0</v>
      </c>
      <c r="R196" s="2608">
        <f t="shared" si="112"/>
        <v>0</v>
      </c>
      <c r="S196" s="2607">
        <f t="shared" si="97"/>
        <v>0</v>
      </c>
      <c r="T196" s="525"/>
      <c r="U196" s="2605">
        <f t="shared" si="98"/>
        <v>172</v>
      </c>
      <c r="V196" s="2607">
        <f t="shared" si="113"/>
        <v>0</v>
      </c>
      <c r="W196" s="2606">
        <f t="shared" si="106"/>
        <v>0</v>
      </c>
      <c r="X196" s="2608">
        <f t="shared" si="116"/>
        <v>0</v>
      </c>
      <c r="Y196" s="2607">
        <f t="shared" si="99"/>
        <v>0</v>
      </c>
      <c r="Z196" s="525"/>
      <c r="AA196" s="2605">
        <f t="shared" si="100"/>
        <v>172</v>
      </c>
      <c r="AB196" s="2607">
        <f t="shared" si="114"/>
        <v>0</v>
      </c>
      <c r="AC196" s="2606">
        <f t="shared" si="107"/>
        <v>0</v>
      </c>
      <c r="AD196" s="2608">
        <f t="shared" si="117"/>
        <v>0</v>
      </c>
      <c r="AE196" s="2607">
        <f t="shared" si="101"/>
        <v>0</v>
      </c>
      <c r="AF196" s="525"/>
      <c r="AG196" s="2605">
        <f t="shared" si="102"/>
        <v>172</v>
      </c>
      <c r="AH196" s="2607">
        <f t="shared" si="115"/>
        <v>0</v>
      </c>
      <c r="AI196" s="2606">
        <f t="shared" si="108"/>
        <v>0</v>
      </c>
      <c r="AJ196" s="2608">
        <f t="shared" si="118"/>
        <v>0</v>
      </c>
      <c r="AK196" s="2607">
        <f t="shared" si="103"/>
        <v>0</v>
      </c>
    </row>
    <row r="197" spans="1:245" ht="20.100000000000001" customHeight="1" x14ac:dyDescent="0.3">
      <c r="B197" s="985"/>
      <c r="C197" s="986"/>
      <c r="D197" s="986"/>
      <c r="E197" s="986"/>
      <c r="F197" s="986"/>
      <c r="G197" s="986"/>
      <c r="H197" s="525"/>
      <c r="I197" s="2605">
        <f t="shared" si="94"/>
        <v>173</v>
      </c>
      <c r="J197" s="2607">
        <f t="shared" si="109"/>
        <v>0</v>
      </c>
      <c r="K197" s="2606">
        <f t="shared" si="104"/>
        <v>0</v>
      </c>
      <c r="L197" s="2608">
        <f t="shared" si="111"/>
        <v>0</v>
      </c>
      <c r="M197" s="2607">
        <f t="shared" si="95"/>
        <v>0</v>
      </c>
      <c r="N197" s="525"/>
      <c r="O197" s="2605">
        <f t="shared" si="96"/>
        <v>173</v>
      </c>
      <c r="P197" s="2607">
        <f t="shared" si="110"/>
        <v>0</v>
      </c>
      <c r="Q197" s="2606">
        <f t="shared" si="105"/>
        <v>0</v>
      </c>
      <c r="R197" s="2608">
        <f t="shared" si="112"/>
        <v>0</v>
      </c>
      <c r="S197" s="2607">
        <f t="shared" si="97"/>
        <v>0</v>
      </c>
      <c r="T197" s="525"/>
      <c r="U197" s="2605">
        <f t="shared" si="98"/>
        <v>173</v>
      </c>
      <c r="V197" s="2607">
        <f t="shared" si="113"/>
        <v>0</v>
      </c>
      <c r="W197" s="2606">
        <f t="shared" si="106"/>
        <v>0</v>
      </c>
      <c r="X197" s="2608">
        <f t="shared" si="116"/>
        <v>0</v>
      </c>
      <c r="Y197" s="2607">
        <f t="shared" si="99"/>
        <v>0</v>
      </c>
      <c r="Z197" s="525"/>
      <c r="AA197" s="2605">
        <f t="shared" si="100"/>
        <v>173</v>
      </c>
      <c r="AB197" s="2607">
        <f t="shared" si="114"/>
        <v>0</v>
      </c>
      <c r="AC197" s="2606">
        <f t="shared" si="107"/>
        <v>0</v>
      </c>
      <c r="AD197" s="2608">
        <f t="shared" si="117"/>
        <v>0</v>
      </c>
      <c r="AE197" s="2607">
        <f t="shared" si="101"/>
        <v>0</v>
      </c>
      <c r="AF197" s="525"/>
      <c r="AG197" s="2605">
        <f t="shared" si="102"/>
        <v>173</v>
      </c>
      <c r="AH197" s="2607">
        <f t="shared" si="115"/>
        <v>0</v>
      </c>
      <c r="AI197" s="2606">
        <f t="shared" si="108"/>
        <v>0</v>
      </c>
      <c r="AJ197" s="2608">
        <f t="shared" si="118"/>
        <v>0</v>
      </c>
      <c r="AK197" s="2607">
        <f t="shared" si="103"/>
        <v>0</v>
      </c>
    </row>
    <row r="198" spans="1:245" ht="20.100000000000001" customHeight="1" x14ac:dyDescent="0.3">
      <c r="B198" s="985"/>
      <c r="C198" s="986"/>
      <c r="D198" s="986"/>
      <c r="E198" s="986"/>
      <c r="F198" s="986"/>
      <c r="G198" s="986"/>
      <c r="H198" s="525"/>
      <c r="I198" s="2605">
        <f t="shared" si="94"/>
        <v>174</v>
      </c>
      <c r="J198" s="2607">
        <f t="shared" si="109"/>
        <v>0</v>
      </c>
      <c r="K198" s="2606">
        <f t="shared" si="104"/>
        <v>0</v>
      </c>
      <c r="L198" s="2608">
        <f t="shared" si="111"/>
        <v>0</v>
      </c>
      <c r="M198" s="2607">
        <f t="shared" si="95"/>
        <v>0</v>
      </c>
      <c r="N198" s="525"/>
      <c r="O198" s="2605">
        <f t="shared" si="96"/>
        <v>174</v>
      </c>
      <c r="P198" s="2607">
        <f t="shared" si="110"/>
        <v>0</v>
      </c>
      <c r="Q198" s="2606">
        <f t="shared" si="105"/>
        <v>0</v>
      </c>
      <c r="R198" s="2608">
        <f t="shared" si="112"/>
        <v>0</v>
      </c>
      <c r="S198" s="2607">
        <f t="shared" si="97"/>
        <v>0</v>
      </c>
      <c r="T198" s="525"/>
      <c r="U198" s="2605">
        <f t="shared" si="98"/>
        <v>174</v>
      </c>
      <c r="V198" s="2607">
        <f t="shared" si="113"/>
        <v>0</v>
      </c>
      <c r="W198" s="2606">
        <f t="shared" si="106"/>
        <v>0</v>
      </c>
      <c r="X198" s="2608">
        <f t="shared" si="116"/>
        <v>0</v>
      </c>
      <c r="Y198" s="2607">
        <f t="shared" si="99"/>
        <v>0</v>
      </c>
      <c r="Z198" s="525"/>
      <c r="AA198" s="2605">
        <f t="shared" si="100"/>
        <v>174</v>
      </c>
      <c r="AB198" s="2607">
        <f t="shared" si="114"/>
        <v>0</v>
      </c>
      <c r="AC198" s="2606">
        <f t="shared" si="107"/>
        <v>0</v>
      </c>
      <c r="AD198" s="2608">
        <f t="shared" si="117"/>
        <v>0</v>
      </c>
      <c r="AE198" s="2607">
        <f t="shared" si="101"/>
        <v>0</v>
      </c>
      <c r="AF198" s="525"/>
      <c r="AG198" s="2605">
        <f t="shared" si="102"/>
        <v>174</v>
      </c>
      <c r="AH198" s="2607">
        <f t="shared" si="115"/>
        <v>0</v>
      </c>
      <c r="AI198" s="2606">
        <f t="shared" si="108"/>
        <v>0</v>
      </c>
      <c r="AJ198" s="2608">
        <f t="shared" si="118"/>
        <v>0</v>
      </c>
      <c r="AK198" s="2607">
        <f t="shared" si="103"/>
        <v>0</v>
      </c>
    </row>
    <row r="199" spans="1:245" ht="20.100000000000001" customHeight="1" x14ac:dyDescent="0.3">
      <c r="B199" s="985"/>
      <c r="C199" s="986"/>
      <c r="D199" s="986"/>
      <c r="E199" s="986"/>
      <c r="F199" s="986"/>
      <c r="G199" s="986"/>
      <c r="H199" s="525"/>
      <c r="I199" s="2605">
        <f t="shared" si="94"/>
        <v>175</v>
      </c>
      <c r="J199" s="2607">
        <f t="shared" si="109"/>
        <v>0</v>
      </c>
      <c r="K199" s="2606">
        <f t="shared" si="104"/>
        <v>0</v>
      </c>
      <c r="L199" s="2608">
        <f t="shared" si="111"/>
        <v>0</v>
      </c>
      <c r="M199" s="2607">
        <f t="shared" si="95"/>
        <v>0</v>
      </c>
      <c r="N199" s="525"/>
      <c r="O199" s="2605">
        <f t="shared" si="96"/>
        <v>175</v>
      </c>
      <c r="P199" s="2607">
        <f t="shared" si="110"/>
        <v>0</v>
      </c>
      <c r="Q199" s="2606">
        <f t="shared" si="105"/>
        <v>0</v>
      </c>
      <c r="R199" s="2608">
        <f t="shared" si="112"/>
        <v>0</v>
      </c>
      <c r="S199" s="2607">
        <f t="shared" si="97"/>
        <v>0</v>
      </c>
      <c r="T199" s="525"/>
      <c r="U199" s="2605">
        <f t="shared" si="98"/>
        <v>175</v>
      </c>
      <c r="V199" s="2607">
        <f t="shared" si="113"/>
        <v>0</v>
      </c>
      <c r="W199" s="2606">
        <f t="shared" si="106"/>
        <v>0</v>
      </c>
      <c r="X199" s="2608">
        <f t="shared" si="116"/>
        <v>0</v>
      </c>
      <c r="Y199" s="2607">
        <f t="shared" si="99"/>
        <v>0</v>
      </c>
      <c r="Z199" s="525"/>
      <c r="AA199" s="2605">
        <f t="shared" si="100"/>
        <v>175</v>
      </c>
      <c r="AB199" s="2607">
        <f t="shared" si="114"/>
        <v>0</v>
      </c>
      <c r="AC199" s="2606">
        <f t="shared" si="107"/>
        <v>0</v>
      </c>
      <c r="AD199" s="2608">
        <f t="shared" si="117"/>
        <v>0</v>
      </c>
      <c r="AE199" s="2607">
        <f t="shared" si="101"/>
        <v>0</v>
      </c>
      <c r="AF199" s="525"/>
      <c r="AG199" s="2605">
        <f t="shared" si="102"/>
        <v>175</v>
      </c>
      <c r="AH199" s="2607">
        <f t="shared" si="115"/>
        <v>0</v>
      </c>
      <c r="AI199" s="2606">
        <f t="shared" si="108"/>
        <v>0</v>
      </c>
      <c r="AJ199" s="2608">
        <f t="shared" si="118"/>
        <v>0</v>
      </c>
      <c r="AK199" s="2607">
        <f t="shared" si="103"/>
        <v>0</v>
      </c>
    </row>
    <row r="200" spans="1:245" ht="20.100000000000001" customHeight="1" x14ac:dyDescent="0.3">
      <c r="B200" s="985"/>
      <c r="C200" s="986"/>
      <c r="D200" s="986"/>
      <c r="E200" s="986"/>
      <c r="F200" s="986"/>
      <c r="G200" s="986"/>
      <c r="H200" s="525"/>
      <c r="I200" s="2605">
        <f t="shared" si="94"/>
        <v>176</v>
      </c>
      <c r="J200" s="2607">
        <f t="shared" si="109"/>
        <v>0</v>
      </c>
      <c r="K200" s="2606">
        <f t="shared" si="104"/>
        <v>0</v>
      </c>
      <c r="L200" s="2608">
        <f t="shared" si="111"/>
        <v>0</v>
      </c>
      <c r="M200" s="2607">
        <f t="shared" si="95"/>
        <v>0</v>
      </c>
      <c r="N200" s="525"/>
      <c r="O200" s="2605">
        <f t="shared" si="96"/>
        <v>176</v>
      </c>
      <c r="P200" s="2607">
        <f t="shared" si="110"/>
        <v>0</v>
      </c>
      <c r="Q200" s="2606">
        <f t="shared" si="105"/>
        <v>0</v>
      </c>
      <c r="R200" s="2608">
        <f t="shared" si="112"/>
        <v>0</v>
      </c>
      <c r="S200" s="2607">
        <f t="shared" si="97"/>
        <v>0</v>
      </c>
      <c r="T200" s="525"/>
      <c r="U200" s="2605">
        <f t="shared" si="98"/>
        <v>176</v>
      </c>
      <c r="V200" s="2607">
        <f t="shared" si="113"/>
        <v>0</v>
      </c>
      <c r="W200" s="2606">
        <f t="shared" si="106"/>
        <v>0</v>
      </c>
      <c r="X200" s="2608">
        <f t="shared" si="116"/>
        <v>0</v>
      </c>
      <c r="Y200" s="2607">
        <f t="shared" si="99"/>
        <v>0</v>
      </c>
      <c r="Z200" s="525"/>
      <c r="AA200" s="2605">
        <f t="shared" si="100"/>
        <v>176</v>
      </c>
      <c r="AB200" s="2607">
        <f t="shared" si="114"/>
        <v>0</v>
      </c>
      <c r="AC200" s="2606">
        <f t="shared" si="107"/>
        <v>0</v>
      </c>
      <c r="AD200" s="2608">
        <f t="shared" si="117"/>
        <v>0</v>
      </c>
      <c r="AE200" s="2607">
        <f t="shared" si="101"/>
        <v>0</v>
      </c>
      <c r="AF200" s="525"/>
      <c r="AG200" s="2605">
        <f t="shared" si="102"/>
        <v>176</v>
      </c>
      <c r="AH200" s="2607">
        <f t="shared" si="115"/>
        <v>0</v>
      </c>
      <c r="AI200" s="2606">
        <f t="shared" si="108"/>
        <v>0</v>
      </c>
      <c r="AJ200" s="2608">
        <f t="shared" si="118"/>
        <v>0</v>
      </c>
      <c r="AK200" s="2607">
        <f t="shared" si="103"/>
        <v>0</v>
      </c>
    </row>
    <row r="201" spans="1:245" ht="20.100000000000001" customHeight="1" x14ac:dyDescent="0.3">
      <c r="B201" s="985"/>
      <c r="C201" s="986"/>
      <c r="D201" s="986"/>
      <c r="E201" s="986"/>
      <c r="F201" s="986"/>
      <c r="G201" s="986"/>
      <c r="H201" s="525"/>
      <c r="I201" s="2605">
        <f t="shared" si="94"/>
        <v>177</v>
      </c>
      <c r="J201" s="2607">
        <f t="shared" si="109"/>
        <v>0</v>
      </c>
      <c r="K201" s="2606">
        <f t="shared" si="104"/>
        <v>0</v>
      </c>
      <c r="L201" s="2608">
        <f t="shared" si="111"/>
        <v>0</v>
      </c>
      <c r="M201" s="2607">
        <f t="shared" si="95"/>
        <v>0</v>
      </c>
      <c r="N201" s="525"/>
      <c r="O201" s="2605">
        <f t="shared" si="96"/>
        <v>177</v>
      </c>
      <c r="P201" s="2607">
        <f t="shared" si="110"/>
        <v>0</v>
      </c>
      <c r="Q201" s="2606">
        <f t="shared" si="105"/>
        <v>0</v>
      </c>
      <c r="R201" s="2608">
        <f t="shared" si="112"/>
        <v>0</v>
      </c>
      <c r="S201" s="2607">
        <f t="shared" si="97"/>
        <v>0</v>
      </c>
      <c r="T201" s="525"/>
      <c r="U201" s="2605">
        <f t="shared" si="98"/>
        <v>177</v>
      </c>
      <c r="V201" s="2607">
        <f t="shared" si="113"/>
        <v>0</v>
      </c>
      <c r="W201" s="2606">
        <f t="shared" si="106"/>
        <v>0</v>
      </c>
      <c r="X201" s="2608">
        <f t="shared" si="116"/>
        <v>0</v>
      </c>
      <c r="Y201" s="2607">
        <f t="shared" si="99"/>
        <v>0</v>
      </c>
      <c r="Z201" s="525"/>
      <c r="AA201" s="2605">
        <f t="shared" si="100"/>
        <v>177</v>
      </c>
      <c r="AB201" s="2607">
        <f t="shared" si="114"/>
        <v>0</v>
      </c>
      <c r="AC201" s="2606">
        <f t="shared" si="107"/>
        <v>0</v>
      </c>
      <c r="AD201" s="2608">
        <f t="shared" si="117"/>
        <v>0</v>
      </c>
      <c r="AE201" s="2607">
        <f t="shared" si="101"/>
        <v>0</v>
      </c>
      <c r="AF201" s="525"/>
      <c r="AG201" s="2605">
        <f t="shared" si="102"/>
        <v>177</v>
      </c>
      <c r="AH201" s="2607">
        <f t="shared" si="115"/>
        <v>0</v>
      </c>
      <c r="AI201" s="2606">
        <f t="shared" si="108"/>
        <v>0</v>
      </c>
      <c r="AJ201" s="2608">
        <f t="shared" si="118"/>
        <v>0</v>
      </c>
      <c r="AK201" s="2607">
        <f t="shared" si="103"/>
        <v>0</v>
      </c>
    </row>
    <row r="202" spans="1:245" ht="20.100000000000001" customHeight="1" x14ac:dyDescent="0.3">
      <c r="B202" s="985"/>
      <c r="C202" s="986"/>
      <c r="D202" s="986"/>
      <c r="E202" s="986"/>
      <c r="F202" s="986"/>
      <c r="G202" s="986"/>
      <c r="H202" s="525"/>
      <c r="I202" s="2605">
        <f t="shared" si="94"/>
        <v>178</v>
      </c>
      <c r="J202" s="2607">
        <f t="shared" si="109"/>
        <v>0</v>
      </c>
      <c r="K202" s="2606">
        <f t="shared" si="104"/>
        <v>0</v>
      </c>
      <c r="L202" s="2608">
        <f t="shared" si="111"/>
        <v>0</v>
      </c>
      <c r="M202" s="2607">
        <f t="shared" si="95"/>
        <v>0</v>
      </c>
      <c r="N202" s="525"/>
      <c r="O202" s="2605">
        <f t="shared" si="96"/>
        <v>178</v>
      </c>
      <c r="P202" s="2607">
        <f t="shared" si="110"/>
        <v>0</v>
      </c>
      <c r="Q202" s="2606">
        <f t="shared" si="105"/>
        <v>0</v>
      </c>
      <c r="R202" s="2608">
        <f t="shared" si="112"/>
        <v>0</v>
      </c>
      <c r="S202" s="2607">
        <f t="shared" si="97"/>
        <v>0</v>
      </c>
      <c r="T202" s="525"/>
      <c r="U202" s="2605">
        <f t="shared" si="98"/>
        <v>178</v>
      </c>
      <c r="V202" s="2607">
        <f t="shared" si="113"/>
        <v>0</v>
      </c>
      <c r="W202" s="2606">
        <f t="shared" si="106"/>
        <v>0</v>
      </c>
      <c r="X202" s="2608">
        <f t="shared" si="116"/>
        <v>0</v>
      </c>
      <c r="Y202" s="2607">
        <f t="shared" si="99"/>
        <v>0</v>
      </c>
      <c r="Z202" s="525"/>
      <c r="AA202" s="2605">
        <f t="shared" si="100"/>
        <v>178</v>
      </c>
      <c r="AB202" s="2607">
        <f t="shared" si="114"/>
        <v>0</v>
      </c>
      <c r="AC202" s="2606">
        <f t="shared" si="107"/>
        <v>0</v>
      </c>
      <c r="AD202" s="2608">
        <f t="shared" si="117"/>
        <v>0</v>
      </c>
      <c r="AE202" s="2607">
        <f t="shared" si="101"/>
        <v>0</v>
      </c>
      <c r="AF202" s="525"/>
      <c r="AG202" s="2605">
        <f t="shared" si="102"/>
        <v>178</v>
      </c>
      <c r="AH202" s="2607">
        <f t="shared" si="115"/>
        <v>0</v>
      </c>
      <c r="AI202" s="2606">
        <f t="shared" si="108"/>
        <v>0</v>
      </c>
      <c r="AJ202" s="2608">
        <f t="shared" si="118"/>
        <v>0</v>
      </c>
      <c r="AK202" s="2607">
        <f t="shared" si="103"/>
        <v>0</v>
      </c>
    </row>
    <row r="203" spans="1:245" ht="20.100000000000001" customHeight="1" x14ac:dyDescent="0.3">
      <c r="B203" s="985"/>
      <c r="C203" s="986"/>
      <c r="D203" s="986"/>
      <c r="E203" s="986"/>
      <c r="F203" s="986"/>
      <c r="G203" s="986"/>
      <c r="H203" s="525"/>
      <c r="I203" s="2605">
        <f t="shared" si="94"/>
        <v>179</v>
      </c>
      <c r="J203" s="2607">
        <f t="shared" si="109"/>
        <v>0</v>
      </c>
      <c r="K203" s="2606">
        <f t="shared" si="104"/>
        <v>0</v>
      </c>
      <c r="L203" s="2608">
        <f t="shared" si="111"/>
        <v>0</v>
      </c>
      <c r="M203" s="2607">
        <f t="shared" si="95"/>
        <v>0</v>
      </c>
      <c r="N203" s="525"/>
      <c r="O203" s="2605">
        <f t="shared" si="96"/>
        <v>179</v>
      </c>
      <c r="P203" s="2607">
        <f t="shared" si="110"/>
        <v>0</v>
      </c>
      <c r="Q203" s="2606">
        <f t="shared" si="105"/>
        <v>0</v>
      </c>
      <c r="R203" s="2608">
        <f t="shared" si="112"/>
        <v>0</v>
      </c>
      <c r="S203" s="2607">
        <f t="shared" si="97"/>
        <v>0</v>
      </c>
      <c r="T203" s="525"/>
      <c r="U203" s="2605">
        <f t="shared" si="98"/>
        <v>179</v>
      </c>
      <c r="V203" s="2607">
        <f t="shared" si="113"/>
        <v>0</v>
      </c>
      <c r="W203" s="2606">
        <f t="shared" si="106"/>
        <v>0</v>
      </c>
      <c r="X203" s="2608">
        <f t="shared" si="116"/>
        <v>0</v>
      </c>
      <c r="Y203" s="2607">
        <f t="shared" si="99"/>
        <v>0</v>
      </c>
      <c r="Z203" s="525"/>
      <c r="AA203" s="2605">
        <f t="shared" si="100"/>
        <v>179</v>
      </c>
      <c r="AB203" s="2607">
        <f t="shared" si="114"/>
        <v>0</v>
      </c>
      <c r="AC203" s="2606">
        <f t="shared" si="107"/>
        <v>0</v>
      </c>
      <c r="AD203" s="2608">
        <f t="shared" si="117"/>
        <v>0</v>
      </c>
      <c r="AE203" s="2607">
        <f t="shared" si="101"/>
        <v>0</v>
      </c>
      <c r="AF203" s="525"/>
      <c r="AG203" s="2605">
        <f t="shared" si="102"/>
        <v>179</v>
      </c>
      <c r="AH203" s="2607">
        <f t="shared" si="115"/>
        <v>0</v>
      </c>
      <c r="AI203" s="2606">
        <f t="shared" si="108"/>
        <v>0</v>
      </c>
      <c r="AJ203" s="2608">
        <f t="shared" si="118"/>
        <v>0</v>
      </c>
      <c r="AK203" s="2607">
        <f t="shared" si="103"/>
        <v>0</v>
      </c>
    </row>
    <row r="204" spans="1:245" ht="20.100000000000001" customHeight="1" x14ac:dyDescent="0.3">
      <c r="B204" s="985"/>
      <c r="C204" s="986"/>
      <c r="D204" s="986"/>
      <c r="E204" s="986"/>
      <c r="F204" s="986"/>
      <c r="G204" s="986"/>
      <c r="H204" s="525"/>
      <c r="I204" s="2619">
        <f t="shared" si="94"/>
        <v>180</v>
      </c>
      <c r="J204" s="2620">
        <f t="shared" si="109"/>
        <v>0</v>
      </c>
      <c r="K204" s="2621">
        <f t="shared" si="104"/>
        <v>0</v>
      </c>
      <c r="L204" s="2622">
        <f t="shared" si="111"/>
        <v>0</v>
      </c>
      <c r="M204" s="2620">
        <f t="shared" si="95"/>
        <v>0</v>
      </c>
      <c r="N204" s="525"/>
      <c r="O204" s="2619">
        <f t="shared" si="96"/>
        <v>180</v>
      </c>
      <c r="P204" s="2620">
        <f t="shared" si="110"/>
        <v>0</v>
      </c>
      <c r="Q204" s="2621">
        <f t="shared" si="105"/>
        <v>0</v>
      </c>
      <c r="R204" s="2622">
        <f t="shared" si="112"/>
        <v>0</v>
      </c>
      <c r="S204" s="2620">
        <f t="shared" si="97"/>
        <v>0</v>
      </c>
      <c r="T204" s="525"/>
      <c r="U204" s="2619">
        <f t="shared" si="98"/>
        <v>180</v>
      </c>
      <c r="V204" s="2620">
        <f t="shared" si="113"/>
        <v>0</v>
      </c>
      <c r="W204" s="2621">
        <f t="shared" si="106"/>
        <v>0</v>
      </c>
      <c r="X204" s="2622">
        <f t="shared" si="116"/>
        <v>0</v>
      </c>
      <c r="Y204" s="2620">
        <f t="shared" si="99"/>
        <v>0</v>
      </c>
      <c r="Z204" s="525"/>
      <c r="AA204" s="2619">
        <f t="shared" si="100"/>
        <v>180</v>
      </c>
      <c r="AB204" s="2620">
        <f t="shared" si="114"/>
        <v>0</v>
      </c>
      <c r="AC204" s="2621">
        <f t="shared" si="107"/>
        <v>0</v>
      </c>
      <c r="AD204" s="2622">
        <f t="shared" si="117"/>
        <v>0</v>
      </c>
      <c r="AE204" s="2620">
        <f t="shared" si="101"/>
        <v>0</v>
      </c>
      <c r="AF204" s="525"/>
      <c r="AG204" s="2619">
        <f t="shared" si="102"/>
        <v>180</v>
      </c>
      <c r="AH204" s="2620">
        <f t="shared" si="115"/>
        <v>0</v>
      </c>
      <c r="AI204" s="2621">
        <f t="shared" si="108"/>
        <v>0</v>
      </c>
      <c r="AJ204" s="2622">
        <f t="shared" si="118"/>
        <v>0</v>
      </c>
      <c r="AK204" s="2620">
        <f t="shared" si="103"/>
        <v>0</v>
      </c>
    </row>
    <row r="205" spans="1:245" s="991" customFormat="1" ht="20.100000000000001" customHeight="1" x14ac:dyDescent="0.25">
      <c r="A205" s="987"/>
      <c r="B205" s="988"/>
      <c r="C205" s="989"/>
      <c r="D205" s="989"/>
      <c r="E205" s="989"/>
      <c r="F205" s="989"/>
      <c r="G205" s="990"/>
      <c r="H205" s="987"/>
      <c r="I205" s="2623" t="s">
        <v>197</v>
      </c>
      <c r="J205" s="2624">
        <f>SUM(J25:J204)</f>
        <v>0</v>
      </c>
      <c r="K205" s="2626">
        <f>SUM(K25:K204)</f>
        <v>0</v>
      </c>
      <c r="L205" s="2627">
        <f>SUM(L25:L204)</f>
        <v>0</v>
      </c>
      <c r="M205" s="2625"/>
      <c r="N205" s="987"/>
      <c r="O205" s="2623" t="s">
        <v>197</v>
      </c>
      <c r="P205" s="2624">
        <f>SUM(P25:P204)</f>
        <v>0</v>
      </c>
      <c r="Q205" s="2626">
        <f>SUM(Q25:Q204)</f>
        <v>0</v>
      </c>
      <c r="R205" s="2627">
        <f>SUM(R25:R204)</f>
        <v>0</v>
      </c>
      <c r="S205" s="2625"/>
      <c r="T205" s="987"/>
      <c r="U205" s="2623" t="s">
        <v>197</v>
      </c>
      <c r="V205" s="2624">
        <f>SUM(V25:V204)</f>
        <v>0</v>
      </c>
      <c r="W205" s="2626">
        <f>SUM(W25:W204)</f>
        <v>0</v>
      </c>
      <c r="X205" s="2627">
        <f>SUM(X25:X204)</f>
        <v>0</v>
      </c>
      <c r="Y205" s="2625"/>
      <c r="Z205" s="987"/>
      <c r="AA205" s="2623" t="s">
        <v>197</v>
      </c>
      <c r="AB205" s="2624">
        <f>SUM(AB25:AB204)</f>
        <v>0</v>
      </c>
      <c r="AC205" s="2626">
        <f>SUM(AC25:AC204)</f>
        <v>0</v>
      </c>
      <c r="AD205" s="2627">
        <f>SUM(AD25:AD204)</f>
        <v>0</v>
      </c>
      <c r="AE205" s="2625"/>
      <c r="AF205" s="987"/>
      <c r="AG205" s="2623" t="s">
        <v>197</v>
      </c>
      <c r="AH205" s="2624">
        <f>SUM(AH25:AH204)</f>
        <v>0</v>
      </c>
      <c r="AI205" s="2626">
        <f>SUM(AI25:AI204)</f>
        <v>0</v>
      </c>
      <c r="AJ205" s="2627">
        <f>SUM(AJ25:AJ204)</f>
        <v>0</v>
      </c>
      <c r="AK205" s="2625"/>
      <c r="AL205" s="987"/>
      <c r="AM205" s="987"/>
      <c r="AN205" s="987"/>
      <c r="AO205" s="987"/>
      <c r="AP205" s="987"/>
      <c r="AQ205" s="987"/>
      <c r="AR205" s="987"/>
      <c r="AS205" s="987"/>
      <c r="AT205" s="987"/>
      <c r="AU205" s="987"/>
      <c r="AV205" s="987"/>
      <c r="AW205" s="987"/>
      <c r="AX205" s="987"/>
      <c r="AY205" s="987"/>
      <c r="AZ205" s="987"/>
      <c r="BA205" s="987"/>
      <c r="BB205" s="987"/>
      <c r="BC205" s="987"/>
      <c r="BD205" s="987"/>
      <c r="BE205" s="987"/>
      <c r="BF205" s="987"/>
      <c r="BG205" s="987"/>
      <c r="BH205" s="987"/>
      <c r="BI205" s="987"/>
      <c r="BJ205" s="987"/>
      <c r="BK205" s="987"/>
      <c r="BL205" s="987"/>
      <c r="BM205" s="987"/>
      <c r="BN205" s="987"/>
      <c r="BO205" s="987"/>
      <c r="BP205" s="987"/>
      <c r="BQ205" s="987"/>
      <c r="BR205" s="987"/>
      <c r="BS205" s="987"/>
      <c r="BT205" s="987"/>
      <c r="BU205" s="987"/>
      <c r="BV205" s="987"/>
      <c r="BW205" s="987"/>
      <c r="BX205" s="987"/>
      <c r="BY205" s="987"/>
      <c r="BZ205" s="987"/>
      <c r="CA205" s="987"/>
      <c r="CB205" s="987"/>
      <c r="CC205" s="987"/>
      <c r="CD205" s="987"/>
      <c r="CE205" s="987"/>
      <c r="CF205" s="987"/>
      <c r="CG205" s="987"/>
      <c r="CH205" s="987"/>
      <c r="CI205" s="987"/>
      <c r="CJ205" s="987"/>
      <c r="CK205" s="987"/>
      <c r="CL205" s="987"/>
      <c r="CM205" s="987"/>
      <c r="CN205" s="987"/>
      <c r="CO205" s="987"/>
      <c r="CP205" s="987"/>
      <c r="CQ205" s="987"/>
      <c r="CR205" s="987"/>
      <c r="CS205" s="987"/>
      <c r="CT205" s="987"/>
      <c r="CU205" s="987"/>
      <c r="CV205" s="987"/>
      <c r="CW205" s="987"/>
      <c r="CX205" s="987"/>
      <c r="CY205" s="987"/>
      <c r="CZ205" s="987"/>
      <c r="DA205" s="987"/>
      <c r="DB205" s="987"/>
      <c r="DC205" s="987"/>
      <c r="DD205" s="987"/>
      <c r="DE205" s="987"/>
      <c r="DF205" s="987"/>
      <c r="DG205" s="987"/>
      <c r="DH205" s="987"/>
      <c r="DI205" s="987"/>
      <c r="DJ205" s="987"/>
      <c r="DK205" s="987"/>
      <c r="DL205" s="987"/>
      <c r="DM205" s="987"/>
      <c r="DN205" s="987"/>
      <c r="DO205" s="987"/>
      <c r="DP205" s="987"/>
      <c r="DQ205" s="987"/>
      <c r="DR205" s="987"/>
      <c r="DS205" s="987"/>
      <c r="DT205" s="987"/>
      <c r="DU205" s="987"/>
      <c r="DV205" s="987"/>
      <c r="DW205" s="987"/>
      <c r="DX205" s="987"/>
      <c r="DY205" s="987"/>
      <c r="DZ205" s="987"/>
      <c r="EA205" s="987"/>
      <c r="EB205" s="987"/>
      <c r="EC205" s="987"/>
      <c r="ED205" s="987"/>
      <c r="EE205" s="987"/>
      <c r="EF205" s="987"/>
      <c r="EG205" s="987"/>
      <c r="EH205" s="987"/>
      <c r="EI205" s="987"/>
      <c r="EJ205" s="987"/>
      <c r="EK205" s="987"/>
      <c r="EL205" s="987"/>
      <c r="EM205" s="987"/>
      <c r="EN205" s="987"/>
      <c r="EO205" s="987"/>
      <c r="EP205" s="987"/>
      <c r="EQ205" s="987"/>
      <c r="ER205" s="987"/>
      <c r="ES205" s="987"/>
      <c r="ET205" s="987"/>
      <c r="EU205" s="987"/>
      <c r="EV205" s="987"/>
      <c r="EW205" s="987"/>
      <c r="EX205" s="987"/>
      <c r="EY205" s="987"/>
      <c r="EZ205" s="987"/>
      <c r="FA205" s="987"/>
      <c r="FB205" s="987"/>
      <c r="FC205" s="987"/>
      <c r="FD205" s="987"/>
      <c r="FE205" s="987"/>
      <c r="FF205" s="987"/>
      <c r="FG205" s="987"/>
      <c r="FH205" s="987"/>
      <c r="FI205" s="987"/>
      <c r="FJ205" s="987"/>
      <c r="FK205" s="987"/>
      <c r="FL205" s="987"/>
      <c r="FM205" s="987"/>
      <c r="FN205" s="987"/>
      <c r="FO205" s="987"/>
      <c r="FP205" s="987"/>
      <c r="FQ205" s="987"/>
      <c r="FR205" s="987"/>
      <c r="FS205" s="987"/>
      <c r="FT205" s="987"/>
      <c r="FU205" s="987"/>
      <c r="FV205" s="987"/>
      <c r="FW205" s="987"/>
      <c r="FX205" s="987"/>
      <c r="FY205" s="987"/>
      <c r="FZ205" s="987"/>
      <c r="GA205" s="987"/>
      <c r="GB205" s="987"/>
      <c r="GC205" s="987"/>
      <c r="GD205" s="987"/>
      <c r="GE205" s="987"/>
      <c r="GF205" s="987"/>
      <c r="GG205" s="987"/>
      <c r="GH205" s="987"/>
      <c r="GI205" s="987"/>
      <c r="GJ205" s="987"/>
      <c r="GK205" s="987"/>
      <c r="GL205" s="987"/>
      <c r="GM205" s="987"/>
      <c r="GN205" s="987"/>
      <c r="GO205" s="987"/>
      <c r="GP205" s="987"/>
      <c r="GQ205" s="987"/>
      <c r="GR205" s="987"/>
      <c r="GS205" s="987"/>
      <c r="GT205" s="987"/>
      <c r="GU205" s="987"/>
      <c r="GV205" s="987"/>
      <c r="GW205" s="987"/>
      <c r="GX205" s="987"/>
      <c r="GY205" s="987"/>
      <c r="GZ205" s="987"/>
      <c r="HA205" s="987"/>
      <c r="HB205" s="987"/>
      <c r="HC205" s="987"/>
      <c r="HD205" s="987"/>
      <c r="HE205" s="987"/>
      <c r="HF205" s="987"/>
      <c r="HG205" s="987"/>
      <c r="HH205" s="987"/>
      <c r="HI205" s="987"/>
      <c r="HJ205" s="987"/>
      <c r="HK205" s="987"/>
      <c r="HL205" s="987"/>
      <c r="HM205" s="987"/>
      <c r="HN205" s="987"/>
      <c r="HO205" s="987"/>
      <c r="HP205" s="987"/>
      <c r="HQ205" s="987"/>
      <c r="HR205" s="987"/>
      <c r="HS205" s="987"/>
      <c r="HT205" s="987"/>
      <c r="HU205" s="987"/>
      <c r="HV205" s="987"/>
      <c r="HW205" s="987"/>
      <c r="HX205" s="987"/>
      <c r="HY205" s="987"/>
      <c r="HZ205" s="987"/>
      <c r="IA205" s="987"/>
      <c r="IB205" s="987"/>
      <c r="IC205" s="987"/>
      <c r="ID205" s="987"/>
      <c r="IE205" s="987"/>
      <c r="IF205" s="987"/>
      <c r="IG205" s="987"/>
      <c r="IH205" s="987"/>
      <c r="II205" s="987"/>
      <c r="IJ205" s="987"/>
      <c r="IK205" s="987"/>
    </row>
    <row r="206" spans="1:245" s="993" customFormat="1" x14ac:dyDescent="0.3">
      <c r="A206" s="992"/>
      <c r="B206" s="992"/>
      <c r="C206" s="992"/>
      <c r="D206" s="992"/>
      <c r="E206" s="992"/>
      <c r="F206" s="992"/>
      <c r="G206" s="992"/>
      <c r="H206" s="992"/>
      <c r="I206" s="992"/>
      <c r="J206" s="992"/>
      <c r="K206" s="992"/>
      <c r="L206" s="992"/>
      <c r="M206" s="992"/>
      <c r="N206" s="992"/>
      <c r="O206" s="992"/>
      <c r="P206" s="992"/>
      <c r="Q206" s="992"/>
      <c r="R206" s="992"/>
      <c r="S206" s="992"/>
      <c r="T206" s="992"/>
      <c r="U206" s="992"/>
      <c r="V206" s="992"/>
      <c r="W206" s="992"/>
      <c r="X206" s="992"/>
      <c r="Y206" s="992"/>
      <c r="Z206" s="992"/>
      <c r="AA206" s="992"/>
      <c r="AB206" s="992"/>
      <c r="AC206" s="992"/>
      <c r="AD206" s="992"/>
      <c r="AE206" s="992"/>
      <c r="AF206" s="992"/>
      <c r="AG206" s="992"/>
      <c r="AH206" s="992"/>
      <c r="AI206" s="992"/>
      <c r="AJ206" s="992"/>
      <c r="AK206" s="992"/>
      <c r="AL206" s="992"/>
      <c r="AM206" s="992"/>
      <c r="AN206" s="992"/>
      <c r="AO206" s="992"/>
      <c r="AP206" s="992"/>
      <c r="AQ206" s="992"/>
      <c r="AR206" s="992"/>
      <c r="AS206" s="992"/>
      <c r="AT206" s="992"/>
      <c r="AU206" s="992"/>
      <c r="AV206" s="992"/>
      <c r="AW206" s="992"/>
      <c r="AX206" s="992"/>
      <c r="AY206" s="992"/>
      <c r="AZ206" s="992"/>
      <c r="BA206" s="992"/>
      <c r="BB206" s="992"/>
      <c r="BC206" s="992"/>
      <c r="BD206" s="992"/>
      <c r="BE206" s="992"/>
      <c r="BF206" s="992"/>
      <c r="BG206" s="992"/>
      <c r="BH206" s="992"/>
      <c r="BI206" s="992"/>
      <c r="BJ206" s="992"/>
      <c r="BK206" s="992"/>
      <c r="BL206" s="992"/>
      <c r="BM206" s="992"/>
      <c r="BN206" s="992"/>
      <c r="BO206" s="992"/>
      <c r="BP206" s="992"/>
      <c r="BQ206" s="992"/>
      <c r="BR206" s="992"/>
      <c r="BS206" s="992"/>
      <c r="BT206" s="992"/>
      <c r="BU206" s="992"/>
      <c r="BV206" s="992"/>
      <c r="BW206" s="992"/>
      <c r="BX206" s="992"/>
      <c r="BY206" s="992"/>
      <c r="BZ206" s="992"/>
      <c r="CA206" s="992"/>
      <c r="CB206" s="992"/>
      <c r="CC206" s="992"/>
      <c r="CD206" s="992"/>
      <c r="CE206" s="992"/>
      <c r="CF206" s="992"/>
      <c r="CG206" s="992"/>
      <c r="CH206" s="992"/>
      <c r="CI206" s="992"/>
      <c r="CJ206" s="992"/>
      <c r="CK206" s="992"/>
      <c r="CL206" s="992"/>
      <c r="CM206" s="992"/>
      <c r="CN206" s="992"/>
      <c r="CO206" s="992"/>
      <c r="CP206" s="992"/>
      <c r="CQ206" s="992"/>
      <c r="CR206" s="992"/>
      <c r="CS206" s="992"/>
      <c r="CT206" s="992"/>
      <c r="CU206" s="992"/>
      <c r="CV206" s="992"/>
      <c r="CW206" s="992"/>
      <c r="CX206" s="992"/>
      <c r="CY206" s="992"/>
      <c r="CZ206" s="992"/>
      <c r="DA206" s="992"/>
      <c r="DB206" s="992"/>
      <c r="DC206" s="992"/>
      <c r="DD206" s="992"/>
      <c r="DE206" s="992"/>
      <c r="DF206" s="992"/>
      <c r="DG206" s="992"/>
      <c r="DH206" s="992"/>
      <c r="DI206" s="992"/>
      <c r="DJ206" s="992"/>
      <c r="DK206" s="992"/>
      <c r="DL206" s="992"/>
      <c r="DM206" s="992"/>
      <c r="DN206" s="992"/>
      <c r="DO206" s="992"/>
      <c r="DP206" s="992"/>
      <c r="DQ206" s="992"/>
      <c r="DR206" s="992"/>
      <c r="DS206" s="992"/>
      <c r="DT206" s="992"/>
      <c r="DU206" s="992"/>
      <c r="DV206" s="992"/>
      <c r="DW206" s="992"/>
      <c r="DX206" s="992"/>
      <c r="DY206" s="992"/>
      <c r="DZ206" s="992"/>
      <c r="EA206" s="992"/>
      <c r="EB206" s="992"/>
      <c r="EC206" s="992"/>
      <c r="ED206" s="992"/>
      <c r="EE206" s="992"/>
      <c r="EF206" s="992"/>
      <c r="EG206" s="992"/>
      <c r="EH206" s="992"/>
      <c r="EI206" s="992"/>
      <c r="EJ206" s="992"/>
      <c r="EK206" s="992"/>
      <c r="EL206" s="992"/>
      <c r="EM206" s="992"/>
      <c r="EN206" s="992"/>
      <c r="EO206" s="992"/>
      <c r="EP206" s="992"/>
      <c r="EQ206" s="992"/>
      <c r="ER206" s="992"/>
      <c r="ES206" s="992"/>
      <c r="ET206" s="992"/>
      <c r="EU206" s="992"/>
      <c r="EV206" s="992"/>
      <c r="EW206" s="992"/>
      <c r="EX206" s="992"/>
      <c r="EY206" s="992"/>
      <c r="EZ206" s="992"/>
      <c r="FA206" s="992"/>
      <c r="FB206" s="992"/>
      <c r="FC206" s="992"/>
      <c r="FD206" s="992"/>
      <c r="FE206" s="992"/>
      <c r="FF206" s="992"/>
      <c r="FG206" s="992"/>
      <c r="FH206" s="992"/>
      <c r="FI206" s="992"/>
      <c r="FJ206" s="992"/>
      <c r="FK206" s="992"/>
      <c r="FL206" s="992"/>
      <c r="FM206" s="992"/>
      <c r="FN206" s="992"/>
      <c r="FO206" s="992"/>
      <c r="FP206" s="992"/>
      <c r="FQ206" s="992"/>
      <c r="FR206" s="992"/>
      <c r="FS206" s="992"/>
      <c r="FT206" s="992"/>
      <c r="FU206" s="992"/>
      <c r="FV206" s="992"/>
      <c r="FW206" s="992"/>
      <c r="FX206" s="992"/>
      <c r="FY206" s="992"/>
      <c r="FZ206" s="992"/>
      <c r="GA206" s="992"/>
      <c r="GB206" s="992"/>
      <c r="GC206" s="992"/>
      <c r="GD206" s="992"/>
      <c r="GE206" s="992"/>
      <c r="GF206" s="992"/>
      <c r="GG206" s="992"/>
      <c r="GH206" s="992"/>
      <c r="GI206" s="992"/>
      <c r="GJ206" s="992"/>
      <c r="GK206" s="992"/>
      <c r="GL206" s="992"/>
      <c r="GM206" s="992"/>
      <c r="GN206" s="992"/>
      <c r="GO206" s="992"/>
      <c r="GP206" s="992"/>
      <c r="GQ206" s="992"/>
      <c r="GR206" s="992"/>
      <c r="GS206" s="992"/>
      <c r="GT206" s="992"/>
      <c r="GU206" s="992"/>
      <c r="GV206" s="992"/>
      <c r="GW206" s="992"/>
      <c r="GX206" s="992"/>
      <c r="GY206" s="992"/>
      <c r="GZ206" s="992"/>
      <c r="HA206" s="992"/>
      <c r="HB206" s="992"/>
      <c r="HC206" s="992"/>
      <c r="HD206" s="992"/>
      <c r="HE206" s="992"/>
      <c r="HF206" s="992"/>
      <c r="HG206" s="992"/>
      <c r="HH206" s="992"/>
      <c r="HI206" s="992"/>
      <c r="HJ206" s="992"/>
      <c r="HK206" s="992"/>
      <c r="HL206" s="992"/>
      <c r="HM206" s="992"/>
      <c r="HN206" s="992"/>
      <c r="HO206" s="992"/>
      <c r="HP206" s="992"/>
      <c r="HQ206" s="992"/>
      <c r="HR206" s="992"/>
      <c r="HS206" s="992"/>
      <c r="HT206" s="992"/>
      <c r="HU206" s="992"/>
      <c r="HV206" s="992"/>
      <c r="HW206" s="992"/>
      <c r="HX206" s="992"/>
      <c r="HY206" s="992"/>
      <c r="HZ206" s="992"/>
      <c r="IA206" s="992"/>
      <c r="IB206" s="992"/>
      <c r="IC206" s="992"/>
      <c r="ID206" s="992"/>
      <c r="IE206" s="992"/>
      <c r="IF206" s="992"/>
      <c r="IG206" s="992"/>
      <c r="IH206" s="992"/>
      <c r="II206" s="992"/>
      <c r="IJ206" s="992"/>
      <c r="IK206" s="992"/>
    </row>
    <row r="207" spans="1:245" s="992" customFormat="1" x14ac:dyDescent="0.3"/>
    <row r="208" spans="1:245" s="992" customFormat="1" x14ac:dyDescent="0.3"/>
    <row r="209" spans="3:37" s="992" customFormat="1" x14ac:dyDescent="0.3"/>
    <row r="210" spans="3:37" s="992" customFormat="1" x14ac:dyDescent="0.3"/>
    <row r="211" spans="3:37" s="992" customFormat="1" x14ac:dyDescent="0.3"/>
    <row r="212" spans="3:37" s="992" customFormat="1" x14ac:dyDescent="0.3"/>
    <row r="213" spans="3:37" s="992" customFormat="1" x14ac:dyDescent="0.3"/>
    <row r="214" spans="3:37" s="992" customFormat="1" x14ac:dyDescent="0.3"/>
    <row r="215" spans="3:37" s="992" customFormat="1" x14ac:dyDescent="0.3"/>
    <row r="216" spans="3:37" s="992" customFormat="1" x14ac:dyDescent="0.3"/>
    <row r="217" spans="3:37" s="992" customFormat="1" x14ac:dyDescent="0.3"/>
    <row r="218" spans="3:37" s="992" customFormat="1" x14ac:dyDescent="0.3"/>
    <row r="219" spans="3:37" s="992" customFormat="1" x14ac:dyDescent="0.3"/>
    <row r="220" spans="3:37" s="992" customFormat="1" x14ac:dyDescent="0.3"/>
    <row r="221" spans="3:37" s="992" customFormat="1" x14ac:dyDescent="0.3"/>
    <row r="222" spans="3:37" s="358" customFormat="1" x14ac:dyDescent="0.3">
      <c r="C222" s="994"/>
      <c r="D222" s="994"/>
      <c r="E222" s="994"/>
      <c r="F222" s="994"/>
      <c r="G222" s="994"/>
      <c r="H222" s="994"/>
      <c r="J222" s="994"/>
      <c r="K222" s="994"/>
      <c r="L222" s="994"/>
      <c r="M222" s="994"/>
      <c r="N222" s="994"/>
      <c r="P222" s="994"/>
      <c r="Q222" s="994"/>
      <c r="R222" s="994"/>
      <c r="S222" s="994"/>
      <c r="T222" s="994"/>
      <c r="V222" s="994"/>
      <c r="W222" s="994"/>
      <c r="X222" s="994"/>
      <c r="Y222" s="994"/>
      <c r="Z222" s="994"/>
      <c r="AB222" s="994"/>
      <c r="AC222" s="994"/>
      <c r="AD222" s="994"/>
      <c r="AE222" s="994"/>
      <c r="AF222" s="994"/>
      <c r="AH222" s="994"/>
      <c r="AI222" s="994"/>
      <c r="AJ222" s="994"/>
      <c r="AK222" s="994"/>
    </row>
    <row r="223" spans="3:37" s="358" customFormat="1" x14ac:dyDescent="0.3">
      <c r="C223" s="994"/>
      <c r="D223" s="994"/>
      <c r="E223" s="994"/>
      <c r="F223" s="994"/>
      <c r="G223" s="994"/>
      <c r="H223" s="994"/>
      <c r="J223" s="994"/>
      <c r="K223" s="994"/>
      <c r="L223" s="994"/>
      <c r="M223" s="994"/>
      <c r="N223" s="994"/>
      <c r="P223" s="994"/>
      <c r="Q223" s="994"/>
      <c r="R223" s="994"/>
      <c r="S223" s="994"/>
      <c r="T223" s="994"/>
      <c r="V223" s="994"/>
      <c r="W223" s="994"/>
      <c r="X223" s="994"/>
      <c r="Y223" s="994"/>
      <c r="Z223" s="994"/>
      <c r="AB223" s="994"/>
      <c r="AC223" s="994"/>
      <c r="AD223" s="994"/>
      <c r="AE223" s="994"/>
      <c r="AF223" s="994"/>
      <c r="AH223" s="994"/>
      <c r="AI223" s="994"/>
      <c r="AJ223" s="994"/>
      <c r="AK223" s="994"/>
    </row>
    <row r="224" spans="3:37" s="358" customFormat="1" x14ac:dyDescent="0.3">
      <c r="C224" s="994"/>
      <c r="D224" s="994"/>
      <c r="E224" s="994"/>
      <c r="F224" s="994"/>
      <c r="G224" s="994"/>
      <c r="H224" s="994"/>
      <c r="J224" s="994"/>
      <c r="K224" s="994"/>
      <c r="L224" s="994"/>
      <c r="M224" s="994"/>
      <c r="N224" s="994"/>
      <c r="P224" s="994"/>
      <c r="Q224" s="994"/>
      <c r="R224" s="994"/>
      <c r="S224" s="994"/>
      <c r="T224" s="994"/>
      <c r="V224" s="994"/>
      <c r="W224" s="994"/>
      <c r="X224" s="994"/>
      <c r="Y224" s="994"/>
      <c r="Z224" s="994"/>
      <c r="AB224" s="994"/>
      <c r="AC224" s="994"/>
      <c r="AD224" s="994"/>
      <c r="AE224" s="994"/>
      <c r="AF224" s="994"/>
      <c r="AH224" s="994"/>
      <c r="AI224" s="994"/>
      <c r="AJ224" s="994"/>
      <c r="AK224" s="994"/>
    </row>
    <row r="225" spans="3:37" s="358" customFormat="1" x14ac:dyDescent="0.3">
      <c r="C225" s="994"/>
      <c r="D225" s="994"/>
      <c r="E225" s="994"/>
      <c r="F225" s="994"/>
      <c r="G225" s="994"/>
      <c r="H225" s="994"/>
      <c r="J225" s="994"/>
      <c r="K225" s="994"/>
      <c r="L225" s="994"/>
      <c r="M225" s="994"/>
      <c r="N225" s="994"/>
      <c r="P225" s="994"/>
      <c r="Q225" s="994"/>
      <c r="R225" s="994"/>
      <c r="S225" s="994"/>
      <c r="T225" s="994"/>
      <c r="V225" s="994"/>
      <c r="W225" s="994"/>
      <c r="X225" s="994"/>
      <c r="Y225" s="994"/>
      <c r="Z225" s="994"/>
      <c r="AB225" s="994"/>
      <c r="AC225" s="994"/>
      <c r="AD225" s="994"/>
      <c r="AE225" s="994"/>
      <c r="AF225" s="994"/>
      <c r="AH225" s="994"/>
      <c r="AI225" s="994"/>
      <c r="AJ225" s="994"/>
      <c r="AK225" s="994"/>
    </row>
    <row r="226" spans="3:37" s="358" customFormat="1" x14ac:dyDescent="0.3">
      <c r="D226" s="994"/>
      <c r="E226" s="994"/>
      <c r="F226" s="994"/>
      <c r="G226" s="994"/>
      <c r="H226" s="994"/>
      <c r="K226" s="994"/>
      <c r="L226" s="994"/>
      <c r="M226" s="994"/>
      <c r="N226" s="994"/>
      <c r="O226" s="994"/>
      <c r="Q226" s="994"/>
      <c r="R226" s="994"/>
      <c r="S226" s="994"/>
      <c r="T226" s="994"/>
      <c r="U226" s="994"/>
      <c r="W226" s="994"/>
      <c r="X226" s="994"/>
      <c r="Y226" s="994"/>
      <c r="Z226" s="994"/>
      <c r="AA226" s="994"/>
      <c r="AC226" s="994"/>
      <c r="AD226" s="994"/>
      <c r="AE226" s="994"/>
      <c r="AF226" s="994"/>
      <c r="AG226" s="994"/>
      <c r="AI226" s="994"/>
      <c r="AJ226" s="994"/>
      <c r="AK226" s="994"/>
    </row>
    <row r="227" spans="3:37" s="358" customFormat="1" x14ac:dyDescent="0.3">
      <c r="D227" s="994"/>
      <c r="E227" s="994"/>
      <c r="F227" s="994"/>
      <c r="G227" s="994"/>
      <c r="H227" s="994"/>
      <c r="K227" s="994"/>
      <c r="L227" s="994"/>
      <c r="M227" s="994"/>
      <c r="N227" s="994"/>
      <c r="O227" s="994"/>
      <c r="Q227" s="994"/>
      <c r="R227" s="994"/>
      <c r="S227" s="994"/>
      <c r="T227" s="994"/>
      <c r="U227" s="994"/>
      <c r="W227" s="994"/>
      <c r="X227" s="994"/>
      <c r="Y227" s="994"/>
      <c r="Z227" s="994"/>
      <c r="AA227" s="994"/>
      <c r="AC227" s="994"/>
      <c r="AD227" s="994"/>
      <c r="AE227" s="994"/>
      <c r="AF227" s="994"/>
      <c r="AG227" s="994"/>
      <c r="AI227" s="994"/>
      <c r="AJ227" s="994"/>
      <c r="AK227" s="994"/>
    </row>
    <row r="228" spans="3:37" s="358" customFormat="1" x14ac:dyDescent="0.3">
      <c r="D228" s="994"/>
      <c r="E228" s="994"/>
      <c r="F228" s="994"/>
      <c r="G228" s="994"/>
      <c r="H228" s="994"/>
      <c r="K228" s="994"/>
      <c r="L228" s="994"/>
      <c r="M228" s="994"/>
      <c r="N228" s="994"/>
      <c r="O228" s="994"/>
      <c r="Q228" s="994"/>
      <c r="R228" s="994"/>
      <c r="S228" s="994"/>
      <c r="T228" s="994"/>
      <c r="U228" s="994"/>
      <c r="W228" s="994"/>
      <c r="X228" s="994"/>
      <c r="Y228" s="994"/>
      <c r="Z228" s="994"/>
      <c r="AA228" s="994"/>
      <c r="AC228" s="994"/>
      <c r="AD228" s="994"/>
      <c r="AE228" s="994"/>
      <c r="AF228" s="994"/>
      <c r="AG228" s="994"/>
      <c r="AI228" s="994"/>
      <c r="AJ228" s="994"/>
      <c r="AK228" s="994"/>
    </row>
    <row r="229" spans="3:37" s="358" customFormat="1" x14ac:dyDescent="0.3">
      <c r="D229" s="994"/>
      <c r="E229" s="994"/>
      <c r="F229" s="994"/>
      <c r="G229" s="994"/>
      <c r="H229" s="994"/>
      <c r="K229" s="994"/>
      <c r="L229" s="994"/>
      <c r="M229" s="994"/>
      <c r="N229" s="994"/>
      <c r="O229" s="994"/>
      <c r="Q229" s="994"/>
      <c r="R229" s="994"/>
      <c r="S229" s="994"/>
      <c r="T229" s="994"/>
      <c r="U229" s="994"/>
      <c r="W229" s="994"/>
      <c r="X229" s="994"/>
      <c r="Y229" s="994"/>
      <c r="Z229" s="994"/>
      <c r="AA229" s="994"/>
      <c r="AC229" s="994"/>
      <c r="AD229" s="994"/>
      <c r="AE229" s="994"/>
      <c r="AF229" s="994"/>
      <c r="AG229" s="994"/>
      <c r="AI229" s="994"/>
      <c r="AJ229" s="994"/>
      <c r="AK229" s="994"/>
    </row>
    <row r="230" spans="3:37" s="358" customFormat="1" x14ac:dyDescent="0.3">
      <c r="D230" s="994"/>
      <c r="E230" s="994"/>
      <c r="F230" s="994"/>
      <c r="G230" s="994"/>
      <c r="H230" s="994"/>
      <c r="K230" s="994"/>
      <c r="L230" s="994"/>
      <c r="M230" s="994"/>
      <c r="N230" s="994"/>
      <c r="O230" s="994"/>
      <c r="Q230" s="994"/>
      <c r="R230" s="994"/>
      <c r="S230" s="994"/>
      <c r="T230" s="994"/>
      <c r="U230" s="994"/>
      <c r="W230" s="994"/>
      <c r="X230" s="994"/>
      <c r="Y230" s="994"/>
      <c r="Z230" s="994"/>
      <c r="AA230" s="994"/>
      <c r="AC230" s="994"/>
      <c r="AD230" s="994"/>
      <c r="AE230" s="994"/>
      <c r="AF230" s="994"/>
      <c r="AG230" s="994"/>
      <c r="AI230" s="994"/>
      <c r="AJ230" s="994"/>
      <c r="AK230" s="994"/>
    </row>
    <row r="231" spans="3:37" s="358" customFormat="1" x14ac:dyDescent="0.3">
      <c r="D231" s="994"/>
      <c r="E231" s="994"/>
      <c r="F231" s="994"/>
      <c r="G231" s="994"/>
      <c r="H231" s="994"/>
      <c r="K231" s="994"/>
      <c r="L231" s="994"/>
      <c r="M231" s="994"/>
      <c r="N231" s="994"/>
      <c r="O231" s="994"/>
      <c r="Q231" s="994"/>
      <c r="R231" s="994"/>
      <c r="S231" s="994"/>
      <c r="T231" s="994"/>
      <c r="U231" s="994"/>
      <c r="W231" s="994"/>
      <c r="X231" s="994"/>
      <c r="Y231" s="994"/>
      <c r="Z231" s="994"/>
      <c r="AA231" s="994"/>
      <c r="AC231" s="994"/>
      <c r="AD231" s="994"/>
      <c r="AE231" s="994"/>
      <c r="AF231" s="994"/>
      <c r="AG231" s="994"/>
      <c r="AI231" s="994"/>
      <c r="AJ231" s="994"/>
      <c r="AK231" s="994"/>
    </row>
    <row r="232" spans="3:37" s="358" customFormat="1" x14ac:dyDescent="0.3">
      <c r="D232" s="994"/>
      <c r="E232" s="994"/>
      <c r="F232" s="994"/>
      <c r="G232" s="994"/>
      <c r="H232" s="994"/>
      <c r="K232" s="994"/>
      <c r="L232" s="994"/>
      <c r="M232" s="994"/>
      <c r="N232" s="994"/>
      <c r="O232" s="994"/>
      <c r="Q232" s="994"/>
      <c r="R232" s="994"/>
      <c r="S232" s="994"/>
      <c r="T232" s="994"/>
      <c r="U232" s="994"/>
      <c r="W232" s="994"/>
      <c r="X232" s="994"/>
      <c r="Y232" s="994"/>
      <c r="Z232" s="994"/>
      <c r="AA232" s="994"/>
      <c r="AC232" s="994"/>
      <c r="AD232" s="994"/>
      <c r="AE232" s="994"/>
      <c r="AF232" s="994"/>
      <c r="AG232" s="994"/>
      <c r="AI232" s="994"/>
      <c r="AJ232" s="994"/>
      <c r="AK232" s="994"/>
    </row>
    <row r="233" spans="3:37" s="358" customFormat="1" x14ac:dyDescent="0.3">
      <c r="D233" s="994"/>
      <c r="E233" s="994"/>
      <c r="F233" s="994"/>
      <c r="G233" s="994"/>
      <c r="H233" s="994"/>
      <c r="K233" s="994"/>
      <c r="L233" s="994"/>
      <c r="M233" s="994"/>
      <c r="N233" s="994"/>
      <c r="O233" s="994"/>
      <c r="Q233" s="994"/>
      <c r="R233" s="994"/>
      <c r="S233" s="994"/>
      <c r="T233" s="994"/>
      <c r="U233" s="994"/>
      <c r="W233" s="994"/>
      <c r="X233" s="994"/>
      <c r="Y233" s="994"/>
      <c r="Z233" s="994"/>
      <c r="AA233" s="994"/>
      <c r="AC233" s="994"/>
      <c r="AD233" s="994"/>
      <c r="AE233" s="994"/>
      <c r="AF233" s="994"/>
      <c r="AG233" s="994"/>
      <c r="AI233" s="994"/>
      <c r="AJ233" s="994"/>
      <c r="AK233" s="994"/>
    </row>
    <row r="234" spans="3:37" s="358" customFormat="1" x14ac:dyDescent="0.3">
      <c r="D234" s="994"/>
      <c r="E234" s="994"/>
      <c r="F234" s="994"/>
      <c r="G234" s="994"/>
      <c r="H234" s="994"/>
      <c r="K234" s="994"/>
      <c r="L234" s="994"/>
      <c r="M234" s="994"/>
      <c r="N234" s="994"/>
      <c r="O234" s="994"/>
      <c r="Q234" s="994"/>
      <c r="R234" s="994"/>
      <c r="S234" s="994"/>
      <c r="T234" s="994"/>
      <c r="U234" s="994"/>
      <c r="W234" s="994"/>
      <c r="X234" s="994"/>
      <c r="Y234" s="994"/>
      <c r="Z234" s="994"/>
      <c r="AA234" s="994"/>
      <c r="AC234" s="994"/>
      <c r="AD234" s="994"/>
      <c r="AE234" s="994"/>
      <c r="AF234" s="994"/>
      <c r="AG234" s="994"/>
      <c r="AI234" s="994"/>
      <c r="AJ234" s="994"/>
      <c r="AK234" s="994"/>
    </row>
    <row r="235" spans="3:37" s="358" customFormat="1" x14ac:dyDescent="0.3">
      <c r="O235" s="994"/>
      <c r="P235" s="994"/>
      <c r="Q235" s="994"/>
      <c r="R235" s="994"/>
      <c r="S235" s="994"/>
      <c r="U235" s="994"/>
      <c r="V235" s="994"/>
      <c r="W235" s="994"/>
      <c r="X235" s="994"/>
      <c r="Y235" s="994"/>
      <c r="AA235" s="994"/>
      <c r="AB235" s="994"/>
      <c r="AC235" s="994"/>
      <c r="AD235" s="994"/>
      <c r="AE235" s="994"/>
      <c r="AG235" s="994"/>
      <c r="AH235" s="994"/>
      <c r="AI235" s="994"/>
      <c r="AJ235" s="994"/>
      <c r="AK235" s="994"/>
    </row>
    <row r="236" spans="3:37" s="358" customFormat="1" x14ac:dyDescent="0.3"/>
    <row r="237" spans="3:37" s="358" customFormat="1" x14ac:dyDescent="0.3"/>
    <row r="238" spans="3:37" s="358" customFormat="1" x14ac:dyDescent="0.3"/>
    <row r="239" spans="3:37" s="358" customFormat="1" x14ac:dyDescent="0.3"/>
    <row r="240" spans="3:37" s="358" customFormat="1" x14ac:dyDescent="0.3"/>
    <row r="241" s="358" customFormat="1" x14ac:dyDescent="0.3"/>
    <row r="242" s="358" customFormat="1" x14ac:dyDescent="0.3"/>
    <row r="243" s="358" customFormat="1" x14ac:dyDescent="0.3"/>
    <row r="244" s="358" customFormat="1" x14ac:dyDescent="0.3"/>
    <row r="245" s="358" customFormat="1" x14ac:dyDescent="0.3"/>
    <row r="246" s="358" customFormat="1" x14ac:dyDescent="0.3"/>
    <row r="247" s="358" customFormat="1" x14ac:dyDescent="0.3"/>
    <row r="248" s="358" customFormat="1" x14ac:dyDescent="0.3"/>
    <row r="249" s="358" customFormat="1" x14ac:dyDescent="0.3"/>
    <row r="250" s="358" customFormat="1" x14ac:dyDescent="0.3"/>
    <row r="251" s="358" customFormat="1" x14ac:dyDescent="0.3"/>
    <row r="252" s="358" customFormat="1" x14ac:dyDescent="0.3"/>
    <row r="253" s="358" customFormat="1" x14ac:dyDescent="0.3"/>
    <row r="254" s="358" customFormat="1" x14ac:dyDescent="0.3"/>
    <row r="255" s="358" customFormat="1" x14ac:dyDescent="0.3"/>
    <row r="256" s="358" customFormat="1" x14ac:dyDescent="0.3"/>
    <row r="257" s="358" customFormat="1" x14ac:dyDescent="0.3"/>
    <row r="258" s="358" customFormat="1" x14ac:dyDescent="0.3"/>
    <row r="259" s="358" customFormat="1" x14ac:dyDescent="0.3"/>
    <row r="260" s="358" customFormat="1" x14ac:dyDescent="0.3"/>
    <row r="261" s="358" customFormat="1" x14ac:dyDescent="0.3"/>
    <row r="262" s="358" customFormat="1" x14ac:dyDescent="0.3"/>
    <row r="263" s="358" customFormat="1" x14ac:dyDescent="0.3"/>
    <row r="264" s="358" customFormat="1" x14ac:dyDescent="0.3"/>
    <row r="265" s="358" customFormat="1" x14ac:dyDescent="0.3"/>
    <row r="266" s="358" customFormat="1" x14ac:dyDescent="0.3"/>
    <row r="267" s="358" customFormat="1" x14ac:dyDescent="0.3"/>
    <row r="268" s="358" customFormat="1" x14ac:dyDescent="0.3"/>
    <row r="269" s="358" customFormat="1" x14ac:dyDescent="0.3"/>
    <row r="270" s="358" customFormat="1" x14ac:dyDescent="0.3"/>
    <row r="271" s="358" customFormat="1" x14ac:dyDescent="0.3"/>
    <row r="272" s="358" customFormat="1" x14ac:dyDescent="0.3"/>
    <row r="273" s="358" customFormat="1" x14ac:dyDescent="0.3"/>
    <row r="274" s="358" customFormat="1" x14ac:dyDescent="0.3"/>
    <row r="275" s="358" customFormat="1" x14ac:dyDescent="0.3"/>
    <row r="276" s="358" customFormat="1" x14ac:dyDescent="0.3"/>
    <row r="277" s="358" customFormat="1" x14ac:dyDescent="0.3"/>
    <row r="278" s="358" customFormat="1" x14ac:dyDescent="0.3"/>
    <row r="279" s="358" customFormat="1" x14ac:dyDescent="0.3"/>
    <row r="280" s="358" customFormat="1" x14ac:dyDescent="0.3"/>
    <row r="281" s="358" customFormat="1" x14ac:dyDescent="0.3"/>
    <row r="282" s="358" customFormat="1" x14ac:dyDescent="0.3"/>
    <row r="283" s="358" customFormat="1" x14ac:dyDescent="0.3"/>
    <row r="284" s="358" customFormat="1" x14ac:dyDescent="0.3"/>
    <row r="285" s="358" customFormat="1" x14ac:dyDescent="0.3"/>
    <row r="286" s="358" customFormat="1" x14ac:dyDescent="0.3"/>
    <row r="287" s="358" customFormat="1" x14ac:dyDescent="0.3"/>
    <row r="288" s="358" customFormat="1" x14ac:dyDescent="0.3"/>
    <row r="289" s="358" customFormat="1" x14ac:dyDescent="0.3"/>
    <row r="290" s="358" customFormat="1" x14ac:dyDescent="0.3"/>
    <row r="291" s="358" customFormat="1" x14ac:dyDescent="0.3"/>
    <row r="292" s="358" customFormat="1" x14ac:dyDescent="0.3"/>
    <row r="293" s="358" customFormat="1" x14ac:dyDescent="0.3"/>
    <row r="294" s="358" customFormat="1" x14ac:dyDescent="0.3"/>
    <row r="295" s="358" customFormat="1" x14ac:dyDescent="0.3"/>
    <row r="296" s="358" customFormat="1" x14ac:dyDescent="0.3"/>
    <row r="297" s="358" customFormat="1" x14ac:dyDescent="0.3"/>
    <row r="298" s="358" customFormat="1" x14ac:dyDescent="0.3"/>
    <row r="299" s="358" customFormat="1" x14ac:dyDescent="0.3"/>
    <row r="300" s="358" customFormat="1" x14ac:dyDescent="0.3"/>
    <row r="301" s="358" customFormat="1" x14ac:dyDescent="0.3"/>
    <row r="302" s="358" customFormat="1" x14ac:dyDescent="0.3"/>
    <row r="303" s="358" customFormat="1" x14ac:dyDescent="0.3"/>
    <row r="304" s="358" customFormat="1" x14ac:dyDescent="0.3"/>
    <row r="305" s="358" customFormat="1" x14ac:dyDescent="0.3"/>
    <row r="306" s="358" customFormat="1" x14ac:dyDescent="0.3"/>
    <row r="307" s="358" customFormat="1" x14ac:dyDescent="0.3"/>
    <row r="308" s="358" customFormat="1" x14ac:dyDescent="0.3"/>
    <row r="309" s="358" customFormat="1" x14ac:dyDescent="0.3"/>
    <row r="310" s="358" customFormat="1" x14ac:dyDescent="0.3"/>
    <row r="311" s="358" customFormat="1" x14ac:dyDescent="0.3"/>
    <row r="312" s="358" customFormat="1" x14ac:dyDescent="0.3"/>
    <row r="313" s="358" customFormat="1" x14ac:dyDescent="0.3"/>
    <row r="314" s="358" customFormat="1" x14ac:dyDescent="0.3"/>
    <row r="315" s="358" customFormat="1" x14ac:dyDescent="0.3"/>
    <row r="316" s="358" customFormat="1" x14ac:dyDescent="0.3"/>
    <row r="317" s="358" customFormat="1" x14ac:dyDescent="0.3"/>
    <row r="318" s="358" customFormat="1" x14ac:dyDescent="0.3"/>
    <row r="319" s="358" customFormat="1" x14ac:dyDescent="0.3"/>
    <row r="320" s="358" customFormat="1" x14ac:dyDescent="0.3"/>
    <row r="321" s="358" customFormat="1" x14ac:dyDescent="0.3"/>
    <row r="322" s="358" customFormat="1" x14ac:dyDescent="0.3"/>
    <row r="323" s="358" customFormat="1" x14ac:dyDescent="0.3"/>
    <row r="324" s="358" customFormat="1" x14ac:dyDescent="0.3"/>
    <row r="325" s="358" customFormat="1" x14ac:dyDescent="0.3"/>
    <row r="326" s="358" customFormat="1" x14ac:dyDescent="0.3"/>
    <row r="327" s="358" customFormat="1" x14ac:dyDescent="0.3"/>
    <row r="328" s="358" customFormat="1" x14ac:dyDescent="0.3"/>
    <row r="329" s="358" customFormat="1" x14ac:dyDescent="0.3"/>
    <row r="330" s="358" customFormat="1" x14ac:dyDescent="0.3"/>
    <row r="331" s="358" customFormat="1" x14ac:dyDescent="0.3"/>
    <row r="332" s="358" customFormat="1" x14ac:dyDescent="0.3"/>
    <row r="333" s="358" customFormat="1" x14ac:dyDescent="0.3"/>
    <row r="334" s="358" customFormat="1" x14ac:dyDescent="0.3"/>
    <row r="335" s="358" customFormat="1" x14ac:dyDescent="0.3"/>
    <row r="336" s="358" customFormat="1" x14ac:dyDescent="0.3"/>
    <row r="337" s="358" customFormat="1" x14ac:dyDescent="0.3"/>
    <row r="338" s="358" customFormat="1" x14ac:dyDescent="0.3"/>
    <row r="339" s="358" customFormat="1" x14ac:dyDescent="0.3"/>
    <row r="340" s="358" customFormat="1" x14ac:dyDescent="0.3"/>
    <row r="341" s="358" customFormat="1" x14ac:dyDescent="0.3"/>
    <row r="342" s="358" customFormat="1" x14ac:dyDescent="0.3"/>
    <row r="343" s="358" customFormat="1" x14ac:dyDescent="0.3"/>
    <row r="344" s="358" customFormat="1" x14ac:dyDescent="0.3"/>
    <row r="345" s="358" customFormat="1" x14ac:dyDescent="0.3"/>
    <row r="346" s="358" customFormat="1" x14ac:dyDescent="0.3"/>
    <row r="347" s="358" customFormat="1" x14ac:dyDescent="0.3"/>
    <row r="348" s="358" customFormat="1" x14ac:dyDescent="0.3"/>
    <row r="349" s="358" customFormat="1" x14ac:dyDescent="0.3"/>
    <row r="350" s="358" customFormat="1" x14ac:dyDescent="0.3"/>
    <row r="351" s="358" customFormat="1" x14ac:dyDescent="0.3"/>
    <row r="352" s="358" customFormat="1" x14ac:dyDescent="0.3"/>
    <row r="353" s="358" customFormat="1" x14ac:dyDescent="0.3"/>
    <row r="354" s="358" customFormat="1" x14ac:dyDescent="0.3"/>
    <row r="355" s="358" customFormat="1" x14ac:dyDescent="0.3"/>
    <row r="356" s="358" customFormat="1" x14ac:dyDescent="0.3"/>
    <row r="357" s="358" customFormat="1" x14ac:dyDescent="0.3"/>
    <row r="358" s="358" customFormat="1" x14ac:dyDescent="0.3"/>
    <row r="359" s="358" customFormat="1" x14ac:dyDescent="0.3"/>
    <row r="360" s="358" customFormat="1" x14ac:dyDescent="0.3"/>
    <row r="361" s="358" customFormat="1" x14ac:dyDescent="0.3"/>
    <row r="362" s="358" customFormat="1" x14ac:dyDescent="0.3"/>
    <row r="363" s="358" customFormat="1" x14ac:dyDescent="0.3"/>
    <row r="364" s="358" customFormat="1" x14ac:dyDescent="0.3"/>
    <row r="365" s="358" customFormat="1" x14ac:dyDescent="0.3"/>
    <row r="366" s="358" customFormat="1" x14ac:dyDescent="0.3"/>
    <row r="367" s="358" customFormat="1" x14ac:dyDescent="0.3"/>
    <row r="368" s="358" customFormat="1" x14ac:dyDescent="0.3"/>
    <row r="369" s="358" customFormat="1" x14ac:dyDescent="0.3"/>
    <row r="370" s="358" customFormat="1" x14ac:dyDescent="0.3"/>
    <row r="371" s="358" customFormat="1" x14ac:dyDescent="0.3"/>
    <row r="372" s="358" customFormat="1" x14ac:dyDescent="0.3"/>
    <row r="373" s="358" customFormat="1" x14ac:dyDescent="0.3"/>
    <row r="374" s="358" customFormat="1" x14ac:dyDescent="0.3"/>
    <row r="375" s="358" customFormat="1" x14ac:dyDescent="0.3"/>
    <row r="376" s="358" customFormat="1" x14ac:dyDescent="0.3"/>
    <row r="377" s="358" customFormat="1" x14ac:dyDescent="0.3"/>
    <row r="378" s="358" customFormat="1" x14ac:dyDescent="0.3"/>
    <row r="379" s="358" customFormat="1" x14ac:dyDescent="0.3"/>
    <row r="380" s="358" customFormat="1" x14ac:dyDescent="0.3"/>
    <row r="381" s="358" customFormat="1" x14ac:dyDescent="0.3"/>
    <row r="382" s="358" customFormat="1" x14ac:dyDescent="0.3"/>
    <row r="383" s="358" customFormat="1" x14ac:dyDescent="0.3"/>
    <row r="384" s="358" customFormat="1" x14ac:dyDescent="0.3"/>
    <row r="385" s="358" customFormat="1" x14ac:dyDescent="0.3"/>
    <row r="386" s="358" customFormat="1" x14ac:dyDescent="0.3"/>
    <row r="387" s="358" customFormat="1" x14ac:dyDescent="0.3"/>
    <row r="388" s="358" customFormat="1" x14ac:dyDescent="0.3"/>
    <row r="389" s="358" customFormat="1" x14ac:dyDescent="0.3"/>
    <row r="390" s="358" customFormat="1" x14ac:dyDescent="0.3"/>
    <row r="391" s="358" customFormat="1" x14ac:dyDescent="0.3"/>
    <row r="392" s="358" customFormat="1" x14ac:dyDescent="0.3"/>
    <row r="393" s="358" customFormat="1" x14ac:dyDescent="0.3"/>
    <row r="394" s="358" customFormat="1" x14ac:dyDescent="0.3"/>
    <row r="395" s="358" customFormat="1" x14ac:dyDescent="0.3"/>
    <row r="396" s="358" customFormat="1" x14ac:dyDescent="0.3"/>
    <row r="397" s="358" customFormat="1" x14ac:dyDescent="0.3"/>
    <row r="398" s="358" customFormat="1" x14ac:dyDescent="0.3"/>
    <row r="399" s="358" customFormat="1" x14ac:dyDescent="0.3"/>
    <row r="400" s="358" customFormat="1" x14ac:dyDescent="0.3"/>
    <row r="401" s="358" customFormat="1" x14ac:dyDescent="0.3"/>
    <row r="402" s="358" customFormat="1" x14ac:dyDescent="0.3"/>
    <row r="403" s="358" customFormat="1" x14ac:dyDescent="0.3"/>
    <row r="404" s="358" customFormat="1" x14ac:dyDescent="0.3"/>
    <row r="405" s="358" customFormat="1" x14ac:dyDescent="0.3"/>
    <row r="406" s="358" customFormat="1" x14ac:dyDescent="0.3"/>
    <row r="407" s="358" customFormat="1" x14ac:dyDescent="0.3"/>
    <row r="408" s="358" customFormat="1" x14ac:dyDescent="0.3"/>
    <row r="409" s="358" customFormat="1" x14ac:dyDescent="0.3"/>
    <row r="410" s="358" customFormat="1" x14ac:dyDescent="0.3"/>
    <row r="411" s="358" customFormat="1" x14ac:dyDescent="0.3"/>
    <row r="412" s="358" customFormat="1" x14ac:dyDescent="0.3"/>
    <row r="413" s="358" customFormat="1" x14ac:dyDescent="0.3"/>
    <row r="414" s="358" customFormat="1" x14ac:dyDescent="0.3"/>
    <row r="415" s="358" customFormat="1" x14ac:dyDescent="0.3"/>
    <row r="416" s="358" customFormat="1" x14ac:dyDescent="0.3"/>
    <row r="417" s="358" customFormat="1" x14ac:dyDescent="0.3"/>
    <row r="418" s="358" customFormat="1" x14ac:dyDescent="0.3"/>
    <row r="419" s="358" customFormat="1" x14ac:dyDescent="0.3"/>
    <row r="420" s="358" customFormat="1" x14ac:dyDescent="0.3"/>
    <row r="421" s="358" customFormat="1" x14ac:dyDescent="0.3"/>
    <row r="422" s="358" customFormat="1" x14ac:dyDescent="0.3"/>
    <row r="423" s="358" customFormat="1" x14ac:dyDescent="0.3"/>
    <row r="424" s="358" customFormat="1" x14ac:dyDescent="0.3"/>
    <row r="425" s="358" customFormat="1" x14ac:dyDescent="0.3"/>
    <row r="426" s="358" customFormat="1" x14ac:dyDescent="0.3"/>
    <row r="427" s="358" customFormat="1" x14ac:dyDescent="0.3"/>
    <row r="428" s="358" customFormat="1" x14ac:dyDescent="0.3"/>
    <row r="429" s="358" customFormat="1" x14ac:dyDescent="0.3"/>
    <row r="430" s="358" customFormat="1" x14ac:dyDescent="0.3"/>
    <row r="431" s="358" customFormat="1" x14ac:dyDescent="0.3"/>
    <row r="432" s="358" customFormat="1" x14ac:dyDescent="0.3"/>
    <row r="433" s="358" customFormat="1" x14ac:dyDescent="0.3"/>
    <row r="434" s="358" customFormat="1" x14ac:dyDescent="0.3"/>
    <row r="435" s="358" customFormat="1" x14ac:dyDescent="0.3"/>
    <row r="436" s="358" customFormat="1" x14ac:dyDescent="0.3"/>
    <row r="437" s="358" customFormat="1" x14ac:dyDescent="0.3"/>
    <row r="438" s="358" customFormat="1" x14ac:dyDescent="0.3"/>
    <row r="439" s="358" customFormat="1" x14ac:dyDescent="0.3"/>
    <row r="440" s="358" customFormat="1" x14ac:dyDescent="0.3"/>
    <row r="441" s="358" customFormat="1" x14ac:dyDescent="0.3"/>
    <row r="442" s="358" customFormat="1" x14ac:dyDescent="0.3"/>
    <row r="443" s="358" customFormat="1" x14ac:dyDescent="0.3"/>
    <row r="444" s="358" customFormat="1" x14ac:dyDescent="0.3"/>
    <row r="445" s="358" customFormat="1" x14ac:dyDescent="0.3"/>
    <row r="446" s="358" customFormat="1" x14ac:dyDescent="0.3"/>
    <row r="447" s="358" customFormat="1" x14ac:dyDescent="0.3"/>
    <row r="448" s="358" customFormat="1" x14ac:dyDescent="0.3"/>
    <row r="449" s="358" customFormat="1" x14ac:dyDescent="0.3"/>
    <row r="450" s="358" customFormat="1" x14ac:dyDescent="0.3"/>
    <row r="451" s="358" customFormat="1" x14ac:dyDescent="0.3"/>
    <row r="452" s="358" customFormat="1" x14ac:dyDescent="0.3"/>
    <row r="453" s="358" customFormat="1" x14ac:dyDescent="0.3"/>
    <row r="454" s="358" customFormat="1" x14ac:dyDescent="0.3"/>
    <row r="455" s="358" customFormat="1" x14ac:dyDescent="0.3"/>
    <row r="456" s="358" customFormat="1" x14ac:dyDescent="0.3"/>
    <row r="457" s="358" customFormat="1" x14ac:dyDescent="0.3"/>
    <row r="458" s="358" customFormat="1" x14ac:dyDescent="0.3"/>
    <row r="459" s="358" customFormat="1" x14ac:dyDescent="0.3"/>
    <row r="460" s="358" customFormat="1" x14ac:dyDescent="0.3"/>
    <row r="461" s="358" customFormat="1" x14ac:dyDescent="0.3"/>
    <row r="462" s="358" customFormat="1" x14ac:dyDescent="0.3"/>
    <row r="463" s="358" customFormat="1" x14ac:dyDescent="0.3"/>
    <row r="464" s="358" customFormat="1" x14ac:dyDescent="0.3"/>
    <row r="465" s="358" customFormat="1" x14ac:dyDescent="0.3"/>
    <row r="466" s="358" customFormat="1" x14ac:dyDescent="0.3"/>
    <row r="467" s="358" customFormat="1" x14ac:dyDescent="0.3"/>
    <row r="468" s="358" customFormat="1" x14ac:dyDescent="0.3"/>
  </sheetData>
  <sheetProtection algorithmName="SHA-512" hashValue="EG6XXDr08sfZIjV5E44ELQD9z0+jPJoO+LokjTTorYw1LRpSkuDk2Mx0989qgF5pkoxdkv5SjZKpuGN2E/yJQg==" saltValue="D2v4MlJpqBz1zuN5RamvBA==" spinCount="100000" sheet="1" objects="1" scenarios="1"/>
  <mergeCells count="38">
    <mergeCell ref="F23:G23"/>
    <mergeCell ref="I6:K6"/>
    <mergeCell ref="O6:Q6"/>
    <mergeCell ref="U6:W6"/>
    <mergeCell ref="AA6:AC6"/>
    <mergeCell ref="AG6:AI6"/>
    <mergeCell ref="I3:M3"/>
    <mergeCell ref="O3:S3"/>
    <mergeCell ref="U3:Y3"/>
    <mergeCell ref="AA3:AE3"/>
    <mergeCell ref="AG3:AK3"/>
    <mergeCell ref="K4:L4"/>
    <mergeCell ref="Q4:R4"/>
    <mergeCell ref="W4:X4"/>
    <mergeCell ref="AC4:AD4"/>
    <mergeCell ref="AI4:AJ4"/>
    <mergeCell ref="AC5:AD5"/>
    <mergeCell ref="AI5:AJ5"/>
    <mergeCell ref="W5:X5"/>
    <mergeCell ref="Q5:R5"/>
    <mergeCell ref="K5:L5"/>
    <mergeCell ref="AG2:AK2"/>
    <mergeCell ref="B1:D1"/>
    <mergeCell ref="I1:K1"/>
    <mergeCell ref="O1:Q1"/>
    <mergeCell ref="U1:W1"/>
    <mergeCell ref="AA1:AC1"/>
    <mergeCell ref="AG1:AI1"/>
    <mergeCell ref="B2:G2"/>
    <mergeCell ref="I2:M2"/>
    <mergeCell ref="O2:S2"/>
    <mergeCell ref="U2:Y2"/>
    <mergeCell ref="AA2:AE2"/>
    <mergeCell ref="AG23:AI23"/>
    <mergeCell ref="AA23:AC23"/>
    <mergeCell ref="U23:X23"/>
    <mergeCell ref="O23:R23"/>
    <mergeCell ref="I23:K23"/>
  </mergeCells>
  <conditionalFormatting sqref="B5:G5 B4:F4 B6:F6">
    <cfRule type="cellIs" dxfId="5" priority="10" operator="equal">
      <formula>0</formula>
    </cfRule>
  </conditionalFormatting>
  <conditionalFormatting sqref="M6">
    <cfRule type="cellIs" dxfId="4" priority="5" stopIfTrue="1" operator="equal">
      <formula>0</formula>
    </cfRule>
  </conditionalFormatting>
  <conditionalFormatting sqref="S6">
    <cfRule type="cellIs" dxfId="3" priority="4" stopIfTrue="1" operator="equal">
      <formula>0</formula>
    </cfRule>
  </conditionalFormatting>
  <conditionalFormatting sqref="Y6">
    <cfRule type="cellIs" dxfId="2" priority="3" stopIfTrue="1" operator="equal">
      <formula>0</formula>
    </cfRule>
  </conditionalFormatting>
  <conditionalFormatting sqref="AK6 AE6">
    <cfRule type="cellIs" dxfId="1" priority="2" stopIfTrue="1" operator="equal">
      <formula>0</formula>
    </cfRule>
  </conditionalFormatting>
  <conditionalFormatting sqref="G4 G6">
    <cfRule type="cellIs" dxfId="0" priority="1" operator="equal">
      <formula>0</formula>
    </cfRule>
  </conditionalFormatting>
  <dataValidations count="1">
    <dataValidation type="list" allowBlank="1" showInputMessage="1" showErrorMessage="1" sqref="L6 R6 X6 AD6 AJ6" xr:uid="{00000000-0002-0000-1100-000000000000}">
      <formula1>"mensuel,trimestriel,semestriel, annuel"</formula1>
    </dataValidation>
  </dataValidations>
  <hyperlinks>
    <hyperlink ref="B1:C1" location="'plan de financement initial'!H52" display="Retour au plan de financement initial" xr:uid="{00000000-0004-0000-1100-000000000000}"/>
    <hyperlink ref="B1:D1" location="'Plan de financement'!O44" display="Retour au plan de financement" xr:uid="{00000000-0004-0000-1100-000001000000}"/>
    <hyperlink ref="I1:K1" location="'Simulation emprunt'!I24" display="Voir tableau de remboursement" xr:uid="{00000000-0004-0000-1100-000002000000}"/>
    <hyperlink ref="O1:Q1" location="'Simulation emprunt'!O24" display="Voir tableau de remboursement" xr:uid="{00000000-0004-0000-1100-000003000000}"/>
    <hyperlink ref="AG1:AI1" location="'Simulation emprunt'!AG24" display="Voir tableau de remboursement" xr:uid="{00000000-0004-0000-1100-000004000000}"/>
    <hyperlink ref="AA1:AC1" location="'Simulation emprunt'!AA24" display="Voir tableau de remboursement" xr:uid="{00000000-0004-0000-1100-000005000000}"/>
    <hyperlink ref="U1:W1" location="'Simulation emprunt'!U24" display="Voir tableau de remboursement" xr:uid="{00000000-0004-0000-1100-000006000000}"/>
  </hyperlink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B1:AH23"/>
  <sheetViews>
    <sheetView showGridLines="0" showRowColHeaders="0" topLeftCell="H1" workbookViewId="0">
      <selection activeCell="T8" sqref="T8"/>
    </sheetView>
  </sheetViews>
  <sheetFormatPr baseColWidth="10" defaultColWidth="10.77734375" defaultRowHeight="13.8" x14ac:dyDescent="0.3"/>
  <cols>
    <col min="1" max="1" width="1" style="351" customWidth="1"/>
    <col min="2" max="2" width="48.77734375" style="351" customWidth="1"/>
    <col min="3" max="3" width="0.6640625" style="351" customWidth="1"/>
    <col min="4" max="6" width="11.77734375" style="351" customWidth="1"/>
    <col min="7" max="7" width="0.6640625" style="351" customWidth="1"/>
    <col min="8" max="10" width="8.77734375" style="351" customWidth="1"/>
    <col min="11" max="11" width="0.6640625" style="351" customWidth="1"/>
    <col min="12" max="14" width="8.77734375" style="351" customWidth="1"/>
    <col min="15" max="15" width="0.6640625" style="351" customWidth="1"/>
    <col min="16" max="18" width="8.77734375" style="351" customWidth="1"/>
    <col min="19" max="19" width="0.6640625" style="351" customWidth="1"/>
    <col min="20" max="22" width="8.77734375" style="351" customWidth="1"/>
    <col min="23" max="23" width="0.6640625" style="351" customWidth="1"/>
    <col min="24" max="26" width="8.77734375" style="351" customWidth="1"/>
    <col min="27" max="27" width="0.6640625" style="351" customWidth="1"/>
    <col min="28" max="30" width="8.77734375" style="351" customWidth="1"/>
    <col min="31" max="31" width="0.6640625" style="351" customWidth="1"/>
    <col min="32" max="34" width="8.77734375" style="351" customWidth="1"/>
    <col min="35" max="16384" width="10.77734375" style="351"/>
  </cols>
  <sheetData>
    <row r="1" spans="2:34" ht="21.9" customHeight="1" x14ac:dyDescent="0.3">
      <c r="B1" s="5405" t="str">
        <f>IF(ISBLANK(nom)," ",nom)</f>
        <v xml:space="preserve"> </v>
      </c>
      <c r="C1" s="5406"/>
      <c r="H1" s="5393" t="str">
        <f>IF(ISBLANK(An)," ",An+2)</f>
        <v xml:space="preserve"> </v>
      </c>
      <c r="I1" s="5394"/>
      <c r="J1" s="5395"/>
      <c r="K1" s="716"/>
      <c r="L1" s="5393" t="str">
        <f>IF(ISBLANK(An)," ",An+1)</f>
        <v xml:space="preserve"> </v>
      </c>
      <c r="M1" s="5394"/>
      <c r="N1" s="5395"/>
      <c r="O1" s="716"/>
      <c r="P1" s="5393" t="str">
        <f>IF(ISBLANK(An)," ",An)</f>
        <v xml:space="preserve"> </v>
      </c>
      <c r="Q1" s="5394"/>
      <c r="R1" s="5395"/>
      <c r="T1" s="5393" t="str">
        <f>IF(ISBLANK(exercice_1)," ",exercice_1)</f>
        <v xml:space="preserve"> </v>
      </c>
      <c r="U1" s="5394"/>
      <c r="V1" s="5395"/>
      <c r="X1" s="5393" t="str">
        <f>IF(ISBLANK(exercice_2)," ",exercice_2)</f>
        <v xml:space="preserve"> </v>
      </c>
      <c r="Y1" s="5394"/>
      <c r="Z1" s="5395"/>
      <c r="AB1" s="5393" t="str">
        <f>IF(ISBLANK(exercice_3)," ",exercice_3)</f>
        <v xml:space="preserve"> </v>
      </c>
      <c r="AC1" s="5394"/>
      <c r="AD1" s="5395"/>
      <c r="AF1" s="5393" t="str">
        <f>IF(ISBLANK(exercice_4)," ",exercice_4)</f>
        <v xml:space="preserve"> </v>
      </c>
      <c r="AG1" s="5394"/>
      <c r="AH1" s="5395"/>
    </row>
    <row r="2" spans="2:34" ht="20.100000000000001" customHeight="1" x14ac:dyDescent="0.3">
      <c r="B2" s="2537" t="s">
        <v>506</v>
      </c>
      <c r="H2" s="5396" t="str">
        <f>IF(durée_7=0," ",durée_7)</f>
        <v xml:space="preserve"> </v>
      </c>
      <c r="I2" s="5397"/>
      <c r="J2" s="5398"/>
      <c r="K2" s="840"/>
      <c r="L2" s="5396" t="str">
        <f>IF(durée_6=0," ",durée_6)</f>
        <v xml:space="preserve"> </v>
      </c>
      <c r="M2" s="5397"/>
      <c r="N2" s="5398"/>
      <c r="O2" s="840"/>
      <c r="P2" s="5396" t="str">
        <f>IF(durée_5=0," ",durée_5)</f>
        <v xml:space="preserve"> </v>
      </c>
      <c r="Q2" s="5397"/>
      <c r="R2" s="5398"/>
      <c r="S2" s="840"/>
      <c r="T2" s="5396" t="str">
        <f>IF(durée_1=0," ",durée_1)</f>
        <v xml:space="preserve"> </v>
      </c>
      <c r="U2" s="5397"/>
      <c r="V2" s="5398"/>
      <c r="W2" s="840"/>
      <c r="X2" s="5396" t="str">
        <f>IF(durée_2=0," ",durée_2)</f>
        <v xml:space="preserve"> </v>
      </c>
      <c r="Y2" s="5397"/>
      <c r="Z2" s="5398"/>
      <c r="AB2" s="5396" t="str">
        <f>IF(durée_3=0," ",durée_3)</f>
        <v xml:space="preserve"> </v>
      </c>
      <c r="AC2" s="5397"/>
      <c r="AD2" s="5398"/>
      <c r="AF2" s="5396" t="str">
        <f>IF(durée_4=0," ",durée_4)</f>
        <v xml:space="preserve"> </v>
      </c>
      <c r="AG2" s="5397"/>
      <c r="AH2" s="5398"/>
    </row>
    <row r="3" spans="2:34" s="352" customFormat="1" ht="20.100000000000001" customHeight="1" x14ac:dyDescent="0.25">
      <c r="B3" s="5407" t="s">
        <v>507</v>
      </c>
      <c r="D3" s="4031" t="s">
        <v>499</v>
      </c>
      <c r="E3" s="5410" t="s">
        <v>500</v>
      </c>
      <c r="F3" s="5411"/>
      <c r="G3" s="353"/>
      <c r="H3" s="5399" t="s">
        <v>503</v>
      </c>
      <c r="I3" s="5401" t="s">
        <v>504</v>
      </c>
      <c r="J3" s="5403" t="s">
        <v>505</v>
      </c>
      <c r="K3" s="353"/>
      <c r="L3" s="5399" t="s">
        <v>503</v>
      </c>
      <c r="M3" s="5401" t="s">
        <v>504</v>
      </c>
      <c r="N3" s="5403" t="s">
        <v>505</v>
      </c>
      <c r="O3" s="353"/>
      <c r="P3" s="5399" t="s">
        <v>503</v>
      </c>
      <c r="Q3" s="5401" t="s">
        <v>504</v>
      </c>
      <c r="R3" s="5403" t="s">
        <v>505</v>
      </c>
      <c r="S3" s="353"/>
      <c r="T3" s="5399" t="s">
        <v>503</v>
      </c>
      <c r="U3" s="5401" t="s">
        <v>504</v>
      </c>
      <c r="V3" s="5403" t="s">
        <v>505</v>
      </c>
      <c r="X3" s="5399" t="s">
        <v>503</v>
      </c>
      <c r="Y3" s="5401" t="s">
        <v>504</v>
      </c>
      <c r="Z3" s="5403" t="s">
        <v>505</v>
      </c>
      <c r="AB3" s="5399" t="s">
        <v>503</v>
      </c>
      <c r="AC3" s="5401" t="s">
        <v>504</v>
      </c>
      <c r="AD3" s="5403" t="s">
        <v>505</v>
      </c>
      <c r="AF3" s="5399" t="s">
        <v>503</v>
      </c>
      <c r="AG3" s="5401" t="s">
        <v>504</v>
      </c>
      <c r="AH3" s="5403" t="s">
        <v>505</v>
      </c>
    </row>
    <row r="4" spans="2:34" s="352" customFormat="1" ht="20.100000000000001" customHeight="1" x14ac:dyDescent="0.25">
      <c r="B4" s="5408"/>
      <c r="D4" s="5409"/>
      <c r="E4" s="2550" t="s">
        <v>501</v>
      </c>
      <c r="F4" s="2551" t="s">
        <v>502</v>
      </c>
      <c r="G4" s="353"/>
      <c r="H4" s="5400"/>
      <c r="I4" s="5402"/>
      <c r="J4" s="5404"/>
      <c r="K4" s="353"/>
      <c r="L4" s="5400"/>
      <c r="M4" s="5402"/>
      <c r="N4" s="5404"/>
      <c r="O4" s="353"/>
      <c r="P4" s="5400"/>
      <c r="Q4" s="5402"/>
      <c r="R4" s="5404"/>
      <c r="S4" s="353"/>
      <c r="T4" s="5400"/>
      <c r="U4" s="5402"/>
      <c r="V4" s="5404"/>
      <c r="X4" s="5400"/>
      <c r="Y4" s="5402"/>
      <c r="Z4" s="5404"/>
      <c r="AB4" s="5400"/>
      <c r="AC4" s="5402"/>
      <c r="AD4" s="5404"/>
      <c r="AF4" s="5400"/>
      <c r="AG4" s="5402"/>
      <c r="AH4" s="5404"/>
    </row>
    <row r="5" spans="2:34" s="350" customFormat="1" ht="20.100000000000001" customHeight="1" x14ac:dyDescent="0.25">
      <c r="B5" s="2534" t="s">
        <v>492</v>
      </c>
      <c r="C5" s="354"/>
      <c r="D5" s="2525">
        <v>0.56999999999999995</v>
      </c>
      <c r="E5" s="2531"/>
      <c r="F5" s="2528"/>
      <c r="G5" s="355"/>
      <c r="H5" s="2538"/>
      <c r="I5" s="2545"/>
      <c r="J5" s="2542" t="str">
        <f ca="1">IF(total_bilan_7=0," ",$D$5)</f>
        <v xml:space="preserve"> </v>
      </c>
      <c r="K5" s="355"/>
      <c r="L5" s="2538"/>
      <c r="M5" s="2545"/>
      <c r="N5" s="2542" t="str">
        <f ca="1">IF(total_bilan_6=0," ",$D$5)</f>
        <v xml:space="preserve"> </v>
      </c>
      <c r="O5" s="355"/>
      <c r="P5" s="2538"/>
      <c r="Q5" s="2545"/>
      <c r="R5" s="2542" t="str">
        <f ca="1">IF(total_bilan_5=0," ",$D$5)</f>
        <v xml:space="preserve"> </v>
      </c>
      <c r="S5" s="355"/>
      <c r="T5" s="2538"/>
      <c r="U5" s="2545"/>
      <c r="V5" s="2542" t="str">
        <f>IF(total_bilan_1=0," ",$D$5)</f>
        <v xml:space="preserve"> </v>
      </c>
      <c r="X5" s="2538"/>
      <c r="Y5" s="2545"/>
      <c r="Z5" s="2542" t="str">
        <f>IF(total_bilan_2=0," ",$D$5)</f>
        <v xml:space="preserve"> </v>
      </c>
      <c r="AB5" s="2538"/>
      <c r="AC5" s="2545"/>
      <c r="AD5" s="2542" t="str">
        <f>IF(total_bilan_3=0," ",$D$5)</f>
        <v xml:space="preserve"> </v>
      </c>
      <c r="AF5" s="2538"/>
      <c r="AG5" s="2545"/>
      <c r="AH5" s="2542" t="str">
        <f>IF(total_bilan_4=0," ",$D$5)</f>
        <v xml:space="preserve"> </v>
      </c>
    </row>
    <row r="6" spans="2:34" s="350" customFormat="1" ht="20.100000000000001" customHeight="1" x14ac:dyDescent="0.25">
      <c r="B6" s="2535" t="s">
        <v>493</v>
      </c>
      <c r="C6" s="354"/>
      <c r="D6" s="2526">
        <v>-6.3500000000000001E-2</v>
      </c>
      <c r="E6" s="2532">
        <v>0</v>
      </c>
      <c r="F6" s="2529">
        <v>100</v>
      </c>
      <c r="G6" s="355"/>
      <c r="H6" s="2539" t="str">
        <f ca="1">IF(ISERROR(IF(total_bilan_7=0," ",(i_7*100)/ebe_7))," ",IF(total_bilan_7=0," ",(i_7*100)/ebe_7))</f>
        <v xml:space="preserve"> </v>
      </c>
      <c r="I6" s="2546" t="str">
        <f ca="1">IF(total_bilan_7=0," ",IF(ebe_7&lt;0,100,IF(H6&lt;$E$6,$E$6,IF(H6&gt;$F$6,$F$6,H6))))</f>
        <v xml:space="preserve"> </v>
      </c>
      <c r="J6" s="2543" t="str">
        <f ca="1">IF(total_bilan_7=0," ",$D$6*I6)</f>
        <v xml:space="preserve"> </v>
      </c>
      <c r="K6" s="355"/>
      <c r="L6" s="2539" t="str">
        <f ca="1">IF(ISERROR(IF(total_bilan_6=0," ",(i_6*100)/ebe_6))," ",IF(total_bilan_6=0," ",(i_6*100)/ebe_6))</f>
        <v xml:space="preserve"> </v>
      </c>
      <c r="M6" s="2546" t="str">
        <f ca="1">IF(total_bilan_6=0," ",IF(ebe_6&lt;0,100,IF(L6&lt;$E$6,$E$6,IF(L6&gt;$F$6,$F$6,L6))))</f>
        <v xml:space="preserve"> </v>
      </c>
      <c r="N6" s="2543" t="str">
        <f ca="1">IF(total_bilan_6=0," ",$D$6*M6)</f>
        <v xml:space="preserve"> </v>
      </c>
      <c r="O6" s="355"/>
      <c r="P6" s="2539" t="str">
        <f ca="1">IF(ISERROR(IF(total_bilan_5=0," ",(i_5*100)/ebe_5))," ",IF(total_bilan_5=0," ",(i_5*100)/ebe_5))</f>
        <v xml:space="preserve"> </v>
      </c>
      <c r="Q6" s="2546" t="str">
        <f ca="1">IF(total_bilan_5=0," ",IF(ebe_5&lt;0,100,IF(P6&lt;$E$6,$E$6,IF(P6&gt;$F$6,$F$6,P6))))</f>
        <v xml:space="preserve"> </v>
      </c>
      <c r="R6" s="2543" t="str">
        <f ca="1">IF(total_bilan_5=0," ",$D$6*Q6)</f>
        <v xml:space="preserve"> </v>
      </c>
      <c r="S6" s="355"/>
      <c r="T6" s="2539" t="str">
        <f>IF(total_bilan_1=0," ",(i_1*100)/ebe_1)</f>
        <v xml:space="preserve"> </v>
      </c>
      <c r="U6" s="2546" t="str">
        <f>IF(total_bilan_1=0," ",IF(ebe_1&lt;0,100,IF(T6&lt;$E$6,$E$6,IF(T6&gt;$F$6,$F$6,T6))))</f>
        <v xml:space="preserve"> </v>
      </c>
      <c r="V6" s="2543" t="str">
        <f>IF(total_bilan_1=0," ",$D$6*U6)</f>
        <v xml:space="preserve"> </v>
      </c>
      <c r="X6" s="2539" t="str">
        <f>IF(total_bilan_2=0," ",(i_2*100)/ebe_2)</f>
        <v xml:space="preserve"> </v>
      </c>
      <c r="Y6" s="2546" t="str">
        <f>IF(total_bilan_2=0," ",IF(ebe_2&lt;0,100,IF(X6&lt;$E$6,$E$6,IF(X6&gt;$F$6,$F$6,X6))))</f>
        <v xml:space="preserve"> </v>
      </c>
      <c r="Z6" s="2543" t="str">
        <f>IF(total_bilan_2=0," ",$D$6*Y6)</f>
        <v xml:space="preserve"> </v>
      </c>
      <c r="AB6" s="2539" t="str">
        <f>IF(total_bilan_3=0," ",(i_3*100)/ebe_3)</f>
        <v xml:space="preserve"> </v>
      </c>
      <c r="AC6" s="2546" t="str">
        <f>IF(total_bilan_3=0," ",IF(ebe_3&lt;0,100,IF(AB6&lt;$E$6,$E$6,IF(AB6&gt;$F$6,$F$6,AB6))))</f>
        <v xml:space="preserve"> </v>
      </c>
      <c r="AD6" s="2543" t="str">
        <f>IF(total_bilan_3=0," ",$D$6*AC6)</f>
        <v xml:space="preserve"> </v>
      </c>
      <c r="AF6" s="2539" t="str">
        <f>IF(total_bilan_4=0," ",(i_4*100)/ebe_4)</f>
        <v xml:space="preserve"> </v>
      </c>
      <c r="AG6" s="2546" t="str">
        <f>IF(total_bilan_4=0," ",IF(ebe_4&lt;0,100,IF(AF6&lt;$E$6,$E$6,IF(AF6&gt;$F$6,$F$6,AF6))))</f>
        <v xml:space="preserve"> </v>
      </c>
      <c r="AH6" s="2543" t="str">
        <f>IF(total_bilan_4=0," ",$D$6*AG6)</f>
        <v xml:space="preserve"> </v>
      </c>
    </row>
    <row r="7" spans="2:34" s="350" customFormat="1" ht="20.100000000000001" customHeight="1" x14ac:dyDescent="0.25">
      <c r="B7" s="2535" t="s">
        <v>494</v>
      </c>
      <c r="C7" s="354"/>
      <c r="D7" s="2526">
        <v>1.83E-2</v>
      </c>
      <c r="E7" s="2532">
        <v>0</v>
      </c>
      <c r="F7" s="2529">
        <v>200</v>
      </c>
      <c r="G7" s="355"/>
      <c r="H7" s="2540" t="str">
        <f ca="1">IF(ISERROR(IF(total_bilan_7=0," ",réadispo_7*100/dct_7))," ",IF(total_bilan_7=0," ",réadispo_7*100/dct_7))</f>
        <v xml:space="preserve"> </v>
      </c>
      <c r="I7" s="2546" t="str">
        <f ca="1">IF(total_bilan_7=0," ",IF(H7&lt;$E$7,$E$7,IF(H7&gt;$F$7,$F$7,H7)))</f>
        <v xml:space="preserve"> </v>
      </c>
      <c r="J7" s="2543" t="str">
        <f ca="1">IF(total_bilan_7=0," ",$D$7*I7)</f>
        <v xml:space="preserve"> </v>
      </c>
      <c r="K7" s="355"/>
      <c r="L7" s="2540" t="str">
        <f ca="1">IF(ISERROR(IF(total_bilan_6=0," ",réadispo_6*100/dct_6))," ",IF(total_bilan_6=0," ",réadispo_6*100/dct_6))</f>
        <v xml:space="preserve"> </v>
      </c>
      <c r="M7" s="2546" t="str">
        <f ca="1">IF(total_bilan_6=0," ",IF(L7&lt;$E$7,$E$7,IF(L7&gt;$F$7,$F$7,L7)))</f>
        <v xml:space="preserve"> </v>
      </c>
      <c r="N7" s="2543" t="str">
        <f ca="1">IF(total_bilan_6=0," ",$D$7*M7)</f>
        <v xml:space="preserve"> </v>
      </c>
      <c r="O7" s="355"/>
      <c r="P7" s="2540" t="str">
        <f ca="1">IF(ISERROR(IF(total_bilan_5=0," ",réadispo_5*100/dct_5))," ",IF(total_bilan_5=0," ",réadispo_5*100/dct_5))</f>
        <v xml:space="preserve"> </v>
      </c>
      <c r="Q7" s="2546" t="str">
        <f ca="1">IF(total_bilan_5=0," ",IF(P7&lt;$E$7,$E$7,IF(P7&gt;$F$7,$F$7,P7)))</f>
        <v xml:space="preserve"> </v>
      </c>
      <c r="R7" s="2543" t="str">
        <f ca="1">IF(total_bilan_5=0," ",$D$7*Q7)</f>
        <v xml:space="preserve"> </v>
      </c>
      <c r="S7" s="355"/>
      <c r="T7" s="2540" t="str">
        <f>IF(total_bilan_1=0," ",(aa_1+créances_nettes_expl_1+cd_1+cf_1)*100/dct_1)</f>
        <v xml:space="preserve"> </v>
      </c>
      <c r="U7" s="2546" t="str">
        <f>IF(total_bilan_1=0," ",IF(T7&lt;$E$7,$E$7,IF(T7&gt;$F$7,$F$7,T7)))</f>
        <v xml:space="preserve"> </v>
      </c>
      <c r="V7" s="2543" t="str">
        <f>IF(total_bilan_1=0," ",$D$7*U7)</f>
        <v xml:space="preserve"> </v>
      </c>
      <c r="X7" s="2540" t="str">
        <f>IF(total_bilan_2=0," ",(aa_2+créances_nettes_expl_2+cd_2+cf_2)*100/dct_2)</f>
        <v xml:space="preserve"> </v>
      </c>
      <c r="Y7" s="2546" t="str">
        <f>IF(total_bilan_2=0," ",IF(X7&lt;$E$7,$E$7,IF(X7&gt;$F$7,$F$7,X7)))</f>
        <v xml:space="preserve"> </v>
      </c>
      <c r="Z7" s="2543" t="str">
        <f>IF(total_bilan_2=0," ",$D$7*Y7)</f>
        <v xml:space="preserve"> </v>
      </c>
      <c r="AB7" s="2540" t="str">
        <f>IF(total_bilan_3=0," ",(aa_3+créances_nettes_expl_3+cd_3+cf_3)*100/dct_3)</f>
        <v xml:space="preserve"> </v>
      </c>
      <c r="AC7" s="2546" t="str">
        <f>IF(total_bilan_3=0," ",IF(AB7&lt;$E$7,$E$7,IF(AB7&gt;$F$7,$F$7,AB7)))</f>
        <v xml:space="preserve"> </v>
      </c>
      <c r="AD7" s="2543" t="str">
        <f>IF(total_bilan_3=0," ",$D$7*AC7)</f>
        <v xml:space="preserve"> </v>
      </c>
      <c r="AF7" s="2540" t="str">
        <f>IF(total_bilan_4=0," ",(aa_4+créances_nettes_expl_4+cd_4+cf_4)*100/dct_4)</f>
        <v xml:space="preserve"> </v>
      </c>
      <c r="AG7" s="2546" t="str">
        <f>IF(total_bilan_4=0," ",IF(AF7&lt;$E$7,$E$7,IF(AF7&gt;$F$7,$F$7,AF7)))</f>
        <v xml:space="preserve"> </v>
      </c>
      <c r="AH7" s="2543" t="str">
        <f>IF(total_bilan_4=0," ",$D$7*AG7)</f>
        <v xml:space="preserve"> </v>
      </c>
    </row>
    <row r="8" spans="2:34" s="350" customFormat="1" ht="20.100000000000001" customHeight="1" x14ac:dyDescent="0.25">
      <c r="B8" s="2535" t="s">
        <v>495</v>
      </c>
      <c r="C8" s="354"/>
      <c r="D8" s="2526">
        <v>4.7100000000000003E-2</v>
      </c>
      <c r="E8" s="2532">
        <v>-25</v>
      </c>
      <c r="F8" s="2529">
        <v>100</v>
      </c>
      <c r="G8" s="355"/>
      <c r="H8" s="2540" t="str">
        <f ca="1">IF(ISERROR(IF(total_bilan_7=0," ",(cp_7*100)/total_bilan_7))," ",IF(total_bilan_7=0," ",(cp_7*100)/total_bilan_7))</f>
        <v xml:space="preserve"> </v>
      </c>
      <c r="I8" s="2546" t="str">
        <f ca="1">IF(total_bilan_7=0," ",IF(H8&lt;$E$8,$E$8,IF(H8&gt;$F$8,$F$8,H8)))</f>
        <v xml:space="preserve"> </v>
      </c>
      <c r="J8" s="2543" t="str">
        <f ca="1">IF(total_bilan_7=0," ",$D$8*I8)</f>
        <v xml:space="preserve"> </v>
      </c>
      <c r="K8" s="355"/>
      <c r="L8" s="2540" t="str">
        <f ca="1">IF(total_bilan_6=0," ",(cp_6*100)/total_bilan_6)</f>
        <v xml:space="preserve"> </v>
      </c>
      <c r="M8" s="2546" t="str">
        <f ca="1">IF(total_bilan_6=0," ",IF(L8&lt;$E$8,$E$8,IF(L8&gt;$F$8,$F$8,L8)))</f>
        <v xml:space="preserve"> </v>
      </c>
      <c r="N8" s="2543" t="str">
        <f ca="1">IF(total_bilan_6=0," ",$D$8*M8)</f>
        <v xml:space="preserve"> </v>
      </c>
      <c r="O8" s="355"/>
      <c r="P8" s="2540" t="str">
        <f ca="1">IF(total_bilan_5=0," ",(cp_5*100)/total_bilan_5)</f>
        <v xml:space="preserve"> </v>
      </c>
      <c r="Q8" s="2546" t="str">
        <f ca="1">IF(total_bilan_5=0," ",IF(P8&lt;$E$8,$E$8,IF(P8&gt;$F$8,$F$8,P8)))</f>
        <v xml:space="preserve"> </v>
      </c>
      <c r="R8" s="2543" t="str">
        <f ca="1">IF(total_bilan_5=0," ",$D$8*Q8)</f>
        <v xml:space="preserve"> </v>
      </c>
      <c r="S8" s="355"/>
      <c r="T8" s="2540" t="str">
        <f>IF(total_bilan_1=0," ",(cp_1*100)/total_bilan_1)</f>
        <v xml:space="preserve"> </v>
      </c>
      <c r="U8" s="2546" t="str">
        <f>IF(total_bilan_1=0," ",IF(T8&lt;$E$8,$E$8,IF(T8&gt;$F$8,$F$8,T8)))</f>
        <v xml:space="preserve"> </v>
      </c>
      <c r="V8" s="2543" t="str">
        <f>IF(total_bilan_1=0," ",$D$8*U8)</f>
        <v xml:space="preserve"> </v>
      </c>
      <c r="X8" s="2540" t="str">
        <f>IF(total_bilan_2=0," ",(cp_2*100)/total_bilan_2)</f>
        <v xml:space="preserve"> </v>
      </c>
      <c r="Y8" s="2546" t="str">
        <f>IF(total_bilan_2=0," ",IF(X8&lt;$E$8,$E$8,IF(X8&gt;$F$8,$F$8,X8)))</f>
        <v xml:space="preserve"> </v>
      </c>
      <c r="Z8" s="2543" t="str">
        <f>IF(total_bilan_2=0," ",$D$8*Y8)</f>
        <v xml:space="preserve"> </v>
      </c>
      <c r="AB8" s="2540" t="str">
        <f>IF(total_bilan_3=0," ",(cp_3*100)/total_bilan_3)</f>
        <v xml:space="preserve"> </v>
      </c>
      <c r="AC8" s="2546" t="str">
        <f>IF(total_bilan_3=0," ",IF(AB8&lt;$E$8,$E$8,IF(AB8&gt;$F$8,$F$8,AB8)))</f>
        <v xml:space="preserve"> </v>
      </c>
      <c r="AD8" s="2543" t="str">
        <f>IF(total_bilan_3=0," ",$D$8*AC8)</f>
        <v xml:space="preserve"> </v>
      </c>
      <c r="AF8" s="2540" t="str">
        <f>IF(total_bilan_4=0," ",(cp_4*100)/total_bilan_4)</f>
        <v xml:space="preserve"> </v>
      </c>
      <c r="AG8" s="2546" t="str">
        <f>IF(total_bilan_4=0," ",IF(AF8&lt;$E$8,$E$8,IF(AF8&gt;$F$8,$F$8,AF8)))</f>
        <v xml:space="preserve"> </v>
      </c>
      <c r="AH8" s="2543" t="str">
        <f>IF(total_bilan_4=0," ",$D$8*AG8)</f>
        <v xml:space="preserve"> </v>
      </c>
    </row>
    <row r="9" spans="2:34" s="350" customFormat="1" ht="20.100000000000001" customHeight="1" x14ac:dyDescent="0.25">
      <c r="B9" s="2535" t="s">
        <v>496</v>
      </c>
      <c r="C9" s="354"/>
      <c r="D9" s="2526">
        <v>-2.46E-2</v>
      </c>
      <c r="E9" s="2532">
        <v>0</v>
      </c>
      <c r="F9" s="2529">
        <v>100</v>
      </c>
      <c r="G9" s="355"/>
      <c r="H9" s="2539" t="str">
        <f ca="1">IF(ISERROR(IF(total_bilan_7=0," ",(va_7*100)/ca_7))," ",IF(total_bilan_7=0," ",(va_7*100)/ca_7))</f>
        <v xml:space="preserve"> </v>
      </c>
      <c r="I9" s="2546" t="str">
        <f ca="1">IF(total_bilan_7=0," ",IF(H9&lt;$E$9,$E$9,IF(H9&gt;$F$9,$F$9,H9)))</f>
        <v xml:space="preserve"> </v>
      </c>
      <c r="J9" s="2543" t="str">
        <f ca="1">IF(total_bilan_7=0," ",$D$9*I9)</f>
        <v xml:space="preserve"> </v>
      </c>
      <c r="K9" s="355"/>
      <c r="L9" s="2539" t="str">
        <f ca="1">IF(ISERROR(IF(total_bilan_6=0," ",(va_6*100)/ca_6))," ",IF(total_bilan_6=0," ",(va_6*100)/ca_6))</f>
        <v xml:space="preserve"> </v>
      </c>
      <c r="M9" s="2546" t="str">
        <f ca="1">IF(total_bilan_6=0," ",IF(L9&lt;$E$9,$E$9,IF(L9&gt;$F$9,$F$9,L9)))</f>
        <v xml:space="preserve"> </v>
      </c>
      <c r="N9" s="2543" t="str">
        <f ca="1">IF(total_bilan_6=0," ",$D$9*M9)</f>
        <v xml:space="preserve"> </v>
      </c>
      <c r="O9" s="355"/>
      <c r="P9" s="2539" t="str">
        <f ca="1">IF(ISERROR(IF(total_bilan_5=0," ",(va_5*100)/ca_5))," ",IF(total_bilan_5=0," ",(va_5*100)/ca_5))</f>
        <v xml:space="preserve"> </v>
      </c>
      <c r="Q9" s="2546" t="str">
        <f ca="1">IF(total_bilan_5=0," ",IF(P9&lt;$E$9,$E$9,IF(P9&gt;$F$9,$F$9,P9)))</f>
        <v xml:space="preserve"> </v>
      </c>
      <c r="R9" s="2543" t="str">
        <f ca="1">IF(total_bilan_5=0," ",$D$9*Q9)</f>
        <v xml:space="preserve"> </v>
      </c>
      <c r="S9" s="355"/>
      <c r="T9" s="2539" t="str">
        <f>IF(total_bilan_1=0," ",(va_1*100)/ca_1)</f>
        <v xml:space="preserve"> </v>
      </c>
      <c r="U9" s="2546" t="str">
        <f>IF(total_bilan_1=0," ",IF(T9&lt;$E$9,$E$9,IF(T9&gt;$F$9,$F$9,T9)))</f>
        <v xml:space="preserve"> </v>
      </c>
      <c r="V9" s="2543" t="str">
        <f>IF(total_bilan_1=0," ",$D$9*U9)</f>
        <v xml:space="preserve"> </v>
      </c>
      <c r="X9" s="2539" t="str">
        <f>IF(total_bilan_2=0," ",(va_2*100)/ca_2)</f>
        <v xml:space="preserve"> </v>
      </c>
      <c r="Y9" s="2546" t="str">
        <f>IF(total_bilan_2=0," ",IF(X9&lt;$E$9,$E$9,IF(X9&gt;$F$9,$F$9,X9)))</f>
        <v xml:space="preserve"> </v>
      </c>
      <c r="Z9" s="2543" t="str">
        <f>IF(total_bilan_2=0," ",$D$9*Y9)</f>
        <v xml:space="preserve"> </v>
      </c>
      <c r="AB9" s="2539" t="str">
        <f>IF(total_bilan_3=0," ",(va_3*100)/ca_3)</f>
        <v xml:space="preserve"> </v>
      </c>
      <c r="AC9" s="2546" t="str">
        <f>IF(total_bilan_3=0," ",IF(AB9&lt;$E$9,$E$9,IF(AB9&gt;$F$9,$F$9,AB9)))</f>
        <v xml:space="preserve"> </v>
      </c>
      <c r="AD9" s="2543" t="str">
        <f>IF(total_bilan_3=0," ",$D$9*AC9)</f>
        <v xml:space="preserve"> </v>
      </c>
      <c r="AF9" s="2539" t="str">
        <f>IF(total_bilan_4=0," ",(va_4*100)/ca_4)</f>
        <v xml:space="preserve"> </v>
      </c>
      <c r="AG9" s="2546" t="str">
        <f>IF(total_bilan_4=0," ",IF(AF9&lt;$E$9,$E$9,IF(AF9&gt;$F$9,$F$9,AF9)))</f>
        <v xml:space="preserve"> </v>
      </c>
      <c r="AH9" s="2543" t="str">
        <f>IF(total_bilan_4=0," ",$D$9*AG9)</f>
        <v xml:space="preserve"> </v>
      </c>
    </row>
    <row r="10" spans="2:34" s="350" customFormat="1" ht="20.100000000000001" customHeight="1" x14ac:dyDescent="0.25">
      <c r="B10" s="2535" t="s">
        <v>497</v>
      </c>
      <c r="C10" s="354"/>
      <c r="D10" s="2526">
        <v>1.15E-2</v>
      </c>
      <c r="E10" s="2532">
        <v>-100</v>
      </c>
      <c r="F10" s="2529">
        <v>100</v>
      </c>
      <c r="G10" s="355"/>
      <c r="H10" s="2540" t="str">
        <f ca="1">IF(ISERROR(IF(total_bilan_7=0," ",(tr_7*durée_7*30)/ca_7))," ",IF(total_bilan_7=0," ",(tr_7*durée_7*30)/ca_7))</f>
        <v xml:space="preserve"> </v>
      </c>
      <c r="I10" s="2546" t="str">
        <f ca="1">IF(total_bilan_7=0," ",IF(H10&lt;$E$10,$E$127,IF(H10&gt;$F$10,$F$10,H10)))</f>
        <v xml:space="preserve"> </v>
      </c>
      <c r="J10" s="2543" t="str">
        <f ca="1">IF(total_bilan_7=0," ",$D$10*I10)</f>
        <v xml:space="preserve"> </v>
      </c>
      <c r="K10" s="355"/>
      <c r="L10" s="2540" t="str">
        <f ca="1">IF(ISERROR(IF(total_bilan_6=0," ",(tr_6*durée_6*30)/ca_6))," ",IF(total_bilan_6=0," ",(tr_6*durée_6*30)/ca_6))</f>
        <v xml:space="preserve"> </v>
      </c>
      <c r="M10" s="2546" t="str">
        <f ca="1">IF(total_bilan_6=0," ",IF(L10&lt;$E$10,$E$127,IF(L10&gt;$F$10,$F$10,L10)))</f>
        <v xml:space="preserve"> </v>
      </c>
      <c r="N10" s="2543" t="str">
        <f ca="1">IF(total_bilan_6=0," ",$D$10*M10)</f>
        <v xml:space="preserve"> </v>
      </c>
      <c r="O10" s="355"/>
      <c r="P10" s="2540" t="str">
        <f ca="1">IF(ISERROR(IF(total_bilan_5=0," ",(tr_5*durée_1*30)/ca_5))," ",IF(total_bilan_5=0," ",(tr_5*durée_1*30)/ca_5))</f>
        <v xml:space="preserve"> </v>
      </c>
      <c r="Q10" s="2546" t="str">
        <f ca="1">IF(total_bilan_5=0," ",IF(P10&lt;$E$10,$E$127,IF(P10&gt;$F$10,$F$10,P10)))</f>
        <v xml:space="preserve"> </v>
      </c>
      <c r="R10" s="2543" t="str">
        <f ca="1">IF(total_bilan_5=0," ",$D$10*Q10)</f>
        <v xml:space="preserve"> </v>
      </c>
      <c r="S10" s="355"/>
      <c r="T10" s="2540" t="str">
        <f>IF(total_bilan_1=0," ",(tr_1*durée_1*30)/ca_1)</f>
        <v xml:space="preserve"> </v>
      </c>
      <c r="U10" s="2546" t="str">
        <f>IF(total_bilan_1=0," ",IF(T10&lt;$E$10,$E$127,IF(T10&gt;$F$10,$F$10,T10)))</f>
        <v xml:space="preserve"> </v>
      </c>
      <c r="V10" s="2543" t="str">
        <f>IF(total_bilan_1=0," ",$D$10*U10)</f>
        <v xml:space="preserve"> </v>
      </c>
      <c r="X10" s="2540" t="str">
        <f>IF(total_bilan_2=0," ",(tr_2*durée_2*30)/ca_2)</f>
        <v xml:space="preserve"> </v>
      </c>
      <c r="Y10" s="2546" t="str">
        <f>IF(total_bilan_2=0," ",IF(X10&lt;$E$10,$E$127,IF(X10&gt;$F$10,$F$10,X10)))</f>
        <v xml:space="preserve"> </v>
      </c>
      <c r="Z10" s="2543" t="str">
        <f>IF(total_bilan_2=0," ",$D$10*Y10)</f>
        <v xml:space="preserve"> </v>
      </c>
      <c r="AB10" s="2540" t="str">
        <f>IF(total_bilan_3=0," ",(tr_3*durée_3*30)/ca_3)</f>
        <v xml:space="preserve"> </v>
      </c>
      <c r="AC10" s="2546" t="str">
        <f>IF(total_bilan_3=0," ",IF(AB10&lt;$E$10,$E$127,IF(AB10&gt;$F$10,$F$10,AB10)))</f>
        <v xml:space="preserve"> </v>
      </c>
      <c r="AD10" s="2543" t="str">
        <f>IF(total_bilan_3=0," ",$D$10*AC10)</f>
        <v xml:space="preserve"> </v>
      </c>
      <c r="AF10" s="2540" t="str">
        <f>IF(total_bilan_4=0," ",(tr_4*durée_4*30)/ca_4)</f>
        <v xml:space="preserve"> </v>
      </c>
      <c r="AG10" s="2546" t="str">
        <f>IF(total_bilan_4=0," ",IF(AF10&lt;$E$10,$E$127,IF(AF10&gt;$F$10,$F$10,AF10)))</f>
        <v xml:space="preserve"> </v>
      </c>
      <c r="AH10" s="2543" t="str">
        <f>IF(total_bilan_4=0," ",$D$10*AG10)</f>
        <v xml:space="preserve"> </v>
      </c>
    </row>
    <row r="11" spans="2:34" s="350" customFormat="1" ht="20.100000000000001" customHeight="1" x14ac:dyDescent="0.25">
      <c r="B11" s="2536" t="s">
        <v>498</v>
      </c>
      <c r="C11" s="354"/>
      <c r="D11" s="2527">
        <v>-9.5999999999999992E-3</v>
      </c>
      <c r="E11" s="2533">
        <v>-100</v>
      </c>
      <c r="F11" s="2530">
        <v>150</v>
      </c>
      <c r="G11" s="355"/>
      <c r="H11" s="2541" t="str">
        <f ca="1">IF(ISERROR(IF(total_bilan_7=0," ",fr_5*durée_5*30/ca_5))," ",IF(total_bilan_7=0," ",fr_5*durée_5*30/ca_5))</f>
        <v xml:space="preserve"> </v>
      </c>
      <c r="I11" s="2547" t="str">
        <f ca="1">IF(total_bilan_7=0," ",IF(H11&lt;$E$11,$E$11,IF(H11&gt;$F$11,$F$11,H11)))</f>
        <v xml:space="preserve"> </v>
      </c>
      <c r="J11" s="2544" t="str">
        <f ca="1">IF(total_bilan_7=0," ",$D$11*I11)</f>
        <v xml:space="preserve"> </v>
      </c>
      <c r="K11" s="355"/>
      <c r="L11" s="2541" t="str">
        <f ca="1">IF(ISERROR(IF(total_bilan_6=0," ",fr_6*durée_6*30/ca_6))," ",IF(total_bilan_6=0," ",fr_6*durée_6*30/ca_6))</f>
        <v xml:space="preserve"> </v>
      </c>
      <c r="M11" s="2547" t="str">
        <f ca="1">IF(total_bilan_6=0," ",IF(L11&lt;$E$11,$E$11,IF(L11&gt;$F$11,$F$11,L11)))</f>
        <v xml:space="preserve"> </v>
      </c>
      <c r="N11" s="2544" t="str">
        <f ca="1">IF(total_bilan_6=0," ",$D$11*M11)</f>
        <v xml:space="preserve"> </v>
      </c>
      <c r="O11" s="355"/>
      <c r="P11" s="2541" t="str">
        <f ca="1">IF(ISERROR(IF(total_bilan_5=0," ",fr_5*durée_5*30/ca_5))," ",IF(total_bilan_5=0," ",fr_5*durée_5*30/ca_5))</f>
        <v xml:space="preserve"> </v>
      </c>
      <c r="Q11" s="2547" t="str">
        <f ca="1">IF(total_bilan_5=0," ",IF(P11&lt;$E$11,$E$11,IF(P11&gt;$F$11,$F$11,P11)))</f>
        <v xml:space="preserve"> </v>
      </c>
      <c r="R11" s="2544" t="str">
        <f ca="1">IF(total_bilan_5=0," ",$D$11*Q11)</f>
        <v xml:space="preserve"> </v>
      </c>
      <c r="S11" s="355"/>
      <c r="T11" s="2541" t="str">
        <f>IF(total_bilan_1=0," ",fr_1*durée_1*30/ca_1)</f>
        <v xml:space="preserve"> </v>
      </c>
      <c r="U11" s="2547" t="str">
        <f>IF(total_bilan_1=0," ",IF(T11&lt;$E$11,$E$11,IF(T11&gt;$F$11,$F$11,T11)))</f>
        <v xml:space="preserve"> </v>
      </c>
      <c r="V11" s="2544" t="str">
        <f>IF(total_bilan_1=0," ",$D$11*U11)</f>
        <v xml:space="preserve"> </v>
      </c>
      <c r="X11" s="2541" t="str">
        <f>IF(total_bilan_2=0," ",fr_2*durée_2*30/ca_2)</f>
        <v xml:space="preserve"> </v>
      </c>
      <c r="Y11" s="2547" t="str">
        <f>IF(total_bilan_2=0," ",IF(X11&lt;$E$11,$E$11,IF(X11&gt;$F$11,$F$11,X11)))</f>
        <v xml:space="preserve"> </v>
      </c>
      <c r="Z11" s="2544" t="str">
        <f>IF(total_bilan_2=0," ",$D$11*Y11)</f>
        <v xml:space="preserve"> </v>
      </c>
      <c r="AB11" s="2541" t="str">
        <f>IF(total_bilan_3=0," ",fr_3*durée_3*30/ca_3)</f>
        <v xml:space="preserve"> </v>
      </c>
      <c r="AC11" s="2547" t="str">
        <f>IF(total_bilan_3=0," ",IF(AB11&lt;$E$11,$E$11,IF(AB11&gt;$F$11,$F$11,AB11)))</f>
        <v xml:space="preserve"> </v>
      </c>
      <c r="AD11" s="2544" t="str">
        <f>IF(total_bilan_3=0," ",$D$11*AC11)</f>
        <v xml:space="preserve"> </v>
      </c>
      <c r="AF11" s="2541" t="str">
        <f>IF(total_bilan_4=0," ",fr_4*durée_4*30/ca_4)</f>
        <v xml:space="preserve"> </v>
      </c>
      <c r="AG11" s="2547" t="str">
        <f>IF(total_bilan_4=0," ",IF(AF11&lt;$E$11,$E$11,IF(AF11&gt;$F$11,$F$11,AF11)))</f>
        <v xml:space="preserve"> </v>
      </c>
      <c r="AH11" s="2544" t="str">
        <f>IF(total_bilan_4=0," ",$D$11*AG11)</f>
        <v xml:space="preserve"> </v>
      </c>
    </row>
    <row r="12" spans="2:34" s="350" customFormat="1" ht="6" customHeight="1" x14ac:dyDescent="0.25"/>
    <row r="13" spans="2:34" s="350" customFormat="1" ht="20.100000000000001" customHeight="1" x14ac:dyDescent="0.25">
      <c r="H13" s="5389" t="str">
        <f>IF(total_bilan_1=0," ","Score")</f>
        <v xml:space="preserve"> </v>
      </c>
      <c r="I13" s="5390"/>
      <c r="J13" s="2548" t="str">
        <f>IF(total_bilan_1=0," ",SUM(J5:J11))</f>
        <v xml:space="preserve"> </v>
      </c>
      <c r="L13" s="5389" t="str">
        <f>IF(total_bilan_1=0," ","Score")</f>
        <v xml:space="preserve"> </v>
      </c>
      <c r="M13" s="5390"/>
      <c r="N13" s="2548" t="str">
        <f>IF(total_bilan_1=0," ",SUM(N5:N11))</f>
        <v xml:space="preserve"> </v>
      </c>
      <c r="P13" s="5389" t="str">
        <f>IF(total_bilan_1=0," ","Score")</f>
        <v xml:space="preserve"> </v>
      </c>
      <c r="Q13" s="5390"/>
      <c r="R13" s="2548" t="str">
        <f>IF(total_bilan_1=0," ",SUM(R5:R11))</f>
        <v xml:space="preserve"> </v>
      </c>
      <c r="T13" s="5389" t="str">
        <f>IF(total_bilan_1=0," ","Score")</f>
        <v xml:space="preserve"> </v>
      </c>
      <c r="U13" s="5390"/>
      <c r="V13" s="2548" t="str">
        <f>IF(total_bilan_1=0," ",SUM(V5:V11))</f>
        <v xml:space="preserve"> </v>
      </c>
      <c r="W13" s="391"/>
      <c r="X13" s="5389" t="str">
        <f>IF(total_bilan_2=0," ","Score")</f>
        <v xml:space="preserve"> </v>
      </c>
      <c r="Y13" s="5390"/>
      <c r="Z13" s="2548" t="str">
        <f>IF(total_bilan_2=0," ",SUM(Z5:Z11))</f>
        <v xml:space="preserve"> </v>
      </c>
      <c r="AA13" s="391"/>
      <c r="AB13" s="5389" t="str">
        <f>IF(total_bilan_3=0," ","Score")</f>
        <v xml:space="preserve"> </v>
      </c>
      <c r="AC13" s="5390"/>
      <c r="AD13" s="2548" t="str">
        <f>IF(total_bilan_3=0," ",SUM(AD5:AD11))</f>
        <v xml:space="preserve"> </v>
      </c>
      <c r="AE13" s="391"/>
      <c r="AF13" s="5389" t="str">
        <f>IF(total_bilan_4=0," ","Score")</f>
        <v xml:space="preserve"> </v>
      </c>
      <c r="AG13" s="5390"/>
      <c r="AH13" s="2548" t="str">
        <f>IF(total_bilan_4=0," ",SUM(AH5:AH11))</f>
        <v xml:space="preserve"> </v>
      </c>
    </row>
    <row r="14" spans="2:34" s="350" customFormat="1" ht="5.0999999999999996" customHeight="1" x14ac:dyDescent="0.25">
      <c r="H14" s="391"/>
      <c r="I14" s="391"/>
      <c r="J14" s="391"/>
      <c r="L14" s="391"/>
      <c r="M14" s="391"/>
      <c r="N14" s="391"/>
      <c r="P14" s="391"/>
      <c r="Q14" s="391"/>
      <c r="R14" s="391"/>
      <c r="T14" s="391"/>
      <c r="U14" s="391"/>
      <c r="V14" s="391"/>
      <c r="W14" s="391"/>
      <c r="X14" s="391"/>
      <c r="Y14" s="391"/>
      <c r="Z14" s="391"/>
      <c r="AA14" s="391"/>
      <c r="AB14" s="391"/>
      <c r="AC14" s="391"/>
      <c r="AD14" s="391"/>
      <c r="AE14" s="391"/>
      <c r="AF14" s="391"/>
      <c r="AG14" s="391"/>
      <c r="AH14" s="391"/>
    </row>
    <row r="15" spans="2:34" s="356" customFormat="1" ht="30" customHeight="1" x14ac:dyDescent="0.25">
      <c r="H15" s="5391" t="s">
        <v>777</v>
      </c>
      <c r="I15" s="5392"/>
      <c r="J15" s="2549" t="str">
        <f ca="1">IF(total_bilan_7=0," ",IF(J13&lt;=-4.01,"très élevé",IF(J13&lt;=-2.57,"élevé",IF(J13&lt;=1.26,"moyen",IF(J13&lt;=2.1,"faible",IF(J13&lt;=2.86,"très faible","nul"))))))</f>
        <v xml:space="preserve"> </v>
      </c>
      <c r="L15" s="5391" t="s">
        <v>777</v>
      </c>
      <c r="M15" s="5392"/>
      <c r="N15" s="2549" t="str">
        <f ca="1">IF(total_bilan_6=0," ",IF(N13&lt;=-4.01,"très élevé",IF(N13&lt;=-2.57,"élevé",IF(N13&lt;=1.26,"moyen",IF(N13&lt;=2.1,"faible",IF(N13&lt;=2.86,"très faible","nul"))))))</f>
        <v xml:space="preserve"> </v>
      </c>
      <c r="P15" s="5391" t="s">
        <v>777</v>
      </c>
      <c r="Q15" s="5392"/>
      <c r="R15" s="2549" t="str">
        <f ca="1">IF(total_bilan_5=0," ",IF(R13&lt;=-4.01,"très élevé",IF(R13&lt;=-2.57,"élevé",IF(R13&lt;=1.26,"moyen",IF(R13&lt;=2.1,"faible",IF(R13&lt;=2.86,"très faible","nul"))))))</f>
        <v xml:space="preserve"> </v>
      </c>
      <c r="T15" s="5391" t="s">
        <v>777</v>
      </c>
      <c r="U15" s="5392"/>
      <c r="V15" s="2549" t="str">
        <f>IF(total_bilan_1=0," ",IF(V13&lt;=-4.01,"très élevé",IF(V13&lt;=-2.57,"élevé",IF(V13&lt;=1.26,"moyen",IF(V13&lt;=2.1,"faible",IF(V13&lt;=2.86,"très faible","nul"))))))</f>
        <v xml:space="preserve"> </v>
      </c>
      <c r="W15" s="717"/>
      <c r="X15" s="5391" t="s">
        <v>777</v>
      </c>
      <c r="Y15" s="5392"/>
      <c r="Z15" s="2549" t="str">
        <f>IF(total_bilan_2=0," ",IF(Z13&lt;=-4.01,"très élevé",IF(Z13&lt;=-2.57,"élevé",IF(Z13&lt;=1.26,"moyen",IF(Z13&lt;=2.1,"faible",IF(Z13&lt;=2.86,"très faible","nul"))))))</f>
        <v xml:space="preserve"> </v>
      </c>
      <c r="AA15" s="717"/>
      <c r="AB15" s="5391" t="s">
        <v>777</v>
      </c>
      <c r="AC15" s="5392"/>
      <c r="AD15" s="2549" t="str">
        <f>IF(total_bilan_3=0," ",IF(AD13&lt;=-4.01,"très élevé",IF(AD13&lt;=-2.57,"élevé",IF(AD13&lt;=1.26,"moyen",IF(AD13&lt;=2.1,"faible",IF(AD13&lt;=2.86,"très faible","nul"))))))</f>
        <v xml:space="preserve"> </v>
      </c>
      <c r="AE15" s="717"/>
      <c r="AF15" s="5391" t="s">
        <v>777</v>
      </c>
      <c r="AG15" s="5392"/>
      <c r="AH15" s="2549" t="str">
        <f>IF(total_bilan_4=0," ",IF(AH13&lt;=-4.01,"très élevé",IF(AH13&lt;=-2.57,"élevé",IF(AH13&lt;=1.26,"moyen",IF(AH13&lt;=2.1,"faible",IF(AH13&lt;=2.86,"très faible","nul"))))))</f>
        <v xml:space="preserve"> </v>
      </c>
    </row>
    <row r="16" spans="2:34" s="350" customFormat="1" ht="20.100000000000001" customHeight="1" x14ac:dyDescent="0.25"/>
    <row r="17" s="350" customFormat="1" ht="20.100000000000001" customHeight="1" x14ac:dyDescent="0.25"/>
    <row r="18" s="350" customFormat="1" ht="20.100000000000001" customHeight="1" x14ac:dyDescent="0.25"/>
    <row r="19" s="350" customFormat="1" ht="20.100000000000001" customHeight="1" x14ac:dyDescent="0.25"/>
    <row r="20" s="350" customFormat="1" ht="20.100000000000001" customHeight="1" x14ac:dyDescent="0.25"/>
    <row r="21" s="350" customFormat="1" ht="20.100000000000001" customHeight="1" x14ac:dyDescent="0.25"/>
    <row r="22" s="350" customFormat="1" ht="20.100000000000001" customHeight="1" x14ac:dyDescent="0.25"/>
    <row r="23" s="350" customFormat="1" ht="20.100000000000001" customHeight="1" x14ac:dyDescent="0.25"/>
  </sheetData>
  <mergeCells count="53">
    <mergeCell ref="P13:Q13"/>
    <mergeCell ref="P15:Q15"/>
    <mergeCell ref="P1:R1"/>
    <mergeCell ref="P2:R2"/>
    <mergeCell ref="P3:P4"/>
    <mergeCell ref="Q3:Q4"/>
    <mergeCell ref="R3:R4"/>
    <mergeCell ref="AF1:AH1"/>
    <mergeCell ref="T2:V2"/>
    <mergeCell ref="X2:Z2"/>
    <mergeCell ref="AB2:AD2"/>
    <mergeCell ref="AF2:AH2"/>
    <mergeCell ref="T3:T4"/>
    <mergeCell ref="U3:U4"/>
    <mergeCell ref="T1:V1"/>
    <mergeCell ref="X1:Z1"/>
    <mergeCell ref="AB1:AD1"/>
    <mergeCell ref="AH3:AH4"/>
    <mergeCell ref="V3:V4"/>
    <mergeCell ref="Y3:Y4"/>
    <mergeCell ref="Z3:Z4"/>
    <mergeCell ref="AB3:AB4"/>
    <mergeCell ref="AC3:AC4"/>
    <mergeCell ref="T15:U15"/>
    <mergeCell ref="X15:Y15"/>
    <mergeCell ref="AF15:AG15"/>
    <mergeCell ref="AB15:AC15"/>
    <mergeCell ref="B1:C1"/>
    <mergeCell ref="T13:U13"/>
    <mergeCell ref="X13:Y13"/>
    <mergeCell ref="AB13:AC13"/>
    <mergeCell ref="X3:X4"/>
    <mergeCell ref="AF13:AG13"/>
    <mergeCell ref="AD3:AD4"/>
    <mergeCell ref="AF3:AF4"/>
    <mergeCell ref="AG3:AG4"/>
    <mergeCell ref="B3:B4"/>
    <mergeCell ref="D3:D4"/>
    <mergeCell ref="E3:F3"/>
    <mergeCell ref="L13:M13"/>
    <mergeCell ref="L15:M15"/>
    <mergeCell ref="H1:J1"/>
    <mergeCell ref="H2:J2"/>
    <mergeCell ref="H3:H4"/>
    <mergeCell ref="I3:I4"/>
    <mergeCell ref="J3:J4"/>
    <mergeCell ref="H13:I13"/>
    <mergeCell ref="H15:I15"/>
    <mergeCell ref="L1:N1"/>
    <mergeCell ref="L2:N2"/>
    <mergeCell ref="L3:L4"/>
    <mergeCell ref="M3:M4"/>
    <mergeCell ref="N3:N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tabColor indexed="53"/>
  </sheetPr>
  <dimension ref="B1:P112"/>
  <sheetViews>
    <sheetView showGridLines="0" workbookViewId="0">
      <selection activeCell="B2" sqref="B2:N2"/>
    </sheetView>
  </sheetViews>
  <sheetFormatPr baseColWidth="10" defaultColWidth="10.77734375" defaultRowHeight="13.8" x14ac:dyDescent="0.3"/>
  <cols>
    <col min="1" max="1" width="1.77734375" style="1" customWidth="1"/>
    <col min="2" max="7" width="12.77734375" style="1" customWidth="1"/>
    <col min="8" max="12" width="10.77734375" style="1"/>
    <col min="13" max="14" width="11.77734375" style="1" customWidth="1"/>
    <col min="15" max="16384" width="10.77734375" style="1"/>
  </cols>
  <sheetData>
    <row r="1" spans="2:16" ht="6" customHeight="1" x14ac:dyDescent="0.3"/>
    <row r="2" spans="2:16" s="133" customFormat="1" ht="21.9" customHeight="1" x14ac:dyDescent="0.35">
      <c r="B2" s="3379" t="s">
        <v>908</v>
      </c>
      <c r="C2" s="3380"/>
      <c r="D2" s="3380"/>
      <c r="E2" s="3380"/>
      <c r="F2" s="3380"/>
      <c r="G2" s="3380"/>
      <c r="H2" s="3380"/>
      <c r="I2" s="3380"/>
      <c r="J2" s="3380"/>
      <c r="K2" s="3380"/>
      <c r="L2" s="3380"/>
      <c r="M2" s="3380"/>
      <c r="N2" s="3381"/>
      <c r="O2" s="132"/>
      <c r="P2" s="132"/>
    </row>
    <row r="3" spans="2:16" ht="20.100000000000001" customHeight="1" x14ac:dyDescent="0.3"/>
    <row r="4" spans="2:16" ht="20.100000000000001" customHeight="1" x14ac:dyDescent="0.3">
      <c r="B4" s="3367" t="s">
        <v>910</v>
      </c>
      <c r="C4" s="3368"/>
      <c r="D4" s="3369"/>
      <c r="E4" s="3370"/>
    </row>
    <row r="5" spans="2:16" ht="6" customHeight="1" x14ac:dyDescent="0.3"/>
    <row r="6" spans="2:16" s="58" customFormat="1" ht="20.100000000000001" customHeight="1" x14ac:dyDescent="0.25">
      <c r="B6" s="3386" t="s">
        <v>212</v>
      </c>
      <c r="C6" s="3386"/>
      <c r="D6" s="3386"/>
      <c r="E6" s="3386"/>
      <c r="F6" s="3386"/>
      <c r="G6" s="3386"/>
      <c r="H6" s="3386"/>
      <c r="I6" s="3386"/>
      <c r="J6" s="3386"/>
      <c r="K6" s="3386"/>
      <c r="L6" s="3386"/>
      <c r="M6" s="3386"/>
      <c r="N6" s="3386"/>
    </row>
    <row r="7" spans="2:16" s="58" customFormat="1" ht="20.100000000000001" customHeight="1" x14ac:dyDescent="0.25">
      <c r="B7" s="2914" t="s">
        <v>211</v>
      </c>
      <c r="C7" s="2915"/>
      <c r="D7" s="2915"/>
      <c r="E7" s="2915"/>
      <c r="F7" s="2915"/>
      <c r="G7" s="2915"/>
      <c r="H7" s="2915"/>
      <c r="I7" s="2915"/>
      <c r="J7" s="2915"/>
      <c r="K7" s="2915"/>
      <c r="L7" s="2915"/>
      <c r="M7" s="2915"/>
      <c r="N7" s="2915"/>
    </row>
    <row r="8" spans="2:16" ht="30" customHeight="1" x14ac:dyDescent="0.3">
      <c r="B8" s="3384" t="s">
        <v>407</v>
      </c>
      <c r="C8" s="3385"/>
      <c r="D8" s="3385"/>
      <c r="E8" s="3385"/>
      <c r="F8" s="3385"/>
      <c r="G8" s="3385"/>
      <c r="H8" s="3385"/>
      <c r="I8" s="3385"/>
      <c r="J8" s="3385"/>
      <c r="K8" s="3385"/>
      <c r="L8" s="3385"/>
      <c r="M8" s="3385"/>
      <c r="N8" s="3385"/>
    </row>
    <row r="9" spans="2:16" ht="30" customHeight="1" x14ac:dyDescent="0.3">
      <c r="B9" s="3384" t="s">
        <v>408</v>
      </c>
      <c r="C9" s="3385"/>
      <c r="D9" s="3385"/>
      <c r="E9" s="3385"/>
      <c r="F9" s="3385"/>
      <c r="G9" s="3385"/>
      <c r="H9" s="3385"/>
      <c r="I9" s="3385"/>
      <c r="J9" s="3385"/>
      <c r="K9" s="3385"/>
      <c r="L9" s="3385"/>
      <c r="M9" s="3385"/>
      <c r="N9" s="3385"/>
    </row>
    <row r="10" spans="2:16" ht="15" customHeight="1" x14ac:dyDescent="0.3"/>
    <row r="11" spans="2:16" ht="20.100000000000001" customHeight="1" x14ac:dyDescent="0.3">
      <c r="B11" s="3387" t="s">
        <v>926</v>
      </c>
      <c r="C11" s="3388"/>
      <c r="D11" s="3389"/>
      <c r="E11" s="3370"/>
    </row>
    <row r="12" spans="2:16" ht="6" customHeight="1" x14ac:dyDescent="0.3"/>
    <row r="13" spans="2:16" s="58" customFormat="1" ht="20.100000000000001" customHeight="1" x14ac:dyDescent="0.25">
      <c r="B13" s="3394" t="s">
        <v>231</v>
      </c>
      <c r="C13" s="3363"/>
      <c r="D13" s="3363"/>
      <c r="E13" s="3363"/>
      <c r="F13" s="3363"/>
      <c r="G13" s="3363"/>
      <c r="H13" s="3363"/>
      <c r="I13" s="3363"/>
      <c r="J13" s="3363"/>
      <c r="K13" s="3363"/>
    </row>
    <row r="14" spans="2:16" ht="20.100000000000001" customHeight="1" x14ac:dyDescent="0.3">
      <c r="B14" s="2917"/>
      <c r="C14" s="3377" t="s">
        <v>232</v>
      </c>
      <c r="D14" s="3377"/>
      <c r="E14" s="3377"/>
      <c r="F14" s="3377"/>
      <c r="G14" s="3377"/>
      <c r="H14" s="3377"/>
      <c r="I14" s="3377"/>
      <c r="J14" s="3377"/>
    </row>
    <row r="15" spans="2:16" ht="20.100000000000001" customHeight="1" x14ac:dyDescent="0.3">
      <c r="B15" s="2917"/>
      <c r="C15" s="3377" t="s">
        <v>239</v>
      </c>
      <c r="D15" s="3377"/>
      <c r="E15" s="3377"/>
      <c r="F15" s="3377"/>
      <c r="G15" s="3377"/>
      <c r="H15" s="3377"/>
      <c r="I15" s="3377"/>
      <c r="J15" s="3377"/>
      <c r="K15" s="136"/>
    </row>
    <row r="16" spans="2:16" ht="20.100000000000001" customHeight="1" x14ac:dyDescent="0.3">
      <c r="B16" s="2917"/>
      <c r="C16" s="3377" t="s">
        <v>536</v>
      </c>
      <c r="D16" s="3377"/>
      <c r="E16" s="3377"/>
      <c r="F16" s="3377"/>
      <c r="G16" s="3377"/>
      <c r="H16" s="3377"/>
      <c r="I16" s="3377"/>
      <c r="J16" s="3377"/>
      <c r="K16" s="136"/>
    </row>
    <row r="17" spans="2:11" ht="20.100000000000001" customHeight="1" x14ac:dyDescent="0.3">
      <c r="B17" s="2917"/>
      <c r="C17" s="3377" t="s">
        <v>301</v>
      </c>
      <c r="D17" s="3377"/>
      <c r="E17" s="3377"/>
      <c r="F17" s="3377"/>
      <c r="G17" s="3377"/>
      <c r="H17" s="3377"/>
      <c r="I17" s="3377"/>
      <c r="J17" s="3377"/>
      <c r="K17" s="136"/>
    </row>
    <row r="18" spans="2:11" ht="20.100000000000001" customHeight="1" x14ac:dyDescent="0.3">
      <c r="B18" s="2917"/>
      <c r="C18" s="3377" t="s">
        <v>299</v>
      </c>
      <c r="D18" s="3377"/>
      <c r="E18" s="3377"/>
      <c r="F18" s="3377"/>
      <c r="G18" s="3377"/>
      <c r="H18" s="3377"/>
      <c r="I18" s="3377"/>
      <c r="J18" s="3377"/>
      <c r="K18" s="136"/>
    </row>
    <row r="19" spans="2:11" ht="20.100000000000001" customHeight="1" x14ac:dyDescent="0.3">
      <c r="B19" s="2917"/>
      <c r="C19" s="3377" t="s">
        <v>639</v>
      </c>
      <c r="D19" s="3377"/>
      <c r="E19" s="3377"/>
      <c r="F19" s="3377"/>
      <c r="G19" s="3377"/>
      <c r="H19" s="3377"/>
      <c r="I19" s="3377"/>
      <c r="J19" s="3377"/>
      <c r="K19" s="136"/>
    </row>
    <row r="20" spans="2:11" ht="20.100000000000001" customHeight="1" x14ac:dyDescent="0.3">
      <c r="B20" s="2917"/>
      <c r="C20" s="3377" t="s">
        <v>300</v>
      </c>
      <c r="D20" s="3377"/>
      <c r="E20" s="3377"/>
      <c r="F20" s="3377"/>
      <c r="G20" s="3377"/>
      <c r="H20" s="3377"/>
      <c r="I20" s="3377"/>
      <c r="J20" s="3377"/>
      <c r="K20" s="136"/>
    </row>
    <row r="21" spans="2:11" ht="20.100000000000001" customHeight="1" x14ac:dyDescent="0.3">
      <c r="B21" s="2917"/>
      <c r="C21" s="3377" t="s">
        <v>266</v>
      </c>
      <c r="D21" s="3377"/>
      <c r="E21" s="3377"/>
      <c r="F21" s="3377"/>
      <c r="G21" s="3377"/>
      <c r="H21" s="3377"/>
      <c r="I21" s="3377"/>
      <c r="J21" s="3377"/>
      <c r="K21" s="136"/>
    </row>
    <row r="22" spans="2:11" ht="20.100000000000001" customHeight="1" x14ac:dyDescent="0.3">
      <c r="B22" s="2917"/>
      <c r="C22" s="3377" t="s">
        <v>259</v>
      </c>
      <c r="D22" s="3382"/>
      <c r="E22" s="3382"/>
      <c r="F22" s="3382"/>
      <c r="G22" s="3382"/>
      <c r="H22" s="3382"/>
      <c r="I22" s="3382"/>
      <c r="J22" s="3382"/>
      <c r="K22" s="136"/>
    </row>
    <row r="23" spans="2:11" ht="20.100000000000001" customHeight="1" x14ac:dyDescent="0.3">
      <c r="B23" s="2918"/>
      <c r="C23" s="2919" t="s">
        <v>233</v>
      </c>
      <c r="D23" s="2920"/>
      <c r="E23" s="2920"/>
      <c r="F23" s="2920"/>
      <c r="G23" s="2920"/>
      <c r="H23" s="2920"/>
      <c r="I23" s="2920"/>
      <c r="J23" s="2920"/>
    </row>
    <row r="24" spans="2:11" ht="28.5" customHeight="1" x14ac:dyDescent="0.3">
      <c r="B24" s="2917"/>
      <c r="C24" s="3392" t="s">
        <v>1299</v>
      </c>
      <c r="D24" s="3393"/>
      <c r="E24" s="3393"/>
      <c r="F24" s="3393"/>
      <c r="G24" s="3393"/>
      <c r="H24" s="3393"/>
      <c r="I24" s="3393"/>
      <c r="J24" s="3393"/>
    </row>
    <row r="25" spans="2:11" ht="20.100000000000001" customHeight="1" x14ac:dyDescent="0.3">
      <c r="B25" s="2917"/>
      <c r="C25" s="3377" t="s">
        <v>549</v>
      </c>
      <c r="D25" s="3377"/>
      <c r="E25" s="3377"/>
      <c r="F25" s="3377"/>
      <c r="G25" s="3377"/>
      <c r="H25" s="3377"/>
      <c r="I25" s="3377"/>
      <c r="J25" s="3377"/>
      <c r="K25" s="136"/>
    </row>
    <row r="26" spans="2:11" ht="20.100000000000001" customHeight="1" x14ac:dyDescent="0.3">
      <c r="B26" s="2917"/>
      <c r="C26" s="3377" t="s">
        <v>1300</v>
      </c>
      <c r="D26" s="3382"/>
      <c r="E26" s="3382"/>
      <c r="F26" s="3382"/>
      <c r="G26" s="3382"/>
      <c r="H26" s="3382"/>
      <c r="I26" s="3382"/>
      <c r="J26" s="3382"/>
      <c r="K26" s="136"/>
    </row>
    <row r="27" spans="2:11" ht="20.100000000000001" customHeight="1" x14ac:dyDescent="0.3">
      <c r="B27" s="2917"/>
      <c r="C27" s="2919" t="s">
        <v>418</v>
      </c>
      <c r="D27" s="2920"/>
      <c r="E27" s="2920"/>
      <c r="F27" s="2920"/>
      <c r="G27" s="2920"/>
      <c r="H27" s="2920"/>
      <c r="I27" s="2920"/>
      <c r="J27" s="2920"/>
      <c r="K27" s="136"/>
    </row>
    <row r="28" spans="2:11" ht="20.100000000000001" customHeight="1" x14ac:dyDescent="0.3">
      <c r="B28" s="2917"/>
      <c r="C28" s="2919" t="s">
        <v>419</v>
      </c>
      <c r="D28" s="2920"/>
      <c r="E28" s="2920"/>
      <c r="F28" s="2920"/>
      <c r="G28" s="2920"/>
      <c r="H28" s="2920"/>
      <c r="I28" s="2920"/>
      <c r="J28" s="2920"/>
      <c r="K28" s="136"/>
    </row>
    <row r="29" spans="2:11" ht="30" customHeight="1" x14ac:dyDescent="0.3">
      <c r="B29" s="2917"/>
      <c r="C29" s="3392" t="s">
        <v>526</v>
      </c>
      <c r="D29" s="3395"/>
      <c r="E29" s="3395"/>
      <c r="F29" s="3395"/>
      <c r="G29" s="3395"/>
      <c r="H29" s="3395"/>
      <c r="I29" s="3395"/>
      <c r="J29" s="3395"/>
      <c r="K29" s="136"/>
    </row>
    <row r="30" spans="2:11" ht="20.100000000000001" customHeight="1" x14ac:dyDescent="0.3">
      <c r="B30" s="2917"/>
      <c r="C30" s="2919" t="s">
        <v>524</v>
      </c>
      <c r="D30" s="2920"/>
      <c r="E30" s="2920"/>
      <c r="F30" s="2920"/>
      <c r="G30" s="2920"/>
      <c r="H30" s="2920"/>
      <c r="I30" s="2920"/>
      <c r="J30" s="2920"/>
      <c r="K30" s="136"/>
    </row>
    <row r="31" spans="2:11" ht="20.100000000000001" customHeight="1" x14ac:dyDescent="0.3">
      <c r="B31" s="2917"/>
      <c r="C31" s="2919" t="s">
        <v>525</v>
      </c>
      <c r="D31" s="2920"/>
      <c r="E31" s="2920"/>
      <c r="F31" s="2920"/>
      <c r="G31" s="2920"/>
      <c r="H31" s="2920"/>
      <c r="I31" s="2920"/>
      <c r="J31" s="2920"/>
      <c r="K31" s="136"/>
    </row>
    <row r="32" spans="2:11" ht="15" customHeight="1" x14ac:dyDescent="0.3">
      <c r="C32" s="134"/>
      <c r="D32" s="135"/>
      <c r="E32" s="135"/>
      <c r="F32" s="135"/>
      <c r="G32" s="135"/>
      <c r="H32" s="135"/>
      <c r="I32" s="135"/>
      <c r="J32" s="135"/>
      <c r="K32" s="136"/>
    </row>
    <row r="33" spans="2:14" ht="20.100000000000001" customHeight="1" x14ac:dyDescent="0.3">
      <c r="B33" s="3367" t="s">
        <v>911</v>
      </c>
      <c r="C33" s="3368"/>
      <c r="D33" s="3369"/>
      <c r="E33" s="3370"/>
    </row>
    <row r="34" spans="2:14" ht="6" customHeight="1" x14ac:dyDescent="0.3">
      <c r="B34" s="4"/>
      <c r="C34" s="4"/>
      <c r="D34" s="4"/>
    </row>
    <row r="35" spans="2:14" s="58" customFormat="1" ht="20.100000000000001" customHeight="1" x14ac:dyDescent="0.25">
      <c r="B35" s="3377" t="s">
        <v>216</v>
      </c>
      <c r="C35" s="3377"/>
      <c r="D35" s="681"/>
      <c r="E35" s="2916"/>
      <c r="F35" s="2916"/>
    </row>
    <row r="36" spans="2:14" ht="20.100000000000001" customHeight="1" x14ac:dyDescent="0.3">
      <c r="B36" s="2921"/>
      <c r="C36" s="3377" t="s">
        <v>217</v>
      </c>
      <c r="D36" s="3378"/>
      <c r="E36" s="3378"/>
      <c r="F36" s="3378"/>
      <c r="H36" s="3383" t="s">
        <v>234</v>
      </c>
      <c r="I36" s="3383"/>
    </row>
    <row r="37" spans="2:14" ht="20.100000000000001" customHeight="1" x14ac:dyDescent="0.3">
      <c r="B37" s="2921"/>
      <c r="C37" s="3377" t="s">
        <v>218</v>
      </c>
      <c r="D37" s="3378"/>
      <c r="E37" s="3378"/>
      <c r="F37" s="3378"/>
      <c r="H37" s="3383" t="s">
        <v>235</v>
      </c>
      <c r="I37" s="3383"/>
    </row>
    <row r="38" spans="2:14" ht="20.100000000000001" customHeight="1" x14ac:dyDescent="0.3">
      <c r="B38" s="2921"/>
      <c r="C38" s="3377" t="s">
        <v>219</v>
      </c>
      <c r="D38" s="3378"/>
      <c r="E38" s="3378"/>
      <c r="F38" s="3378"/>
      <c r="H38" s="3383" t="s">
        <v>236</v>
      </c>
      <c r="I38" s="3383"/>
    </row>
    <row r="39" spans="2:14" s="58" customFormat="1" ht="15" customHeight="1" x14ac:dyDescent="0.25">
      <c r="B39" s="3364" t="str">
        <f>IF(ISBLANK(stade),"Vous n'avez pas précisé la nature du projet dans  la fenêtre située en-haut à gauche de la précédente page, au-dessus de l'intitulé du dossier"," ")</f>
        <v>Vous n'avez pas précisé la nature du projet dans  la fenêtre située en-haut à gauche de la précédente page, au-dessus de l'intitulé du dossier</v>
      </c>
      <c r="C39" s="3363"/>
      <c r="D39" s="3363"/>
      <c r="E39" s="3363"/>
      <c r="F39" s="3363"/>
      <c r="G39" s="3363"/>
      <c r="H39" s="3363"/>
      <c r="I39" s="3363"/>
      <c r="J39" s="3363"/>
      <c r="K39" s="3363"/>
      <c r="L39" s="3363"/>
      <c r="M39" s="3363"/>
    </row>
    <row r="40" spans="2:14" ht="15" customHeight="1" x14ac:dyDescent="0.3"/>
    <row r="41" spans="2:14" ht="21.9" customHeight="1" x14ac:dyDescent="0.3">
      <c r="B41" s="3371" t="s">
        <v>912</v>
      </c>
      <c r="C41" s="3372"/>
      <c r="D41" s="3372"/>
      <c r="E41" s="3372"/>
      <c r="F41" s="3372"/>
      <c r="G41" s="3372"/>
      <c r="H41" s="3372"/>
      <c r="I41" s="3372"/>
      <c r="J41" s="3372"/>
      <c r="K41" s="3372"/>
      <c r="L41" s="3372"/>
      <c r="M41" s="3372"/>
      <c r="N41" s="3373"/>
    </row>
    <row r="42" spans="2:14" ht="9.9" customHeight="1" x14ac:dyDescent="0.3"/>
    <row r="43" spans="2:14" s="58" customFormat="1" ht="20.100000000000001" customHeight="1" x14ac:dyDescent="0.25">
      <c r="B43" s="3365" t="s">
        <v>237</v>
      </c>
      <c r="C43" s="3365"/>
    </row>
    <row r="44" spans="2:14" ht="35.1" customHeight="1" x14ac:dyDescent="0.3">
      <c r="B44" s="3366"/>
      <c r="C44" s="3366"/>
      <c r="D44" s="3366"/>
      <c r="E44" s="3366"/>
      <c r="F44" s="3366"/>
      <c r="G44" s="3366"/>
      <c r="H44" s="3366"/>
      <c r="I44" s="3366"/>
      <c r="J44" s="3366"/>
      <c r="K44" s="3366"/>
      <c r="L44" s="3366"/>
      <c r="M44" s="3366"/>
      <c r="N44" s="3366"/>
    </row>
    <row r="45" spans="2:14" ht="35.1" customHeight="1" x14ac:dyDescent="0.3">
      <c r="B45" s="3366"/>
      <c r="C45" s="3366"/>
      <c r="D45" s="3366"/>
      <c r="E45" s="3366"/>
      <c r="F45" s="3366"/>
      <c r="G45" s="3366"/>
      <c r="H45" s="3366"/>
      <c r="I45" s="3366"/>
      <c r="J45" s="3366"/>
      <c r="K45" s="3366"/>
      <c r="L45" s="3366"/>
      <c r="M45" s="3366"/>
      <c r="N45" s="3366"/>
    </row>
    <row r="46" spans="2:14" ht="35.1" customHeight="1" x14ac:dyDescent="0.3">
      <c r="B46" s="3366"/>
      <c r="C46" s="3366"/>
      <c r="D46" s="3366"/>
      <c r="E46" s="3366"/>
      <c r="F46" s="3366"/>
      <c r="G46" s="3366"/>
      <c r="H46" s="3366"/>
      <c r="I46" s="3366"/>
      <c r="J46" s="3366"/>
      <c r="K46" s="3366"/>
      <c r="L46" s="3366"/>
      <c r="M46" s="3366"/>
      <c r="N46" s="3366"/>
    </row>
    <row r="47" spans="2:14" ht="35.1" customHeight="1" x14ac:dyDescent="0.3">
      <c r="B47" s="3366"/>
      <c r="C47" s="3366"/>
      <c r="D47" s="3366"/>
      <c r="E47" s="3366"/>
      <c r="F47" s="3366"/>
      <c r="G47" s="3366"/>
      <c r="H47" s="3366"/>
      <c r="I47" s="3366"/>
      <c r="J47" s="3366"/>
      <c r="K47" s="3366"/>
      <c r="L47" s="3366"/>
      <c r="M47" s="3366"/>
      <c r="N47" s="3366"/>
    </row>
    <row r="48" spans="2:14" ht="9.9" customHeight="1" x14ac:dyDescent="0.3"/>
    <row r="49" spans="2:14" s="58" customFormat="1" ht="20.100000000000001" customHeight="1" x14ac:dyDescent="0.25">
      <c r="B49" s="3365" t="s">
        <v>238</v>
      </c>
      <c r="C49" s="3365"/>
      <c r="D49" s="3365"/>
    </row>
    <row r="50" spans="2:14" ht="35.1" customHeight="1" x14ac:dyDescent="0.3">
      <c r="B50" s="3374" t="s">
        <v>638</v>
      </c>
      <c r="C50" s="3375"/>
      <c r="D50" s="3375"/>
      <c r="E50" s="3375"/>
      <c r="F50" s="3375"/>
      <c r="G50" s="3375"/>
      <c r="H50" s="3375"/>
      <c r="I50" s="3375"/>
      <c r="J50" s="3375"/>
      <c r="K50" s="3375"/>
      <c r="L50" s="3375"/>
      <c r="M50" s="3375"/>
      <c r="N50" s="3376"/>
    </row>
    <row r="51" spans="2:14" ht="35.1" customHeight="1" x14ac:dyDescent="0.3">
      <c r="B51" s="3390"/>
      <c r="C51" s="3366"/>
      <c r="D51" s="3366"/>
      <c r="E51" s="3366"/>
      <c r="F51" s="3366"/>
      <c r="G51" s="3366"/>
      <c r="H51" s="3366"/>
      <c r="I51" s="3366"/>
      <c r="J51" s="3366"/>
      <c r="K51" s="3366"/>
      <c r="L51" s="3366"/>
      <c r="M51" s="3366"/>
      <c r="N51" s="3391"/>
    </row>
    <row r="52" spans="2:14" ht="35.1" customHeight="1" x14ac:dyDescent="0.3">
      <c r="B52" s="3390"/>
      <c r="C52" s="3366"/>
      <c r="D52" s="3366"/>
      <c r="E52" s="3366"/>
      <c r="F52" s="3366"/>
      <c r="G52" s="3366"/>
      <c r="H52" s="3366"/>
      <c r="I52" s="3366"/>
      <c r="J52" s="3366"/>
      <c r="K52" s="3366"/>
      <c r="L52" s="3366"/>
      <c r="M52" s="3366"/>
      <c r="N52" s="3391"/>
    </row>
    <row r="53" spans="2:14" ht="35.1" customHeight="1" x14ac:dyDescent="0.3">
      <c r="B53" s="3390"/>
      <c r="C53" s="3366"/>
      <c r="D53" s="3366"/>
      <c r="E53" s="3366"/>
      <c r="F53" s="3366"/>
      <c r="G53" s="3366"/>
      <c r="H53" s="3366"/>
      <c r="I53" s="3366"/>
      <c r="J53" s="3366"/>
      <c r="K53" s="3366"/>
      <c r="L53" s="3366"/>
      <c r="M53" s="3366"/>
      <c r="N53" s="3391"/>
    </row>
    <row r="54" spans="2:14" ht="24.9" customHeight="1" x14ac:dyDescent="0.3"/>
    <row r="55" spans="2:14" s="93" customFormat="1" ht="21.9" customHeight="1" x14ac:dyDescent="0.3">
      <c r="B55" s="3371" t="s">
        <v>913</v>
      </c>
      <c r="C55" s="3372"/>
      <c r="D55" s="3372"/>
      <c r="E55" s="3372"/>
      <c r="F55" s="3372"/>
      <c r="G55" s="3372"/>
      <c r="H55" s="3372"/>
      <c r="I55" s="3372"/>
      <c r="J55" s="3372"/>
      <c r="K55" s="3372"/>
      <c r="L55" s="3372"/>
      <c r="M55" s="3372"/>
      <c r="N55" s="3373"/>
    </row>
    <row r="56" spans="2:14" ht="9.9" customHeight="1" x14ac:dyDescent="0.3"/>
    <row r="57" spans="2:14" s="58" customFormat="1" ht="20.100000000000001" customHeight="1" x14ac:dyDescent="0.25">
      <c r="B57" s="361" t="s">
        <v>240</v>
      </c>
      <c r="C57" s="344"/>
    </row>
    <row r="58" spans="2:14" ht="35.1" customHeight="1" x14ac:dyDescent="0.3">
      <c r="B58" s="3359"/>
      <c r="C58" s="3359"/>
      <c r="D58" s="3359"/>
      <c r="E58" s="3359"/>
      <c r="F58" s="3359"/>
      <c r="G58" s="3359"/>
      <c r="H58" s="3359"/>
      <c r="I58" s="3359"/>
      <c r="J58" s="3359"/>
      <c r="K58" s="3359"/>
      <c r="L58" s="3359"/>
      <c r="M58" s="3359"/>
      <c r="N58" s="3359"/>
    </row>
    <row r="59" spans="2:14" ht="35.1" customHeight="1" x14ac:dyDescent="0.3">
      <c r="B59" s="3359"/>
      <c r="C59" s="3359"/>
      <c r="D59" s="3359"/>
      <c r="E59" s="3359"/>
      <c r="F59" s="3359"/>
      <c r="G59" s="3359"/>
      <c r="H59" s="3359"/>
      <c r="I59" s="3359"/>
      <c r="J59" s="3359"/>
      <c r="K59" s="3359"/>
      <c r="L59" s="3359"/>
      <c r="M59" s="3359"/>
      <c r="N59" s="3359"/>
    </row>
    <row r="60" spans="2:14" ht="35.1" customHeight="1" x14ac:dyDescent="0.3">
      <c r="B60" s="3359"/>
      <c r="C60" s="3359"/>
      <c r="D60" s="3359"/>
      <c r="E60" s="3359"/>
      <c r="F60" s="3359"/>
      <c r="G60" s="3359"/>
      <c r="H60" s="3359"/>
      <c r="I60" s="3359"/>
      <c r="J60" s="3359"/>
      <c r="K60" s="3359"/>
      <c r="L60" s="3359"/>
      <c r="M60" s="3359"/>
      <c r="N60" s="3359"/>
    </row>
    <row r="61" spans="2:14" ht="35.1" customHeight="1" x14ac:dyDescent="0.3">
      <c r="B61" s="3359"/>
      <c r="C61" s="3359"/>
      <c r="D61" s="3359"/>
      <c r="E61" s="3359"/>
      <c r="F61" s="3359"/>
      <c r="G61" s="3359"/>
      <c r="H61" s="3359"/>
      <c r="I61" s="3359"/>
      <c r="J61" s="3359"/>
      <c r="K61" s="3359"/>
      <c r="L61" s="3359"/>
      <c r="M61" s="3359"/>
      <c r="N61" s="3359"/>
    </row>
    <row r="62" spans="2:14" ht="9.9" customHeight="1" x14ac:dyDescent="0.3"/>
    <row r="63" spans="2:14" s="58" customFormat="1" ht="20.100000000000001" customHeight="1" x14ac:dyDescent="0.25">
      <c r="B63" s="361" t="s">
        <v>241</v>
      </c>
    </row>
    <row r="64" spans="2:14" ht="35.1" customHeight="1" x14ac:dyDescent="0.3">
      <c r="B64" s="3359"/>
      <c r="C64" s="3359"/>
      <c r="D64" s="3359"/>
      <c r="E64" s="3359"/>
      <c r="F64" s="3359"/>
      <c r="G64" s="3359"/>
      <c r="H64" s="3359"/>
      <c r="I64" s="3359"/>
      <c r="J64" s="3359"/>
      <c r="K64" s="3359"/>
      <c r="L64" s="3359"/>
      <c r="M64" s="3359"/>
      <c r="N64" s="3359"/>
    </row>
    <row r="65" spans="2:14" ht="35.1" customHeight="1" x14ac:dyDescent="0.3">
      <c r="B65" s="3359"/>
      <c r="C65" s="3359"/>
      <c r="D65" s="3359"/>
      <c r="E65" s="3359"/>
      <c r="F65" s="3359"/>
      <c r="G65" s="3359"/>
      <c r="H65" s="3359"/>
      <c r="I65" s="3359"/>
      <c r="J65" s="3359"/>
      <c r="K65" s="3359"/>
      <c r="L65" s="3359"/>
      <c r="M65" s="3359"/>
      <c r="N65" s="3359"/>
    </row>
    <row r="66" spans="2:14" ht="35.1" customHeight="1" x14ac:dyDescent="0.3">
      <c r="B66" s="3359"/>
      <c r="C66" s="3359"/>
      <c r="D66" s="3359"/>
      <c r="E66" s="3359"/>
      <c r="F66" s="3359"/>
      <c r="G66" s="3359"/>
      <c r="H66" s="3359"/>
      <c r="I66" s="3359"/>
      <c r="J66" s="3359"/>
      <c r="K66" s="3359"/>
      <c r="L66" s="3359"/>
      <c r="M66" s="3359"/>
      <c r="N66" s="3359"/>
    </row>
    <row r="67" spans="2:14" ht="35.1" customHeight="1" x14ac:dyDescent="0.3">
      <c r="B67" s="3359"/>
      <c r="C67" s="3359"/>
      <c r="D67" s="3359"/>
      <c r="E67" s="3359"/>
      <c r="F67" s="3359"/>
      <c r="G67" s="3359"/>
      <c r="H67" s="3359"/>
      <c r="I67" s="3359"/>
      <c r="J67" s="3359"/>
      <c r="K67" s="3359"/>
      <c r="L67" s="3359"/>
      <c r="M67" s="3359"/>
      <c r="N67" s="3359"/>
    </row>
    <row r="68" spans="2:14" ht="24.9" customHeight="1" x14ac:dyDescent="0.3"/>
    <row r="69" spans="2:14" ht="21.9" customHeight="1" x14ac:dyDescent="0.3">
      <c r="B69" s="3371" t="s">
        <v>914</v>
      </c>
      <c r="C69" s="3372"/>
      <c r="D69" s="3372"/>
      <c r="E69" s="3372"/>
      <c r="F69" s="3372"/>
      <c r="G69" s="3372"/>
      <c r="H69" s="3372"/>
      <c r="I69" s="3372"/>
      <c r="J69" s="3372"/>
      <c r="K69" s="3372"/>
      <c r="L69" s="3372"/>
      <c r="M69" s="3372"/>
      <c r="N69" s="3373"/>
    </row>
    <row r="70" spans="2:14" ht="9.9" customHeight="1" x14ac:dyDescent="0.3"/>
    <row r="71" spans="2:14" s="58" customFormat="1" ht="20.100000000000001" customHeight="1" x14ac:dyDescent="0.25">
      <c r="B71" s="361" t="s">
        <v>249</v>
      </c>
    </row>
    <row r="72" spans="2:14" ht="30" customHeight="1" x14ac:dyDescent="0.3">
      <c r="B72" s="3359"/>
      <c r="C72" s="3359"/>
      <c r="D72" s="3359"/>
      <c r="E72" s="3359"/>
      <c r="F72" s="3359"/>
      <c r="G72" s="3359"/>
      <c r="H72" s="3359"/>
      <c r="I72" s="3359"/>
      <c r="J72" s="3359"/>
      <c r="K72" s="3359"/>
      <c r="L72" s="3359"/>
      <c r="M72" s="3359"/>
      <c r="N72" s="3359"/>
    </row>
    <row r="73" spans="2:14" ht="30" customHeight="1" x14ac:dyDescent="0.3">
      <c r="B73" s="3359"/>
      <c r="C73" s="3359"/>
      <c r="D73" s="3359"/>
      <c r="E73" s="3359"/>
      <c r="F73" s="3359"/>
      <c r="G73" s="3359"/>
      <c r="H73" s="3359"/>
      <c r="I73" s="3359"/>
      <c r="J73" s="3359"/>
      <c r="K73" s="3359"/>
      <c r="L73" s="3359"/>
      <c r="M73" s="3359"/>
      <c r="N73" s="3359"/>
    </row>
    <row r="74" spans="2:14" ht="30" customHeight="1" x14ac:dyDescent="0.3">
      <c r="B74" s="3359"/>
      <c r="C74" s="3359"/>
      <c r="D74" s="3359"/>
      <c r="E74" s="3359"/>
      <c r="F74" s="3359"/>
      <c r="G74" s="3359"/>
      <c r="H74" s="3359"/>
      <c r="I74" s="3359"/>
      <c r="J74" s="3359"/>
      <c r="K74" s="3359"/>
      <c r="L74" s="3359"/>
      <c r="M74" s="3359"/>
      <c r="N74" s="3359"/>
    </row>
    <row r="75" spans="2:14" ht="30" customHeight="1" x14ac:dyDescent="0.3">
      <c r="B75" s="3359"/>
      <c r="C75" s="3359"/>
      <c r="D75" s="3359"/>
      <c r="E75" s="3359"/>
      <c r="F75" s="3359"/>
      <c r="G75" s="3359"/>
      <c r="H75" s="3359"/>
      <c r="I75" s="3359"/>
      <c r="J75" s="3359"/>
      <c r="K75" s="3359"/>
      <c r="L75" s="3359"/>
      <c r="M75" s="3359"/>
      <c r="N75" s="3359"/>
    </row>
    <row r="76" spans="2:14" ht="9.9" customHeight="1" x14ac:dyDescent="0.3"/>
    <row r="77" spans="2:14" s="58" customFormat="1" ht="20.100000000000001" customHeight="1" x14ac:dyDescent="0.25">
      <c r="B77" s="361" t="s">
        <v>250</v>
      </c>
    </row>
    <row r="78" spans="2:14" ht="30" customHeight="1" x14ac:dyDescent="0.3">
      <c r="B78" s="3359"/>
      <c r="C78" s="3359"/>
      <c r="D78" s="3359"/>
      <c r="E78" s="3359"/>
      <c r="F78" s="3359"/>
      <c r="G78" s="3359"/>
      <c r="H78" s="3359"/>
      <c r="I78" s="3359"/>
      <c r="J78" s="3359"/>
      <c r="K78" s="3359"/>
      <c r="L78" s="3359"/>
      <c r="M78" s="3359"/>
      <c r="N78" s="3359"/>
    </row>
    <row r="79" spans="2:14" ht="30" customHeight="1" x14ac:dyDescent="0.3">
      <c r="B79" s="3359"/>
      <c r="C79" s="3359"/>
      <c r="D79" s="3359"/>
      <c r="E79" s="3359"/>
      <c r="F79" s="3359"/>
      <c r="G79" s="3359"/>
      <c r="H79" s="3359"/>
      <c r="I79" s="3359"/>
      <c r="J79" s="3359"/>
      <c r="K79" s="3359"/>
      <c r="L79" s="3359"/>
      <c r="M79" s="3359"/>
      <c r="N79" s="3359"/>
    </row>
    <row r="80" spans="2:14" ht="30" customHeight="1" x14ac:dyDescent="0.3">
      <c r="B80" s="3359"/>
      <c r="C80" s="3359"/>
      <c r="D80" s="3359"/>
      <c r="E80" s="3359"/>
      <c r="F80" s="3359"/>
      <c r="G80" s="3359"/>
      <c r="H80" s="3359"/>
      <c r="I80" s="3359"/>
      <c r="J80" s="3359"/>
      <c r="K80" s="3359"/>
      <c r="L80" s="3359"/>
      <c r="M80" s="3359"/>
      <c r="N80" s="3359"/>
    </row>
    <row r="81" spans="2:14" ht="30" customHeight="1" x14ac:dyDescent="0.3">
      <c r="B81" s="3359"/>
      <c r="C81" s="3359"/>
      <c r="D81" s="3359"/>
      <c r="E81" s="3359"/>
      <c r="F81" s="3359"/>
      <c r="G81" s="3359"/>
      <c r="H81" s="3359"/>
      <c r="I81" s="3359"/>
      <c r="J81" s="3359"/>
      <c r="K81" s="3359"/>
      <c r="L81" s="3359"/>
      <c r="M81" s="3359"/>
      <c r="N81" s="3359"/>
    </row>
    <row r="82" spans="2:14" ht="9.9" customHeight="1" x14ac:dyDescent="0.3"/>
    <row r="83" spans="2:14" s="58" customFormat="1" ht="20.100000000000001" customHeight="1" x14ac:dyDescent="0.25">
      <c r="B83" s="361" t="s">
        <v>254</v>
      </c>
      <c r="F83" s="2723"/>
      <c r="G83" s="360" t="s">
        <v>1297</v>
      </c>
    </row>
    <row r="84" spans="2:14" s="58" customFormat="1" ht="3" customHeight="1" x14ac:dyDescent="0.25">
      <c r="B84" s="20"/>
      <c r="H84" s="141"/>
      <c r="K84" s="20"/>
    </row>
    <row r="85" spans="2:14" ht="24.9" customHeight="1" x14ac:dyDescent="0.3">
      <c r="B85" s="3359"/>
      <c r="C85" s="3359"/>
      <c r="D85" s="3359"/>
      <c r="E85" s="3359"/>
      <c r="F85" s="3359"/>
      <c r="G85" s="3359"/>
      <c r="H85" s="3359"/>
      <c r="I85" s="3359"/>
      <c r="J85" s="3359"/>
      <c r="K85" s="3359"/>
      <c r="L85" s="3359"/>
      <c r="M85" s="3359"/>
      <c r="N85" s="3359"/>
    </row>
    <row r="86" spans="2:14" ht="24.9" customHeight="1" x14ac:dyDescent="0.3">
      <c r="B86" s="3359"/>
      <c r="C86" s="3359"/>
      <c r="D86" s="3359"/>
      <c r="E86" s="3359"/>
      <c r="F86" s="3359"/>
      <c r="G86" s="3359"/>
      <c r="H86" s="3359"/>
      <c r="I86" s="3359"/>
      <c r="J86" s="3359"/>
      <c r="K86" s="3359"/>
      <c r="L86" s="3359"/>
      <c r="M86" s="3359"/>
      <c r="N86" s="3359"/>
    </row>
    <row r="87" spans="2:14" ht="24.9" customHeight="1" x14ac:dyDescent="0.3">
      <c r="B87" s="3359"/>
      <c r="C87" s="3359"/>
      <c r="D87" s="3359"/>
      <c r="E87" s="3359"/>
      <c r="F87" s="3359"/>
      <c r="G87" s="3359"/>
      <c r="H87" s="3359"/>
      <c r="I87" s="3359"/>
      <c r="J87" s="3359"/>
      <c r="K87" s="3359"/>
      <c r="L87" s="3359"/>
      <c r="M87" s="3359"/>
      <c r="N87" s="3359"/>
    </row>
    <row r="88" spans="2:14" ht="24.9" customHeight="1" x14ac:dyDescent="0.3">
      <c r="B88" s="3359"/>
      <c r="C88" s="3359"/>
      <c r="D88" s="3359"/>
      <c r="E88" s="3359"/>
      <c r="F88" s="3359"/>
      <c r="G88" s="3359"/>
      <c r="H88" s="3359"/>
      <c r="I88" s="3359"/>
      <c r="J88" s="3359"/>
      <c r="K88" s="3359"/>
      <c r="L88" s="3359"/>
      <c r="M88" s="3359"/>
      <c r="N88" s="3359"/>
    </row>
    <row r="89" spans="2:14" ht="9.9" customHeight="1" x14ac:dyDescent="0.3">
      <c r="B89" s="139"/>
    </row>
    <row r="90" spans="2:14" s="58" customFormat="1" ht="20.100000000000001" customHeight="1" x14ac:dyDescent="0.25">
      <c r="B90" s="361" t="s">
        <v>255</v>
      </c>
      <c r="H90" s="2723"/>
      <c r="I90" s="3364" t="s">
        <v>256</v>
      </c>
      <c r="J90" s="3363"/>
      <c r="K90" s="3363"/>
      <c r="L90" s="2723"/>
      <c r="M90" s="360" t="s">
        <v>409</v>
      </c>
    </row>
    <row r="91" spans="2:14" s="58" customFormat="1" ht="3" customHeight="1" x14ac:dyDescent="0.25">
      <c r="B91" s="20"/>
      <c r="H91" s="141"/>
      <c r="K91" s="20"/>
    </row>
    <row r="92" spans="2:14" ht="24.9" customHeight="1" x14ac:dyDescent="0.3">
      <c r="B92" s="3359"/>
      <c r="C92" s="3359"/>
      <c r="D92" s="3359"/>
      <c r="E92" s="3359"/>
      <c r="F92" s="3359"/>
      <c r="G92" s="3359"/>
      <c r="H92" s="3359"/>
      <c r="I92" s="3359"/>
      <c r="J92" s="3359"/>
      <c r="K92" s="3359"/>
      <c r="L92" s="3359"/>
      <c r="M92" s="3359"/>
      <c r="N92" s="3359"/>
    </row>
    <row r="93" spans="2:14" ht="24.9" customHeight="1" x14ac:dyDescent="0.3">
      <c r="B93" s="3359"/>
      <c r="C93" s="3359"/>
      <c r="D93" s="3359"/>
      <c r="E93" s="3359"/>
      <c r="F93" s="3359"/>
      <c r="G93" s="3359"/>
      <c r="H93" s="3359"/>
      <c r="I93" s="3359"/>
      <c r="J93" s="3359"/>
      <c r="K93" s="3359"/>
      <c r="L93" s="3359"/>
      <c r="M93" s="3359"/>
      <c r="N93" s="3359"/>
    </row>
    <row r="94" spans="2:14" ht="24.9" customHeight="1" x14ac:dyDescent="0.3">
      <c r="B94" s="3359"/>
      <c r="C94" s="3359"/>
      <c r="D94" s="3359"/>
      <c r="E94" s="3359"/>
      <c r="F94" s="3359"/>
      <c r="G94" s="3359"/>
      <c r="H94" s="3359"/>
      <c r="I94" s="3359"/>
      <c r="J94" s="3359"/>
      <c r="K94" s="3359"/>
      <c r="L94" s="3359"/>
      <c r="M94" s="3359"/>
      <c r="N94" s="3359"/>
    </row>
    <row r="95" spans="2:14" ht="24.9" customHeight="1" x14ac:dyDescent="0.3">
      <c r="B95" s="3359"/>
      <c r="C95" s="3359"/>
      <c r="D95" s="3359"/>
      <c r="E95" s="3359"/>
      <c r="F95" s="3359"/>
      <c r="G95" s="3359"/>
      <c r="H95" s="3359"/>
      <c r="I95" s="3359"/>
      <c r="J95" s="3359"/>
      <c r="K95" s="3359"/>
      <c r="L95" s="3359"/>
      <c r="M95" s="3359"/>
      <c r="N95" s="3359"/>
    </row>
    <row r="96" spans="2:14" ht="24.9" customHeight="1" x14ac:dyDescent="0.3">
      <c r="B96" s="3359"/>
      <c r="C96" s="3359"/>
      <c r="D96" s="3359"/>
      <c r="E96" s="3359"/>
      <c r="F96" s="3359"/>
      <c r="G96" s="3359"/>
      <c r="H96" s="3359"/>
      <c r="I96" s="3359"/>
      <c r="J96" s="3359"/>
      <c r="K96" s="3359"/>
      <c r="L96" s="3359"/>
      <c r="M96" s="3359"/>
      <c r="N96" s="3359"/>
    </row>
    <row r="97" spans="2:14" ht="9.9" customHeight="1" x14ac:dyDescent="0.3"/>
    <row r="98" spans="2:14" s="58" customFormat="1" ht="20.100000000000001" customHeight="1" x14ac:dyDescent="0.25">
      <c r="B98" s="361" t="s">
        <v>257</v>
      </c>
      <c r="C98" s="344"/>
      <c r="H98" s="2723"/>
      <c r="I98" s="360" t="s">
        <v>258</v>
      </c>
    </row>
    <row r="99" spans="2:14" s="58" customFormat="1" ht="3" customHeight="1" x14ac:dyDescent="0.25">
      <c r="B99" s="20"/>
      <c r="H99" s="141"/>
      <c r="K99" s="20"/>
    </row>
    <row r="100" spans="2:14" ht="24.9" customHeight="1" x14ac:dyDescent="0.3">
      <c r="B100" s="3359"/>
      <c r="C100" s="3359"/>
      <c r="D100" s="3359"/>
      <c r="E100" s="3359"/>
      <c r="F100" s="3359"/>
      <c r="G100" s="3359"/>
      <c r="H100" s="3359"/>
      <c r="I100" s="3359"/>
      <c r="J100" s="3359"/>
      <c r="K100" s="3359"/>
      <c r="L100" s="3359"/>
      <c r="M100" s="3359"/>
      <c r="N100" s="3359"/>
    </row>
    <row r="101" spans="2:14" ht="24.9" customHeight="1" x14ac:dyDescent="0.3">
      <c r="B101" s="3359"/>
      <c r="C101" s="3359"/>
      <c r="D101" s="3359"/>
      <c r="E101" s="3359"/>
      <c r="F101" s="3359"/>
      <c r="G101" s="3359"/>
      <c r="H101" s="3359"/>
      <c r="I101" s="3359"/>
      <c r="J101" s="3359"/>
      <c r="K101" s="3359"/>
      <c r="L101" s="3359"/>
      <c r="M101" s="3359"/>
      <c r="N101" s="3359"/>
    </row>
    <row r="102" spans="2:14" ht="24.9" customHeight="1" x14ac:dyDescent="0.3">
      <c r="B102" s="3359"/>
      <c r="C102" s="3359"/>
      <c r="D102" s="3359"/>
      <c r="E102" s="3359"/>
      <c r="F102" s="3359"/>
      <c r="G102" s="3359"/>
      <c r="H102" s="3359"/>
      <c r="I102" s="3359"/>
      <c r="J102" s="3359"/>
      <c r="K102" s="3359"/>
      <c r="L102" s="3359"/>
      <c r="M102" s="3359"/>
      <c r="N102" s="3359"/>
    </row>
    <row r="103" spans="2:14" ht="24.9" customHeight="1" x14ac:dyDescent="0.3">
      <c r="B103" s="3359"/>
      <c r="C103" s="3359"/>
      <c r="D103" s="3359"/>
      <c r="E103" s="3359"/>
      <c r="F103" s="3359"/>
      <c r="G103" s="3359"/>
      <c r="H103" s="3359"/>
      <c r="I103" s="3359"/>
      <c r="J103" s="3359"/>
      <c r="K103" s="3359"/>
      <c r="L103" s="3359"/>
      <c r="M103" s="3359"/>
      <c r="N103" s="3359"/>
    </row>
    <row r="104" spans="2:14" ht="24.9" customHeight="1" x14ac:dyDescent="0.3">
      <c r="B104" s="3359"/>
      <c r="C104" s="3359"/>
      <c r="D104" s="3359"/>
      <c r="E104" s="3359"/>
      <c r="F104" s="3359"/>
      <c r="G104" s="3359"/>
      <c r="H104" s="3359"/>
      <c r="I104" s="3359"/>
      <c r="J104" s="3359"/>
      <c r="K104" s="3359"/>
      <c r="L104" s="3359"/>
      <c r="M104" s="3359"/>
      <c r="N104" s="3359"/>
    </row>
    <row r="105" spans="2:14" ht="24.9" customHeight="1" x14ac:dyDescent="0.3">
      <c r="B105" s="139"/>
    </row>
    <row r="106" spans="2:14" s="58" customFormat="1" ht="20.100000000000001" customHeight="1" x14ac:dyDescent="0.25">
      <c r="B106" s="3360" t="s">
        <v>1039</v>
      </c>
      <c r="C106" s="3361"/>
      <c r="D106" s="3361"/>
      <c r="E106" s="3361"/>
      <c r="F106" s="3362"/>
      <c r="G106" s="3363"/>
      <c r="H106" s="3363"/>
      <c r="I106" s="3363"/>
      <c r="J106" s="3363"/>
      <c r="K106" s="3363"/>
      <c r="L106" s="3363"/>
      <c r="M106" s="3363"/>
      <c r="N106" s="3363"/>
    </row>
    <row r="107" spans="2:14" ht="3" customHeight="1" x14ac:dyDescent="0.3"/>
    <row r="108" spans="2:14" ht="15" customHeight="1" x14ac:dyDescent="0.3">
      <c r="B108" s="3359"/>
      <c r="C108" s="3359"/>
      <c r="D108" s="3359"/>
      <c r="E108" s="3359"/>
      <c r="F108" s="3359"/>
      <c r="G108" s="3359"/>
      <c r="H108" s="3359"/>
      <c r="I108" s="3359"/>
      <c r="J108" s="3359"/>
      <c r="K108" s="3359"/>
      <c r="L108" s="3359"/>
      <c r="M108" s="3359"/>
      <c r="N108" s="3359"/>
    </row>
    <row r="109" spans="2:14" ht="15" customHeight="1" x14ac:dyDescent="0.3">
      <c r="B109" s="3359"/>
      <c r="C109" s="3359"/>
      <c r="D109" s="3359"/>
      <c r="E109" s="3359"/>
      <c r="F109" s="3359"/>
      <c r="G109" s="3359"/>
      <c r="H109" s="3359"/>
      <c r="I109" s="3359"/>
      <c r="J109" s="3359"/>
      <c r="K109" s="3359"/>
      <c r="L109" s="3359"/>
      <c r="M109" s="3359"/>
      <c r="N109" s="3359"/>
    </row>
    <row r="110" spans="2:14" ht="15" customHeight="1" x14ac:dyDescent="0.3">
      <c r="B110" s="3359"/>
      <c r="C110" s="3359"/>
      <c r="D110" s="3359"/>
      <c r="E110" s="3359"/>
      <c r="F110" s="3359"/>
      <c r="G110" s="3359"/>
      <c r="H110" s="3359"/>
      <c r="I110" s="3359"/>
      <c r="J110" s="3359"/>
      <c r="K110" s="3359"/>
      <c r="L110" s="3359"/>
      <c r="M110" s="3359"/>
      <c r="N110" s="3359"/>
    </row>
    <row r="111" spans="2:14" ht="15" customHeight="1" x14ac:dyDescent="0.3">
      <c r="B111" s="3359"/>
      <c r="C111" s="3359"/>
      <c r="D111" s="3359"/>
      <c r="E111" s="3359"/>
      <c r="F111" s="3359"/>
      <c r="G111" s="3359"/>
      <c r="H111" s="3359"/>
      <c r="I111" s="3359"/>
      <c r="J111" s="3359"/>
      <c r="K111" s="3359"/>
      <c r="L111" s="3359"/>
      <c r="M111" s="3359"/>
      <c r="N111" s="3359"/>
    </row>
    <row r="112" spans="2:14" ht="15" customHeight="1" x14ac:dyDescent="0.3">
      <c r="B112" s="3359"/>
      <c r="C112" s="3359"/>
      <c r="D112" s="3359"/>
      <c r="E112" s="3359"/>
      <c r="F112" s="3359"/>
      <c r="G112" s="3359"/>
      <c r="H112" s="3359"/>
      <c r="I112" s="3359"/>
      <c r="J112" s="3359"/>
      <c r="K112" s="3359"/>
      <c r="L112" s="3359"/>
      <c r="M112" s="3359"/>
      <c r="N112" s="3359"/>
    </row>
  </sheetData>
  <sheetProtection formatCells="0" formatColumns="0" formatRows="0" insertColumns="0" insertRows="0" insertHyperlinks="0" deleteColumns="0" deleteRows="0" sort="0" autoFilter="0" pivotTables="0"/>
  <mergeCells count="79">
    <mergeCell ref="B13:K13"/>
    <mergeCell ref="B35:C35"/>
    <mergeCell ref="C36:F36"/>
    <mergeCell ref="C37:F37"/>
    <mergeCell ref="C19:J19"/>
    <mergeCell ref="C29:J29"/>
    <mergeCell ref="B6:N6"/>
    <mergeCell ref="B11:E11"/>
    <mergeCell ref="B4:E4"/>
    <mergeCell ref="B81:N81"/>
    <mergeCell ref="B66:N66"/>
    <mergeCell ref="B79:N79"/>
    <mergeCell ref="B51:N51"/>
    <mergeCell ref="B52:N52"/>
    <mergeCell ref="B53:N53"/>
    <mergeCell ref="B58:N58"/>
    <mergeCell ref="B55:N55"/>
    <mergeCell ref="C21:J21"/>
    <mergeCell ref="C25:J25"/>
    <mergeCell ref="C18:J18"/>
    <mergeCell ref="C20:J20"/>
    <mergeCell ref="C24:J24"/>
    <mergeCell ref="B2:N2"/>
    <mergeCell ref="B41:N41"/>
    <mergeCell ref="B44:N44"/>
    <mergeCell ref="B45:N45"/>
    <mergeCell ref="C22:J22"/>
    <mergeCell ref="H36:I36"/>
    <mergeCell ref="H37:I37"/>
    <mergeCell ref="H38:I38"/>
    <mergeCell ref="B43:C43"/>
    <mergeCell ref="B8:N8"/>
    <mergeCell ref="B9:N9"/>
    <mergeCell ref="C26:J26"/>
    <mergeCell ref="C14:J14"/>
    <mergeCell ref="C15:J15"/>
    <mergeCell ref="C16:J16"/>
    <mergeCell ref="C17:J17"/>
    <mergeCell ref="B49:D49"/>
    <mergeCell ref="B46:N46"/>
    <mergeCell ref="B47:N47"/>
    <mergeCell ref="B92:N92"/>
    <mergeCell ref="B33:E33"/>
    <mergeCell ref="B59:N59"/>
    <mergeCell ref="B80:N80"/>
    <mergeCell ref="B69:N69"/>
    <mergeCell ref="B78:N78"/>
    <mergeCell ref="B72:N72"/>
    <mergeCell ref="B50:N50"/>
    <mergeCell ref="C38:F38"/>
    <mergeCell ref="B39:M39"/>
    <mergeCell ref="B65:N65"/>
    <mergeCell ref="B60:N60"/>
    <mergeCell ref="B61:N61"/>
    <mergeCell ref="B112:N112"/>
    <mergeCell ref="B109:N109"/>
    <mergeCell ref="B102:N102"/>
    <mergeCell ref="B103:N103"/>
    <mergeCell ref="B85:N85"/>
    <mergeCell ref="B86:N86"/>
    <mergeCell ref="B87:N87"/>
    <mergeCell ref="B88:N88"/>
    <mergeCell ref="B94:N94"/>
    <mergeCell ref="B108:N108"/>
    <mergeCell ref="B96:N96"/>
    <mergeCell ref="B100:N100"/>
    <mergeCell ref="I90:K90"/>
    <mergeCell ref="B101:N101"/>
    <mergeCell ref="B95:N95"/>
    <mergeCell ref="B110:N110"/>
    <mergeCell ref="B111:N111"/>
    <mergeCell ref="B74:N74"/>
    <mergeCell ref="B75:N75"/>
    <mergeCell ref="B93:N93"/>
    <mergeCell ref="B64:N64"/>
    <mergeCell ref="B73:N73"/>
    <mergeCell ref="B104:N104"/>
    <mergeCell ref="B67:N67"/>
    <mergeCell ref="B106:N106"/>
  </mergeCells>
  <phoneticPr fontId="13" type="noConversion"/>
  <dataValidations count="1">
    <dataValidation type="list" allowBlank="1" showInputMessage="1" showErrorMessage="1" sqref="H90:H91 L90 H98:H99 H84 F83" xr:uid="{00000000-0002-0000-0100-000000000000}">
      <formula1>"NON,OUI"</formula1>
    </dataValidation>
  </dataValidations>
  <hyperlinks>
    <hyperlink ref="H36" location="Accueil!B43" display="Développement" xr:uid="{00000000-0004-0000-0100-000000000000}"/>
    <hyperlink ref="H37:I37" location="Projet!B55" display="Restructuration" xr:uid="{00000000-0004-0000-0100-000001000000}"/>
    <hyperlink ref="H38:I38" location="Projet!B69" display="Rachat-reprise" xr:uid="{00000000-0004-0000-0100-000002000000}"/>
    <hyperlink ref="H36:I36" location="Projet!B41" display="Développement" xr:uid="{00000000-0004-0000-0100-000003000000}"/>
  </hyperlinks>
  <pageMargins left="0" right="0" top="0" bottom="0" header="0.51181102362204722"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025">
              <controlPr defaultSize="0" autoFill="0" autoLine="0" autoPict="0">
                <anchor moveWithCells="1">
                  <from>
                    <xdr:col>6</xdr:col>
                    <xdr:colOff>525780</xdr:colOff>
                    <xdr:row>35</xdr:row>
                    <xdr:rowOff>0</xdr:rowOff>
                  </from>
                  <to>
                    <xdr:col>7</xdr:col>
                    <xdr:colOff>83820</xdr:colOff>
                    <xdr:row>35</xdr:row>
                    <xdr:rowOff>220980</xdr:rowOff>
                  </to>
                </anchor>
              </controlPr>
            </control>
          </mc:Choice>
        </mc:AlternateContent>
        <mc:AlternateContent xmlns:mc="http://schemas.openxmlformats.org/markup-compatibility/2006">
          <mc:Choice Requires="x14">
            <control shapeId="19458" r:id="rId5" name="Check Box 1026">
              <controlPr defaultSize="0" autoFill="0" autoLine="0" autoPict="0">
                <anchor moveWithCells="1">
                  <from>
                    <xdr:col>6</xdr:col>
                    <xdr:colOff>525780</xdr:colOff>
                    <xdr:row>36</xdr:row>
                    <xdr:rowOff>0</xdr:rowOff>
                  </from>
                  <to>
                    <xdr:col>7</xdr:col>
                    <xdr:colOff>83820</xdr:colOff>
                    <xdr:row>36</xdr:row>
                    <xdr:rowOff>220980</xdr:rowOff>
                  </to>
                </anchor>
              </controlPr>
            </control>
          </mc:Choice>
        </mc:AlternateContent>
        <mc:AlternateContent xmlns:mc="http://schemas.openxmlformats.org/markup-compatibility/2006">
          <mc:Choice Requires="x14">
            <control shapeId="19459" r:id="rId6" name="Check Box 1027">
              <controlPr defaultSize="0" autoFill="0" autoLine="0" autoPict="0">
                <anchor moveWithCells="1">
                  <from>
                    <xdr:col>6</xdr:col>
                    <xdr:colOff>502920</xdr:colOff>
                    <xdr:row>37</xdr:row>
                    <xdr:rowOff>0</xdr:rowOff>
                  </from>
                  <to>
                    <xdr:col>7</xdr:col>
                    <xdr:colOff>76200</xdr:colOff>
                    <xdr:row>37</xdr:row>
                    <xdr:rowOff>220980</xdr:rowOff>
                  </to>
                </anchor>
              </controlPr>
            </control>
          </mc:Choice>
        </mc:AlternateContent>
        <mc:AlternateContent xmlns:mc="http://schemas.openxmlformats.org/markup-compatibility/2006">
          <mc:Choice Requires="x14">
            <control shapeId="19463" r:id="rId7" name="Check Box 1031">
              <controlPr defaultSize="0" autoFill="0" autoLine="0" autoPict="0">
                <anchor moveWithCells="1">
                  <from>
                    <xdr:col>10</xdr:col>
                    <xdr:colOff>525780</xdr:colOff>
                    <xdr:row>13</xdr:row>
                    <xdr:rowOff>0</xdr:rowOff>
                  </from>
                  <to>
                    <xdr:col>11</xdr:col>
                    <xdr:colOff>144780</xdr:colOff>
                    <xdr:row>13</xdr:row>
                    <xdr:rowOff>220980</xdr:rowOff>
                  </to>
                </anchor>
              </controlPr>
            </control>
          </mc:Choice>
        </mc:AlternateContent>
        <mc:AlternateContent xmlns:mc="http://schemas.openxmlformats.org/markup-compatibility/2006">
          <mc:Choice Requires="x14">
            <control shapeId="19464" r:id="rId8" name="Check Box 1032">
              <controlPr defaultSize="0" autoFill="0" autoLine="0" autoPict="0">
                <anchor moveWithCells="1">
                  <from>
                    <xdr:col>10</xdr:col>
                    <xdr:colOff>525780</xdr:colOff>
                    <xdr:row>20</xdr:row>
                    <xdr:rowOff>0</xdr:rowOff>
                  </from>
                  <to>
                    <xdr:col>11</xdr:col>
                    <xdr:colOff>144780</xdr:colOff>
                    <xdr:row>20</xdr:row>
                    <xdr:rowOff>220980</xdr:rowOff>
                  </to>
                </anchor>
              </controlPr>
            </control>
          </mc:Choice>
        </mc:AlternateContent>
        <mc:AlternateContent xmlns:mc="http://schemas.openxmlformats.org/markup-compatibility/2006">
          <mc:Choice Requires="x14">
            <control shapeId="19465" r:id="rId9" name="Check Box 1033">
              <controlPr defaultSize="0" autoFill="0" autoLine="0" autoPict="0">
                <anchor moveWithCells="1">
                  <from>
                    <xdr:col>10</xdr:col>
                    <xdr:colOff>525780</xdr:colOff>
                    <xdr:row>21</xdr:row>
                    <xdr:rowOff>0</xdr:rowOff>
                  </from>
                  <to>
                    <xdr:col>11</xdr:col>
                    <xdr:colOff>144780</xdr:colOff>
                    <xdr:row>21</xdr:row>
                    <xdr:rowOff>220980</xdr:rowOff>
                  </to>
                </anchor>
              </controlPr>
            </control>
          </mc:Choice>
        </mc:AlternateContent>
        <mc:AlternateContent xmlns:mc="http://schemas.openxmlformats.org/markup-compatibility/2006">
          <mc:Choice Requires="x14">
            <control shapeId="19469" r:id="rId10" name="Check Box 1037">
              <controlPr defaultSize="0" autoFill="0" autoLine="0" autoPict="0">
                <anchor moveWithCells="1">
                  <from>
                    <xdr:col>10</xdr:col>
                    <xdr:colOff>525780</xdr:colOff>
                    <xdr:row>22</xdr:row>
                    <xdr:rowOff>0</xdr:rowOff>
                  </from>
                  <to>
                    <xdr:col>11</xdr:col>
                    <xdr:colOff>144780</xdr:colOff>
                    <xdr:row>22</xdr:row>
                    <xdr:rowOff>220980</xdr:rowOff>
                  </to>
                </anchor>
              </controlPr>
            </control>
          </mc:Choice>
        </mc:AlternateContent>
        <mc:AlternateContent xmlns:mc="http://schemas.openxmlformats.org/markup-compatibility/2006">
          <mc:Choice Requires="x14">
            <control shapeId="19474" r:id="rId11" name="Check Box 1042">
              <controlPr defaultSize="0" autoFill="0" autoLine="0" autoPict="0">
                <anchor moveWithCells="1">
                  <from>
                    <xdr:col>10</xdr:col>
                    <xdr:colOff>525780</xdr:colOff>
                    <xdr:row>14</xdr:row>
                    <xdr:rowOff>0</xdr:rowOff>
                  </from>
                  <to>
                    <xdr:col>11</xdr:col>
                    <xdr:colOff>144780</xdr:colOff>
                    <xdr:row>14</xdr:row>
                    <xdr:rowOff>220980</xdr:rowOff>
                  </to>
                </anchor>
              </controlPr>
            </control>
          </mc:Choice>
        </mc:AlternateContent>
        <mc:AlternateContent xmlns:mc="http://schemas.openxmlformats.org/markup-compatibility/2006">
          <mc:Choice Requires="x14">
            <control shapeId="19487" r:id="rId12" name="Check Box 1055">
              <controlPr defaultSize="0" autoFill="0" autoLine="0" autoPict="0">
                <anchor moveWithCells="1">
                  <from>
                    <xdr:col>10</xdr:col>
                    <xdr:colOff>525780</xdr:colOff>
                    <xdr:row>16</xdr:row>
                    <xdr:rowOff>0</xdr:rowOff>
                  </from>
                  <to>
                    <xdr:col>11</xdr:col>
                    <xdr:colOff>144780</xdr:colOff>
                    <xdr:row>16</xdr:row>
                    <xdr:rowOff>220980</xdr:rowOff>
                  </to>
                </anchor>
              </controlPr>
            </control>
          </mc:Choice>
        </mc:AlternateContent>
        <mc:AlternateContent xmlns:mc="http://schemas.openxmlformats.org/markup-compatibility/2006">
          <mc:Choice Requires="x14">
            <control shapeId="19491" r:id="rId13" name="Check Box 1059">
              <controlPr defaultSize="0" autoFill="0" autoLine="0" autoPict="0">
                <anchor moveWithCells="1">
                  <from>
                    <xdr:col>10</xdr:col>
                    <xdr:colOff>525780</xdr:colOff>
                    <xdr:row>23</xdr:row>
                    <xdr:rowOff>0</xdr:rowOff>
                  </from>
                  <to>
                    <xdr:col>11</xdr:col>
                    <xdr:colOff>144780</xdr:colOff>
                    <xdr:row>23</xdr:row>
                    <xdr:rowOff>220980</xdr:rowOff>
                  </to>
                </anchor>
              </controlPr>
            </control>
          </mc:Choice>
        </mc:AlternateContent>
        <mc:AlternateContent xmlns:mc="http://schemas.openxmlformats.org/markup-compatibility/2006">
          <mc:Choice Requires="x14">
            <control shapeId="19493" r:id="rId14" name="Check Box 1061">
              <controlPr defaultSize="0" autoFill="0" autoLine="0" autoPict="0">
                <anchor moveWithCells="1">
                  <from>
                    <xdr:col>10</xdr:col>
                    <xdr:colOff>525780</xdr:colOff>
                    <xdr:row>25</xdr:row>
                    <xdr:rowOff>0</xdr:rowOff>
                  </from>
                  <to>
                    <xdr:col>11</xdr:col>
                    <xdr:colOff>144780</xdr:colOff>
                    <xdr:row>25</xdr:row>
                    <xdr:rowOff>220980</xdr:rowOff>
                  </to>
                </anchor>
              </controlPr>
            </control>
          </mc:Choice>
        </mc:AlternateContent>
        <mc:AlternateContent xmlns:mc="http://schemas.openxmlformats.org/markup-compatibility/2006">
          <mc:Choice Requires="x14">
            <control shapeId="19498" r:id="rId15" name="Check Box 1066">
              <controlPr defaultSize="0" autoFill="0" autoLine="0" autoPict="0">
                <anchor moveWithCells="1">
                  <from>
                    <xdr:col>10</xdr:col>
                    <xdr:colOff>525780</xdr:colOff>
                    <xdr:row>17</xdr:row>
                    <xdr:rowOff>0</xdr:rowOff>
                  </from>
                  <to>
                    <xdr:col>11</xdr:col>
                    <xdr:colOff>144780</xdr:colOff>
                    <xdr:row>17</xdr:row>
                    <xdr:rowOff>220980</xdr:rowOff>
                  </to>
                </anchor>
              </controlPr>
            </control>
          </mc:Choice>
        </mc:AlternateContent>
        <mc:AlternateContent xmlns:mc="http://schemas.openxmlformats.org/markup-compatibility/2006">
          <mc:Choice Requires="x14">
            <control shapeId="19502" r:id="rId16" name="Check Box 1070">
              <controlPr defaultSize="0" autoFill="0" autoLine="0" autoPict="0">
                <anchor moveWithCells="1">
                  <from>
                    <xdr:col>10</xdr:col>
                    <xdr:colOff>525780</xdr:colOff>
                    <xdr:row>17</xdr:row>
                    <xdr:rowOff>0</xdr:rowOff>
                  </from>
                  <to>
                    <xdr:col>11</xdr:col>
                    <xdr:colOff>144780</xdr:colOff>
                    <xdr:row>17</xdr:row>
                    <xdr:rowOff>220980</xdr:rowOff>
                  </to>
                </anchor>
              </controlPr>
            </control>
          </mc:Choice>
        </mc:AlternateContent>
        <mc:AlternateContent xmlns:mc="http://schemas.openxmlformats.org/markup-compatibility/2006">
          <mc:Choice Requires="x14">
            <control shapeId="19503" r:id="rId17" name="Check Box 1071">
              <controlPr defaultSize="0" autoFill="0" autoLine="0" autoPict="0">
                <anchor moveWithCells="1">
                  <from>
                    <xdr:col>10</xdr:col>
                    <xdr:colOff>525780</xdr:colOff>
                    <xdr:row>19</xdr:row>
                    <xdr:rowOff>0</xdr:rowOff>
                  </from>
                  <to>
                    <xdr:col>11</xdr:col>
                    <xdr:colOff>144780</xdr:colOff>
                    <xdr:row>19</xdr:row>
                    <xdr:rowOff>220980</xdr:rowOff>
                  </to>
                </anchor>
              </controlPr>
            </control>
          </mc:Choice>
        </mc:AlternateContent>
        <mc:AlternateContent xmlns:mc="http://schemas.openxmlformats.org/markup-compatibility/2006">
          <mc:Choice Requires="x14">
            <control shapeId="20058" r:id="rId18" name="Check Box 1626">
              <controlPr defaultSize="0" autoFill="0" autoLine="0" autoPict="0">
                <anchor moveWithCells="1">
                  <from>
                    <xdr:col>10</xdr:col>
                    <xdr:colOff>525780</xdr:colOff>
                    <xdr:row>26</xdr:row>
                    <xdr:rowOff>0</xdr:rowOff>
                  </from>
                  <to>
                    <xdr:col>11</xdr:col>
                    <xdr:colOff>144780</xdr:colOff>
                    <xdr:row>26</xdr:row>
                    <xdr:rowOff>220980</xdr:rowOff>
                  </to>
                </anchor>
              </controlPr>
            </control>
          </mc:Choice>
        </mc:AlternateContent>
        <mc:AlternateContent xmlns:mc="http://schemas.openxmlformats.org/markup-compatibility/2006">
          <mc:Choice Requires="x14">
            <control shapeId="20059" r:id="rId19" name="Check Box 1627">
              <controlPr defaultSize="0" autoFill="0" autoLine="0" autoPict="0">
                <anchor moveWithCells="1">
                  <from>
                    <xdr:col>10</xdr:col>
                    <xdr:colOff>525780</xdr:colOff>
                    <xdr:row>27</xdr:row>
                    <xdr:rowOff>0</xdr:rowOff>
                  </from>
                  <to>
                    <xdr:col>11</xdr:col>
                    <xdr:colOff>144780</xdr:colOff>
                    <xdr:row>27</xdr:row>
                    <xdr:rowOff>220980</xdr:rowOff>
                  </to>
                </anchor>
              </controlPr>
            </control>
          </mc:Choice>
        </mc:AlternateContent>
        <mc:AlternateContent xmlns:mc="http://schemas.openxmlformats.org/markup-compatibility/2006">
          <mc:Choice Requires="x14">
            <control shapeId="20060" r:id="rId20" name="Check Box 1628">
              <controlPr defaultSize="0" autoFill="0" autoLine="0" autoPict="0">
                <anchor moveWithCells="1">
                  <from>
                    <xdr:col>10</xdr:col>
                    <xdr:colOff>525780</xdr:colOff>
                    <xdr:row>28</xdr:row>
                    <xdr:rowOff>0</xdr:rowOff>
                  </from>
                  <to>
                    <xdr:col>11</xdr:col>
                    <xdr:colOff>144780</xdr:colOff>
                    <xdr:row>28</xdr:row>
                    <xdr:rowOff>220980</xdr:rowOff>
                  </to>
                </anchor>
              </controlPr>
            </control>
          </mc:Choice>
        </mc:AlternateContent>
        <mc:AlternateContent xmlns:mc="http://schemas.openxmlformats.org/markup-compatibility/2006">
          <mc:Choice Requires="x14">
            <control shapeId="20061" r:id="rId21" name="Check Box 1629">
              <controlPr defaultSize="0" autoFill="0" autoLine="0" autoPict="0">
                <anchor moveWithCells="1">
                  <from>
                    <xdr:col>10</xdr:col>
                    <xdr:colOff>525780</xdr:colOff>
                    <xdr:row>29</xdr:row>
                    <xdr:rowOff>0</xdr:rowOff>
                  </from>
                  <to>
                    <xdr:col>11</xdr:col>
                    <xdr:colOff>144780</xdr:colOff>
                    <xdr:row>29</xdr:row>
                    <xdr:rowOff>220980</xdr:rowOff>
                  </to>
                </anchor>
              </controlPr>
            </control>
          </mc:Choice>
        </mc:AlternateContent>
        <mc:AlternateContent xmlns:mc="http://schemas.openxmlformats.org/markup-compatibility/2006">
          <mc:Choice Requires="x14">
            <control shapeId="20062" r:id="rId22" name="Check Box 1630">
              <controlPr defaultSize="0" autoFill="0" autoLine="0" autoPict="0">
                <anchor moveWithCells="1">
                  <from>
                    <xdr:col>10</xdr:col>
                    <xdr:colOff>525780</xdr:colOff>
                    <xdr:row>30</xdr:row>
                    <xdr:rowOff>0</xdr:rowOff>
                  </from>
                  <to>
                    <xdr:col>11</xdr:col>
                    <xdr:colOff>144780</xdr:colOff>
                    <xdr:row>30</xdr:row>
                    <xdr:rowOff>220980</xdr:rowOff>
                  </to>
                </anchor>
              </controlPr>
            </control>
          </mc:Choice>
        </mc:AlternateContent>
        <mc:AlternateContent xmlns:mc="http://schemas.openxmlformats.org/markup-compatibility/2006">
          <mc:Choice Requires="x14">
            <control shapeId="14207863" r:id="rId23" name="Check Box 10103">
              <controlPr defaultSize="0" autoFill="0" autoLine="0" autoPict="0">
                <anchor moveWithCells="1">
                  <from>
                    <xdr:col>10</xdr:col>
                    <xdr:colOff>525780</xdr:colOff>
                    <xdr:row>15</xdr:row>
                    <xdr:rowOff>0</xdr:rowOff>
                  </from>
                  <to>
                    <xdr:col>11</xdr:col>
                    <xdr:colOff>144780</xdr:colOff>
                    <xdr:row>15</xdr:row>
                    <xdr:rowOff>220980</xdr:rowOff>
                  </to>
                </anchor>
              </controlPr>
            </control>
          </mc:Choice>
        </mc:AlternateContent>
        <mc:AlternateContent xmlns:mc="http://schemas.openxmlformats.org/markup-compatibility/2006">
          <mc:Choice Requires="x14">
            <control shapeId="14207864" r:id="rId24" name="Check Box 10104">
              <controlPr defaultSize="0" autoFill="0" autoLine="0" autoPict="0">
                <anchor moveWithCells="1">
                  <from>
                    <xdr:col>10</xdr:col>
                    <xdr:colOff>525780</xdr:colOff>
                    <xdr:row>24</xdr:row>
                    <xdr:rowOff>0</xdr:rowOff>
                  </from>
                  <to>
                    <xdr:col>11</xdr:col>
                    <xdr:colOff>144780</xdr:colOff>
                    <xdr:row>24</xdr:row>
                    <xdr:rowOff>220980</xdr:rowOff>
                  </to>
                </anchor>
              </controlPr>
            </control>
          </mc:Choice>
        </mc:AlternateContent>
        <mc:AlternateContent xmlns:mc="http://schemas.openxmlformats.org/markup-compatibility/2006">
          <mc:Choice Requires="x14">
            <control shapeId="34652468" r:id="rId25" name="Check Box 10548">
              <controlPr defaultSize="0" autoFill="0" autoLine="0" autoPict="0">
                <anchor moveWithCells="1">
                  <from>
                    <xdr:col>10</xdr:col>
                    <xdr:colOff>525780</xdr:colOff>
                    <xdr:row>18</xdr:row>
                    <xdr:rowOff>0</xdr:rowOff>
                  </from>
                  <to>
                    <xdr:col>11</xdr:col>
                    <xdr:colOff>144780</xdr:colOff>
                    <xdr:row>18</xdr:row>
                    <xdr:rowOff>220980</xdr:rowOff>
                  </to>
                </anchor>
              </controlPr>
            </control>
          </mc:Choice>
        </mc:AlternateContent>
        <mc:AlternateContent xmlns:mc="http://schemas.openxmlformats.org/markup-compatibility/2006">
          <mc:Choice Requires="x14">
            <control shapeId="34652469" r:id="rId26" name="Check Box 10549">
              <controlPr defaultSize="0" autoFill="0" autoLine="0" autoPict="0">
                <anchor moveWithCells="1">
                  <from>
                    <xdr:col>10</xdr:col>
                    <xdr:colOff>525780</xdr:colOff>
                    <xdr:row>18</xdr:row>
                    <xdr:rowOff>0</xdr:rowOff>
                  </from>
                  <to>
                    <xdr:col>11</xdr:col>
                    <xdr:colOff>144780</xdr:colOff>
                    <xdr:row>18</xdr:row>
                    <xdr:rowOff>220980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indexed="25"/>
    <pageSetUpPr fitToPage="1"/>
  </sheetPr>
  <dimension ref="B1:AB187"/>
  <sheetViews>
    <sheetView showGridLines="0" showRowColHeaders="0" workbookViewId="0">
      <selection activeCell="B2" sqref="B2:N2"/>
    </sheetView>
  </sheetViews>
  <sheetFormatPr baseColWidth="10" defaultColWidth="10.77734375" defaultRowHeight="13.8" x14ac:dyDescent="0.3"/>
  <cols>
    <col min="1" max="1" width="1.77734375" style="1" customWidth="1"/>
    <col min="2" max="2" width="33.33203125" style="1" customWidth="1"/>
    <col min="3" max="3" width="14.77734375" style="1" customWidth="1"/>
    <col min="4" max="4" width="13.77734375" style="1" customWidth="1"/>
    <col min="5" max="5" width="11.77734375" style="1" customWidth="1"/>
    <col min="6" max="6" width="14.77734375" style="1" customWidth="1"/>
    <col min="7" max="7" width="1" style="1" customWidth="1"/>
    <col min="8" max="9" width="14.77734375" style="1" customWidth="1"/>
    <col min="10" max="10" width="13.33203125" style="1" customWidth="1"/>
    <col min="11" max="11" width="15.77734375" style="1" customWidth="1"/>
    <col min="12" max="13" width="13.77734375" style="1" customWidth="1"/>
    <col min="14" max="14" width="12.77734375" style="1" customWidth="1"/>
    <col min="15" max="15" width="10.77734375" style="1"/>
    <col min="16" max="16" width="18.109375" style="1" bestFit="1" customWidth="1"/>
    <col min="17" max="17" width="19" style="1" bestFit="1" customWidth="1"/>
    <col min="18" max="16384" width="10.77734375" style="1"/>
  </cols>
  <sheetData>
    <row r="1" spans="2:28" ht="6" customHeight="1" x14ac:dyDescent="0.3"/>
    <row r="2" spans="2:28" ht="21.9" customHeight="1" x14ac:dyDescent="0.3">
      <c r="B2" s="3458" t="s">
        <v>906</v>
      </c>
      <c r="C2" s="3459"/>
      <c r="D2" s="3459"/>
      <c r="E2" s="3459"/>
      <c r="F2" s="3459"/>
      <c r="G2" s="3459"/>
      <c r="H2" s="3459"/>
      <c r="I2" s="3459"/>
      <c r="J2" s="3459"/>
      <c r="K2" s="3459"/>
      <c r="L2" s="3459"/>
      <c r="M2" s="3459"/>
      <c r="N2" s="3460"/>
      <c r="O2" s="1306"/>
      <c r="P2" s="1306"/>
    </row>
    <row r="3" spans="2:28" ht="15" customHeight="1" x14ac:dyDescent="0.3"/>
    <row r="4" spans="2:28" ht="21.9" customHeight="1" x14ac:dyDescent="0.3">
      <c r="B4" s="3461" t="s">
        <v>915</v>
      </c>
      <c r="C4" s="3462"/>
      <c r="D4" s="3462"/>
      <c r="E4" s="3462"/>
      <c r="F4" s="3462"/>
      <c r="G4" s="3462"/>
      <c r="H4" s="3462"/>
      <c r="I4" s="3462"/>
      <c r="J4" s="3462"/>
      <c r="K4" s="3462"/>
      <c r="L4" s="3462"/>
      <c r="M4" s="3462"/>
      <c r="N4" s="3463"/>
    </row>
    <row r="5" spans="2:28" ht="9.9" customHeight="1" x14ac:dyDescent="0.3"/>
    <row r="6" spans="2:28" s="42" customFormat="1" ht="20.100000000000001" customHeight="1" x14ac:dyDescent="0.3">
      <c r="B6" s="1138" t="s">
        <v>343</v>
      </c>
      <c r="C6" s="562"/>
      <c r="D6" s="3411" t="s">
        <v>331</v>
      </c>
      <c r="E6" s="3412"/>
      <c r="F6" s="3413"/>
      <c r="G6" s="3414"/>
      <c r="H6" s="3414"/>
      <c r="I6" s="3414"/>
      <c r="J6" s="3415"/>
      <c r="K6" s="3418" t="s">
        <v>344</v>
      </c>
      <c r="L6" s="3419"/>
      <c r="M6" s="3416"/>
      <c r="N6" s="3417"/>
      <c r="O6" s="7"/>
      <c r="P6" s="7"/>
      <c r="Q6" s="7"/>
      <c r="R6" s="7"/>
      <c r="S6" s="7"/>
      <c r="T6" s="7"/>
      <c r="U6" s="7"/>
      <c r="V6" s="7"/>
      <c r="W6" s="7"/>
      <c r="X6" s="7"/>
      <c r="Y6" s="7"/>
      <c r="Z6" s="7"/>
      <c r="AA6" s="7"/>
      <c r="AB6" s="7"/>
    </row>
    <row r="7" spans="2:28" s="42" customFormat="1" ht="9.9" customHeight="1" x14ac:dyDescent="0.3">
      <c r="B7" s="73"/>
      <c r="O7" s="7"/>
      <c r="P7" s="7"/>
      <c r="Q7" s="7"/>
      <c r="R7" s="7"/>
      <c r="S7" s="7"/>
      <c r="T7" s="7"/>
      <c r="U7" s="7"/>
      <c r="V7" s="7"/>
      <c r="W7" s="7"/>
      <c r="X7" s="7"/>
      <c r="Y7" s="7"/>
      <c r="Z7" s="7"/>
      <c r="AA7" s="7"/>
      <c r="AB7" s="7"/>
    </row>
    <row r="8" spans="2:28" s="42" customFormat="1" ht="20.100000000000001" customHeight="1" x14ac:dyDescent="0.3">
      <c r="B8" s="3550" t="s">
        <v>1143</v>
      </c>
      <c r="C8" s="3551"/>
      <c r="D8" s="3552"/>
      <c r="E8" s="3552"/>
      <c r="F8" s="3552"/>
      <c r="G8" s="3552"/>
      <c r="H8" s="3552"/>
      <c r="I8" s="3552"/>
      <c r="J8" s="3553"/>
      <c r="K8" s="1250" t="s">
        <v>304</v>
      </c>
      <c r="L8" s="3548"/>
      <c r="M8" s="3414"/>
      <c r="N8" s="3415"/>
      <c r="O8" s="7"/>
      <c r="P8" s="7"/>
      <c r="Q8" s="7"/>
      <c r="R8" s="7"/>
      <c r="S8" s="7"/>
      <c r="T8" s="7"/>
      <c r="U8" s="7"/>
      <c r="V8" s="7"/>
      <c r="W8" s="7"/>
      <c r="X8" s="7"/>
      <c r="Y8" s="7"/>
      <c r="Z8" s="7"/>
      <c r="AA8" s="7"/>
      <c r="AB8" s="7"/>
    </row>
    <row r="9" spans="2:28" s="42" customFormat="1" ht="20.100000000000001" customHeight="1" x14ac:dyDescent="0.3">
      <c r="B9" s="3550"/>
      <c r="C9" s="3554"/>
      <c r="D9" s="3555"/>
      <c r="E9" s="3555"/>
      <c r="F9" s="3555"/>
      <c r="G9" s="3555"/>
      <c r="H9" s="3555"/>
      <c r="I9" s="3555"/>
      <c r="J9" s="3556"/>
      <c r="K9" s="1251" t="s">
        <v>1142</v>
      </c>
      <c r="L9" s="3548"/>
      <c r="M9" s="3549"/>
      <c r="N9" s="3415"/>
      <c r="O9" s="7"/>
      <c r="P9" s="7"/>
      <c r="Q9" s="7"/>
      <c r="R9" s="7"/>
      <c r="S9" s="7"/>
      <c r="T9" s="7"/>
      <c r="U9" s="7"/>
      <c r="V9" s="7"/>
      <c r="W9" s="7"/>
      <c r="X9" s="7"/>
      <c r="Y9" s="7"/>
      <c r="Z9" s="7"/>
      <c r="AA9" s="7"/>
      <c r="AB9" s="7"/>
    </row>
    <row r="10" spans="2:28" s="42" customFormat="1" ht="9.9" customHeight="1" x14ac:dyDescent="0.3">
      <c r="B10" s="73"/>
      <c r="C10" s="73"/>
      <c r="D10" s="73"/>
      <c r="E10" s="73"/>
      <c r="K10" s="124"/>
      <c r="L10" s="124"/>
      <c r="M10" s="124"/>
      <c r="O10" s="7"/>
      <c r="P10" s="7"/>
      <c r="Q10" s="7"/>
      <c r="R10" s="7"/>
      <c r="S10" s="7"/>
      <c r="T10" s="7"/>
      <c r="U10" s="7"/>
      <c r="V10" s="7"/>
      <c r="W10" s="7"/>
      <c r="X10" s="7"/>
      <c r="Y10" s="7"/>
      <c r="Z10" s="7"/>
      <c r="AA10" s="7"/>
      <c r="AB10" s="7"/>
    </row>
    <row r="11" spans="2:28" s="42" customFormat="1" ht="20.100000000000001" customHeight="1" x14ac:dyDescent="0.3">
      <c r="B11" s="1138" t="s">
        <v>175</v>
      </c>
      <c r="C11" s="3469"/>
      <c r="D11" s="3470"/>
      <c r="E11" s="3470"/>
      <c r="F11" s="3470"/>
      <c r="G11" s="3470"/>
      <c r="H11" s="3470"/>
      <c r="I11" s="3470"/>
      <c r="J11" s="3471"/>
      <c r="K11" s="1248" t="s">
        <v>540</v>
      </c>
      <c r="L11" s="3466"/>
      <c r="M11" s="3467"/>
      <c r="N11" s="3468"/>
      <c r="O11" s="7"/>
      <c r="P11" s="7"/>
      <c r="Q11" s="7"/>
      <c r="R11" s="7"/>
      <c r="S11" s="7"/>
      <c r="T11" s="7"/>
      <c r="U11" s="7"/>
      <c r="V11" s="7"/>
      <c r="W11" s="7"/>
      <c r="X11" s="7"/>
      <c r="Y11" s="7"/>
      <c r="Z11" s="7"/>
      <c r="AA11" s="7"/>
      <c r="AB11" s="7"/>
    </row>
    <row r="12" spans="2:28" s="42" customFormat="1" ht="9.9" customHeight="1" x14ac:dyDescent="0.3">
      <c r="B12" s="73"/>
      <c r="C12" s="73"/>
      <c r="D12" s="73"/>
      <c r="E12" s="73"/>
      <c r="K12" s="124"/>
      <c r="L12" s="124"/>
      <c r="M12" s="124"/>
      <c r="O12" s="7"/>
      <c r="P12" s="7"/>
      <c r="Q12" s="7"/>
      <c r="R12" s="7"/>
      <c r="S12" s="7"/>
      <c r="T12" s="7"/>
      <c r="U12" s="7"/>
      <c r="V12" s="7"/>
      <c r="W12" s="7"/>
      <c r="X12" s="7"/>
      <c r="Y12" s="7"/>
      <c r="Z12" s="7"/>
      <c r="AA12" s="7"/>
      <c r="AB12" s="7"/>
    </row>
    <row r="13" spans="2:28" s="42" customFormat="1" ht="20.100000000000001" customHeight="1" x14ac:dyDescent="0.3">
      <c r="B13" s="1138" t="s">
        <v>347</v>
      </c>
      <c r="C13" s="3472"/>
      <c r="D13" s="3473"/>
      <c r="E13" s="3474"/>
      <c r="F13" s="394"/>
      <c r="G13" s="395"/>
      <c r="H13" s="3475" t="s">
        <v>551</v>
      </c>
      <c r="I13" s="3476"/>
      <c r="J13" s="562"/>
      <c r="K13" s="3480" t="s">
        <v>552</v>
      </c>
      <c r="L13" s="3481"/>
      <c r="M13" s="3482"/>
      <c r="N13" s="562"/>
      <c r="O13" s="7"/>
      <c r="P13" s="7"/>
      <c r="Q13" s="7"/>
      <c r="R13" s="7"/>
      <c r="S13" s="7"/>
      <c r="T13" s="7"/>
      <c r="U13" s="7"/>
      <c r="V13" s="7"/>
      <c r="W13" s="7"/>
      <c r="X13" s="7"/>
      <c r="Y13" s="7"/>
      <c r="Z13" s="7"/>
      <c r="AA13" s="7"/>
      <c r="AB13" s="7"/>
    </row>
    <row r="14" spans="2:28" s="42" customFormat="1" ht="9.9" customHeight="1" x14ac:dyDescent="0.3">
      <c r="B14" s="73"/>
      <c r="C14" s="73"/>
      <c r="D14" s="73"/>
      <c r="E14" s="73"/>
      <c r="L14" s="124"/>
      <c r="M14" s="124"/>
      <c r="N14" s="124"/>
      <c r="O14" s="7"/>
      <c r="P14" s="7"/>
      <c r="Q14" s="7"/>
      <c r="R14" s="7"/>
      <c r="S14" s="7"/>
      <c r="T14" s="7"/>
      <c r="U14" s="7"/>
      <c r="V14" s="7"/>
      <c r="W14" s="7"/>
      <c r="X14" s="7"/>
      <c r="Y14" s="7"/>
      <c r="Z14" s="7"/>
      <c r="AA14" s="7"/>
      <c r="AB14" s="7"/>
    </row>
    <row r="15" spans="2:28" s="42" customFormat="1" ht="20.100000000000001" customHeight="1" x14ac:dyDescent="0.3">
      <c r="B15" s="1138" t="s">
        <v>346</v>
      </c>
      <c r="C15" s="566"/>
      <c r="D15" s="3411" t="s">
        <v>553</v>
      </c>
      <c r="E15" s="3510"/>
      <c r="F15" s="3510"/>
      <c r="G15" s="3510"/>
      <c r="H15" s="3510"/>
      <c r="I15" s="3412"/>
      <c r="J15" s="1142"/>
      <c r="L15" s="3464" t="s">
        <v>554</v>
      </c>
      <c r="M15" s="3465"/>
      <c r="N15" s="1143" t="str">
        <f>IF(ISBLANK(J15)," ",C15/J15)</f>
        <v xml:space="preserve"> </v>
      </c>
      <c r="O15" s="7"/>
      <c r="P15" s="7"/>
      <c r="Q15" s="7"/>
      <c r="R15" s="7"/>
      <c r="S15" s="7"/>
      <c r="T15" s="7"/>
      <c r="U15" s="7"/>
      <c r="V15" s="7"/>
      <c r="W15" s="7"/>
      <c r="X15" s="7"/>
      <c r="Y15" s="7"/>
      <c r="Z15" s="7"/>
      <c r="AA15" s="7"/>
      <c r="AB15" s="7"/>
    </row>
    <row r="16" spans="2:28" s="42" customFormat="1" ht="9.9" customHeight="1" x14ac:dyDescent="0.3">
      <c r="B16" s="73"/>
      <c r="C16" s="73"/>
      <c r="D16" s="73"/>
      <c r="E16" s="73"/>
      <c r="L16" s="124"/>
      <c r="M16" s="124"/>
      <c r="N16" s="124"/>
      <c r="O16" s="7"/>
      <c r="P16" s="7"/>
      <c r="Q16" s="7"/>
      <c r="R16" s="7"/>
      <c r="S16" s="7"/>
      <c r="T16" s="7"/>
      <c r="U16" s="7"/>
      <c r="V16" s="7"/>
      <c r="W16" s="7"/>
      <c r="X16" s="7"/>
      <c r="Y16" s="7"/>
      <c r="Z16" s="7"/>
      <c r="AA16" s="7"/>
      <c r="AB16" s="7"/>
    </row>
    <row r="17" spans="2:28" s="42" customFormat="1" ht="30" customHeight="1" x14ac:dyDescent="0.3">
      <c r="B17" s="1247" t="s">
        <v>1110</v>
      </c>
      <c r="C17" s="567"/>
      <c r="E17" s="116"/>
      <c r="F17" s="3485" t="s">
        <v>556</v>
      </c>
      <c r="G17" s="3485"/>
      <c r="H17" s="3486"/>
      <c r="I17" s="3487"/>
      <c r="J17" s="567"/>
      <c r="L17" s="3483" t="s">
        <v>555</v>
      </c>
      <c r="M17" s="3484"/>
      <c r="N17" s="567"/>
      <c r="O17" s="7"/>
      <c r="P17" s="7"/>
      <c r="Q17" s="7"/>
      <c r="R17" s="7"/>
      <c r="S17" s="7"/>
      <c r="T17" s="7"/>
      <c r="U17" s="7"/>
      <c r="V17" s="7"/>
      <c r="W17" s="7"/>
      <c r="X17" s="7"/>
      <c r="Y17" s="7"/>
      <c r="Z17" s="7"/>
      <c r="AA17" s="7"/>
      <c r="AB17" s="7"/>
    </row>
    <row r="18" spans="2:28" s="42" customFormat="1" ht="9.9" customHeight="1" x14ac:dyDescent="0.3">
      <c r="B18" s="73"/>
      <c r="L18" s="3502" t="str">
        <f>IF((C17+J17+N17)=0," ",IF((C17+J17+N17)&lt;100%,"attention : % total &lt; 100%",IF((C17+J17+N17)&gt;100%,"attention : % total &gt; 100%"," ")))</f>
        <v xml:space="preserve"> </v>
      </c>
      <c r="M18" s="3502"/>
      <c r="N18" s="3502"/>
      <c r="O18" s="7"/>
      <c r="P18" s="7"/>
      <c r="Q18" s="7"/>
      <c r="R18" s="7"/>
      <c r="S18" s="7"/>
      <c r="T18" s="7"/>
      <c r="U18" s="7"/>
      <c r="V18" s="7"/>
      <c r="W18" s="7"/>
      <c r="X18" s="7"/>
      <c r="Y18" s="7"/>
      <c r="Z18" s="7"/>
      <c r="AA18" s="7"/>
      <c r="AB18" s="7"/>
    </row>
    <row r="19" spans="2:28" s="42" customFormat="1" ht="20.100000000000001" customHeight="1" x14ac:dyDescent="0.3">
      <c r="B19" s="553" t="s">
        <v>329</v>
      </c>
      <c r="C19" s="1144"/>
      <c r="D19" s="554"/>
      <c r="E19" s="554"/>
      <c r="H19" s="400" t="s">
        <v>335</v>
      </c>
      <c r="I19" s="400"/>
      <c r="J19" s="568"/>
      <c r="K19" s="510"/>
      <c r="L19" s="3508" t="s">
        <v>593</v>
      </c>
      <c r="M19" s="3509"/>
      <c r="N19" s="1145"/>
      <c r="O19" s="7"/>
      <c r="P19" s="7"/>
      <c r="Q19" s="7"/>
      <c r="R19" s="7"/>
      <c r="S19" s="7"/>
      <c r="T19" s="7"/>
      <c r="U19" s="7"/>
      <c r="V19" s="7"/>
      <c r="W19" s="7"/>
      <c r="X19" s="7"/>
      <c r="Y19" s="7"/>
      <c r="Z19" s="7"/>
      <c r="AA19" s="7"/>
      <c r="AB19" s="7"/>
    </row>
    <row r="20" spans="2:28" s="42" customFormat="1" ht="20.100000000000001" customHeight="1" x14ac:dyDescent="0.3">
      <c r="B20" s="555" t="s">
        <v>327</v>
      </c>
      <c r="C20" s="554"/>
      <c r="D20" s="554"/>
      <c r="E20" s="554"/>
      <c r="H20" s="400" t="s">
        <v>327</v>
      </c>
      <c r="O20" s="7"/>
      <c r="P20" s="7"/>
      <c r="Q20" s="7"/>
      <c r="R20" s="7"/>
      <c r="S20" s="7"/>
      <c r="T20" s="7"/>
      <c r="U20" s="7"/>
      <c r="V20" s="7"/>
      <c r="W20" s="7"/>
      <c r="X20" s="7"/>
      <c r="Y20" s="7"/>
      <c r="Z20" s="7"/>
      <c r="AA20" s="7"/>
      <c r="AB20" s="7"/>
    </row>
    <row r="21" spans="2:28" s="78" customFormat="1" ht="14.4" x14ac:dyDescent="0.3">
      <c r="B21" s="3518"/>
      <c r="C21" s="3519"/>
      <c r="D21" s="3519"/>
      <c r="E21" s="3520"/>
      <c r="F21" s="79"/>
      <c r="G21" s="79"/>
      <c r="H21" s="3527"/>
      <c r="I21" s="3528"/>
      <c r="J21" s="3528"/>
      <c r="K21" s="3528"/>
      <c r="L21" s="3528"/>
      <c r="M21" s="3528"/>
      <c r="N21" s="3529"/>
      <c r="O21" s="81"/>
      <c r="P21" s="81"/>
      <c r="Q21" s="81"/>
      <c r="R21" s="81"/>
      <c r="S21" s="81"/>
      <c r="T21" s="81"/>
      <c r="U21" s="81"/>
      <c r="V21" s="81"/>
      <c r="W21" s="81"/>
      <c r="X21" s="81"/>
      <c r="Y21" s="81"/>
      <c r="Z21" s="81"/>
      <c r="AA21" s="81"/>
      <c r="AB21" s="81"/>
    </row>
    <row r="22" spans="2:28" s="78" customFormat="1" ht="14.4" x14ac:dyDescent="0.3">
      <c r="B22" s="3521"/>
      <c r="C22" s="3522"/>
      <c r="D22" s="3522"/>
      <c r="E22" s="3523"/>
      <c r="F22" s="79"/>
      <c r="G22" s="79"/>
      <c r="H22" s="3530"/>
      <c r="I22" s="3531"/>
      <c r="J22" s="3531"/>
      <c r="K22" s="3531"/>
      <c r="L22" s="3531"/>
      <c r="M22" s="3531"/>
      <c r="N22" s="3532"/>
      <c r="O22" s="81"/>
      <c r="P22" s="81"/>
      <c r="Q22" s="81"/>
      <c r="R22" s="81"/>
      <c r="S22" s="81"/>
      <c r="T22" s="81"/>
      <c r="U22" s="81"/>
      <c r="V22" s="81"/>
      <c r="W22" s="81"/>
      <c r="X22" s="81"/>
      <c r="Y22" s="81"/>
      <c r="Z22" s="81"/>
      <c r="AA22" s="81"/>
      <c r="AB22" s="81"/>
    </row>
    <row r="23" spans="2:28" s="78" customFormat="1" ht="14.4" x14ac:dyDescent="0.3">
      <c r="B23" s="3524"/>
      <c r="C23" s="3525"/>
      <c r="D23" s="3525"/>
      <c r="E23" s="3526"/>
      <c r="F23" s="79"/>
      <c r="G23" s="79"/>
      <c r="H23" s="3533"/>
      <c r="I23" s="3534"/>
      <c r="J23" s="3534"/>
      <c r="K23" s="3534"/>
      <c r="L23" s="3534"/>
      <c r="M23" s="3534"/>
      <c r="N23" s="3535"/>
      <c r="O23" s="81"/>
      <c r="P23" s="81"/>
      <c r="Q23" s="81"/>
      <c r="R23" s="81"/>
      <c r="S23" s="81"/>
      <c r="T23" s="81"/>
      <c r="U23" s="81"/>
      <c r="V23" s="81"/>
      <c r="W23" s="81"/>
      <c r="X23" s="81"/>
      <c r="Y23" s="81"/>
      <c r="Z23" s="81"/>
      <c r="AA23" s="81"/>
      <c r="AB23" s="81"/>
    </row>
    <row r="24" spans="2:28" s="78" customFormat="1" ht="9.9" customHeight="1" x14ac:dyDescent="0.3">
      <c r="O24" s="81"/>
      <c r="P24" s="81"/>
      <c r="Q24" s="81"/>
      <c r="R24" s="81"/>
      <c r="S24" s="81"/>
      <c r="T24" s="81"/>
      <c r="U24" s="81"/>
      <c r="V24" s="81"/>
      <c r="W24" s="81"/>
      <c r="X24" s="81"/>
      <c r="Y24" s="81"/>
      <c r="Z24" s="81"/>
      <c r="AA24" s="81"/>
      <c r="AB24" s="81"/>
    </row>
    <row r="25" spans="2:28" s="42" customFormat="1" ht="20.100000000000001" customHeight="1" x14ac:dyDescent="0.35">
      <c r="B25" s="396" t="s">
        <v>182</v>
      </c>
      <c r="C25" s="100"/>
      <c r="D25" s="3515" t="s">
        <v>1041</v>
      </c>
      <c r="E25" s="3515"/>
      <c r="F25" s="3515"/>
      <c r="G25" s="100"/>
      <c r="H25" s="3431"/>
      <c r="I25" s="3432"/>
      <c r="J25" s="3432"/>
      <c r="K25" s="3432"/>
      <c r="L25" s="3432"/>
      <c r="M25" s="3432"/>
      <c r="N25" s="3433"/>
      <c r="O25" s="7"/>
      <c r="P25" s="7"/>
      <c r="Q25" s="7"/>
      <c r="R25" s="7"/>
      <c r="S25" s="7"/>
      <c r="T25" s="7"/>
      <c r="U25" s="7"/>
      <c r="V25" s="7"/>
      <c r="W25" s="7"/>
      <c r="X25" s="7"/>
      <c r="Y25" s="7"/>
      <c r="Z25" s="7"/>
      <c r="AA25" s="7"/>
      <c r="AB25" s="7"/>
    </row>
    <row r="26" spans="2:28" s="42" customFormat="1" ht="3" customHeight="1" x14ac:dyDescent="0.3">
      <c r="B26" s="43"/>
      <c r="C26" s="100"/>
      <c r="F26" s="100"/>
      <c r="G26" s="100"/>
      <c r="H26" s="99"/>
      <c r="I26" s="99"/>
      <c r="J26" s="99"/>
      <c r="K26" s="99"/>
      <c r="L26" s="99"/>
      <c r="M26" s="99"/>
      <c r="N26" s="99"/>
      <c r="O26" s="7"/>
      <c r="P26" s="7"/>
      <c r="Q26" s="7"/>
      <c r="R26" s="7"/>
      <c r="S26" s="7"/>
      <c r="T26" s="7"/>
      <c r="U26" s="7"/>
      <c r="V26" s="7"/>
      <c r="W26" s="7"/>
      <c r="X26" s="7"/>
      <c r="Y26" s="7"/>
      <c r="Z26" s="7"/>
      <c r="AA26" s="7"/>
      <c r="AB26" s="7"/>
    </row>
    <row r="27" spans="2:28" s="42" customFormat="1" ht="20.100000000000001" customHeight="1" x14ac:dyDescent="0.3">
      <c r="B27" s="401" t="s">
        <v>200</v>
      </c>
      <c r="C27" s="1140"/>
      <c r="F27" s="102"/>
      <c r="G27" s="102"/>
      <c r="H27" s="3510" t="s">
        <v>359</v>
      </c>
      <c r="I27" s="3511"/>
      <c r="J27" s="3511"/>
      <c r="K27" s="3511"/>
      <c r="L27" s="3511"/>
      <c r="M27" s="3512"/>
      <c r="N27" s="550"/>
      <c r="O27" s="7"/>
      <c r="P27" s="7"/>
      <c r="Q27" s="7"/>
      <c r="R27" s="7"/>
      <c r="S27" s="7"/>
      <c r="T27" s="7"/>
      <c r="U27" s="7"/>
      <c r="V27" s="7"/>
      <c r="W27" s="7"/>
      <c r="X27" s="7"/>
      <c r="Y27" s="7"/>
      <c r="Z27" s="7"/>
      <c r="AA27" s="7"/>
      <c r="AB27" s="7"/>
    </row>
    <row r="28" spans="2:28" s="42" customFormat="1" ht="20.100000000000001" customHeight="1" x14ac:dyDescent="0.3">
      <c r="B28" s="401" t="s">
        <v>173</v>
      </c>
      <c r="C28" s="1141"/>
      <c r="O28" s="7"/>
      <c r="P28" s="7"/>
      <c r="Q28" s="7"/>
      <c r="R28" s="7"/>
      <c r="S28" s="7"/>
      <c r="T28" s="7"/>
      <c r="U28" s="7"/>
      <c r="V28" s="7"/>
      <c r="W28" s="7"/>
      <c r="X28" s="7"/>
      <c r="Y28" s="7"/>
      <c r="Z28" s="7"/>
      <c r="AA28" s="7"/>
      <c r="AB28" s="7"/>
    </row>
    <row r="29" spans="2:28" s="42" customFormat="1" ht="20.100000000000001" customHeight="1" x14ac:dyDescent="0.3">
      <c r="B29" s="401" t="s">
        <v>319</v>
      </c>
      <c r="C29" s="1141"/>
      <c r="D29" s="3544" t="s">
        <v>340</v>
      </c>
      <c r="E29" s="3545"/>
      <c r="F29" s="3545"/>
      <c r="G29" s="100"/>
      <c r="H29" s="3506"/>
      <c r="I29" s="3507"/>
      <c r="J29" s="3540" t="s">
        <v>341</v>
      </c>
      <c r="K29" s="3541"/>
      <c r="L29" s="3542"/>
      <c r="M29" s="3536"/>
      <c r="N29" s="3537"/>
      <c r="O29" s="7"/>
      <c r="P29" s="7"/>
      <c r="Q29" s="7"/>
      <c r="R29" s="7"/>
      <c r="S29" s="7"/>
      <c r="T29" s="7"/>
      <c r="U29" s="7"/>
      <c r="V29" s="7"/>
      <c r="W29" s="7"/>
      <c r="X29" s="7"/>
      <c r="Y29" s="7"/>
      <c r="Z29" s="7"/>
      <c r="AA29" s="7"/>
      <c r="AB29" s="7"/>
    </row>
    <row r="30" spans="2:28" s="42" customFormat="1" ht="9.9" customHeight="1" x14ac:dyDescent="0.3">
      <c r="B30" s="73"/>
      <c r="C30" s="104"/>
      <c r="F30" s="103"/>
      <c r="G30" s="103"/>
      <c r="L30" s="98"/>
      <c r="M30" s="119"/>
      <c r="O30" s="7"/>
      <c r="P30" s="7"/>
      <c r="Q30" s="7"/>
      <c r="R30" s="7"/>
      <c r="S30" s="7"/>
      <c r="T30" s="7"/>
      <c r="U30" s="7"/>
      <c r="V30" s="7"/>
      <c r="W30" s="7"/>
      <c r="X30" s="7"/>
      <c r="Y30" s="7"/>
      <c r="Z30" s="7"/>
      <c r="AA30" s="7"/>
      <c r="AB30" s="7"/>
    </row>
    <row r="31" spans="2:28" s="42" customFormat="1" ht="20.100000000000001" customHeight="1" x14ac:dyDescent="0.3">
      <c r="C31" s="98"/>
      <c r="D31" s="3543" t="s">
        <v>1170</v>
      </c>
      <c r="E31" s="3543"/>
      <c r="F31" s="3543"/>
      <c r="H31" s="3538"/>
      <c r="I31" s="3539"/>
      <c r="J31" s="3540" t="s">
        <v>1167</v>
      </c>
      <c r="K31" s="3541"/>
      <c r="L31" s="3542"/>
      <c r="M31" s="3513" t="str">
        <f>IF(ISERROR(IF(AND(ISBLANK(C28),ISBLANK(C29),ISBLANK(H31))," ",(H31/12)/(C28+C29)))," ",IF(AND(ISBLANK(C28),ISBLANK(C29),ISBLANK(H31))," ",(H31/12)/(C28+C29)))</f>
        <v xml:space="preserve"> </v>
      </c>
      <c r="N31" s="3514"/>
      <c r="O31" s="7"/>
      <c r="P31" s="7"/>
      <c r="Q31" s="7"/>
      <c r="R31" s="7"/>
      <c r="S31" s="7"/>
      <c r="T31" s="7"/>
      <c r="U31" s="7"/>
      <c r="V31" s="7"/>
      <c r="W31" s="7"/>
      <c r="X31" s="7"/>
      <c r="Y31" s="7"/>
      <c r="Z31" s="7"/>
      <c r="AA31" s="7"/>
      <c r="AB31" s="7"/>
    </row>
    <row r="32" spans="2:28" s="78" customFormat="1" ht="9.9" customHeight="1" x14ac:dyDescent="0.3">
      <c r="O32" s="81"/>
      <c r="P32" s="81"/>
      <c r="Q32" s="1307"/>
      <c r="R32" s="81"/>
      <c r="S32" s="81"/>
      <c r="T32" s="81"/>
      <c r="U32" s="81"/>
      <c r="V32" s="81"/>
      <c r="W32" s="81"/>
      <c r="X32" s="81"/>
      <c r="Y32" s="81"/>
      <c r="Z32" s="81"/>
      <c r="AA32" s="81"/>
      <c r="AB32" s="81"/>
    </row>
    <row r="33" spans="2:28" s="42" customFormat="1" ht="24.9" customHeight="1" x14ac:dyDescent="0.3">
      <c r="B33" s="3456" t="s">
        <v>535</v>
      </c>
      <c r="C33" s="3516"/>
      <c r="D33" s="3516"/>
      <c r="E33" s="3517"/>
      <c r="F33" s="3399"/>
      <c r="G33" s="126"/>
      <c r="H33" s="571"/>
      <c r="I33" s="402"/>
      <c r="K33" s="100" t="s">
        <v>424</v>
      </c>
      <c r="L33" s="3503"/>
      <c r="M33" s="3504"/>
      <c r="N33" s="3505"/>
      <c r="O33" s="7"/>
      <c r="P33" s="7"/>
      <c r="Q33" s="1308"/>
      <c r="R33" s="7"/>
      <c r="S33" s="7"/>
      <c r="T33" s="7"/>
      <c r="U33" s="7"/>
      <c r="V33" s="7"/>
      <c r="W33" s="7"/>
      <c r="X33" s="7"/>
      <c r="Y33" s="7"/>
      <c r="Z33" s="7"/>
      <c r="AA33" s="7"/>
      <c r="AB33" s="7"/>
    </row>
    <row r="34" spans="2:28" s="76" customFormat="1" ht="9.9" customHeight="1" x14ac:dyDescent="0.3">
      <c r="O34" s="2"/>
      <c r="P34" s="2"/>
      <c r="Q34" s="1309"/>
      <c r="R34" s="2"/>
      <c r="S34" s="2"/>
      <c r="T34" s="2"/>
      <c r="U34" s="2"/>
      <c r="V34" s="2"/>
      <c r="W34" s="2"/>
      <c r="X34" s="2"/>
      <c r="Y34" s="2"/>
      <c r="Z34" s="2"/>
      <c r="AA34" s="2"/>
      <c r="AB34" s="2"/>
    </row>
    <row r="35" spans="2:28" ht="20.100000000000001" customHeight="1" x14ac:dyDescent="0.3">
      <c r="B35" s="3490" t="s">
        <v>993</v>
      </c>
      <c r="C35" s="3399"/>
      <c r="D35" s="3399"/>
      <c r="E35" s="3399"/>
      <c r="F35" s="3399"/>
    </row>
    <row r="36" spans="2:28" s="81" customFormat="1" ht="20.100000000000001" customHeight="1" x14ac:dyDescent="0.3">
      <c r="B36" s="3366"/>
      <c r="C36" s="3366"/>
      <c r="D36" s="3366"/>
      <c r="E36" s="3366"/>
      <c r="F36" s="3366"/>
      <c r="G36" s="3366"/>
      <c r="H36" s="3366"/>
      <c r="I36" s="3366"/>
      <c r="J36" s="3366"/>
      <c r="K36" s="3366"/>
      <c r="L36" s="3366"/>
      <c r="M36" s="3366"/>
      <c r="N36" s="3366"/>
    </row>
    <row r="37" spans="2:28" s="81" customFormat="1" ht="20.100000000000001" customHeight="1" x14ac:dyDescent="0.3">
      <c r="B37" s="3366"/>
      <c r="C37" s="3366"/>
      <c r="D37" s="3366"/>
      <c r="E37" s="3366"/>
      <c r="F37" s="3366"/>
      <c r="G37" s="3366"/>
      <c r="H37" s="3366"/>
      <c r="I37" s="3366"/>
      <c r="J37" s="3366"/>
      <c r="K37" s="3366"/>
      <c r="L37" s="3366"/>
      <c r="M37" s="3366"/>
      <c r="N37" s="3366"/>
    </row>
    <row r="38" spans="2:28" s="81" customFormat="1" ht="20.100000000000001" customHeight="1" x14ac:dyDescent="0.3">
      <c r="B38" s="560"/>
      <c r="C38" s="560"/>
      <c r="D38" s="560"/>
      <c r="E38" s="560"/>
      <c r="F38" s="560"/>
      <c r="G38" s="560"/>
      <c r="H38" s="560"/>
      <c r="I38" s="560"/>
      <c r="J38" s="560"/>
      <c r="K38" s="560"/>
      <c r="L38" s="560"/>
      <c r="M38" s="560"/>
      <c r="N38" s="560"/>
    </row>
    <row r="39" spans="2:28" s="81" customFormat="1" ht="20.100000000000001" customHeight="1" x14ac:dyDescent="0.3">
      <c r="B39" s="3366"/>
      <c r="C39" s="3366"/>
      <c r="D39" s="3366"/>
      <c r="E39" s="3366"/>
      <c r="F39" s="3366"/>
      <c r="G39" s="3366"/>
      <c r="H39" s="3366"/>
      <c r="I39" s="3366"/>
      <c r="J39" s="3366"/>
      <c r="K39" s="3366"/>
      <c r="L39" s="3366"/>
      <c r="M39" s="3366"/>
      <c r="N39" s="3366"/>
    </row>
    <row r="40" spans="2:28" s="81" customFormat="1" ht="20.100000000000001" customHeight="1" x14ac:dyDescent="0.3">
      <c r="B40" s="3366"/>
      <c r="C40" s="3366"/>
      <c r="D40" s="3366"/>
      <c r="E40" s="3366"/>
      <c r="F40" s="3366"/>
      <c r="G40" s="3366"/>
      <c r="H40" s="3366"/>
      <c r="I40" s="3366"/>
      <c r="J40" s="3366"/>
      <c r="K40" s="3366"/>
      <c r="L40" s="3366"/>
      <c r="M40" s="3366"/>
      <c r="N40" s="3366"/>
    </row>
    <row r="41" spans="2:28" s="81" customFormat="1" ht="20.100000000000001" customHeight="1" x14ac:dyDescent="0.3">
      <c r="B41" s="3366"/>
      <c r="C41" s="3366"/>
      <c r="D41" s="3366"/>
      <c r="E41" s="3366"/>
      <c r="F41" s="3366"/>
      <c r="G41" s="3366"/>
      <c r="H41" s="3366"/>
      <c r="I41" s="3366"/>
      <c r="J41" s="3366"/>
      <c r="K41" s="3366"/>
      <c r="L41" s="3366"/>
      <c r="M41" s="3366"/>
      <c r="N41" s="3366"/>
    </row>
    <row r="42" spans="2:28" s="81" customFormat="1" ht="20.100000000000001" customHeight="1" x14ac:dyDescent="0.3">
      <c r="B42" s="3366"/>
      <c r="C42" s="3366"/>
      <c r="D42" s="3366"/>
      <c r="E42" s="3366"/>
      <c r="F42" s="3366"/>
      <c r="G42" s="3366"/>
      <c r="H42" s="3366"/>
      <c r="I42" s="3366"/>
      <c r="J42" s="3366"/>
      <c r="K42" s="3366"/>
      <c r="L42" s="3366"/>
      <c r="M42" s="3366"/>
      <c r="N42" s="3366"/>
    </row>
    <row r="43" spans="2:28" ht="24.9" customHeight="1" x14ac:dyDescent="0.3"/>
    <row r="44" spans="2:28" ht="21.9" customHeight="1" x14ac:dyDescent="0.3">
      <c r="B44" s="3422" t="s">
        <v>917</v>
      </c>
      <c r="C44" s="3423"/>
      <c r="D44" s="3423"/>
      <c r="E44" s="3423"/>
      <c r="F44" s="3423"/>
      <c r="G44" s="3423"/>
      <c r="H44" s="3423"/>
      <c r="I44" s="3423"/>
      <c r="J44" s="3423"/>
      <c r="K44" s="3423"/>
      <c r="L44" s="3423"/>
      <c r="M44" s="3423"/>
      <c r="N44" s="3424"/>
      <c r="P44" s="933"/>
      <c r="Q44" s="933"/>
    </row>
    <row r="46" spans="2:28" s="7" customFormat="1" ht="20.100000000000001" customHeight="1" x14ac:dyDescent="0.3">
      <c r="B46" s="3428" t="s">
        <v>1046</v>
      </c>
      <c r="C46" s="3399"/>
      <c r="D46" s="3399"/>
      <c r="E46" s="3399"/>
      <c r="F46" s="3399"/>
      <c r="G46" s="3399"/>
      <c r="H46" s="3399"/>
      <c r="I46" s="3399"/>
      <c r="P46" s="935"/>
      <c r="Q46" s="1310"/>
    </row>
    <row r="47" spans="2:28" s="81" customFormat="1" ht="20.100000000000001" customHeight="1" x14ac:dyDescent="0.3">
      <c r="B47" s="3366"/>
      <c r="C47" s="3366"/>
      <c r="D47" s="3366"/>
      <c r="E47" s="3366"/>
      <c r="F47" s="3366"/>
      <c r="G47" s="3366"/>
      <c r="H47" s="3366"/>
      <c r="I47" s="3366"/>
      <c r="J47" s="3366"/>
      <c r="K47" s="3366"/>
      <c r="L47" s="3366"/>
      <c r="M47" s="3366"/>
      <c r="N47" s="3366"/>
    </row>
    <row r="48" spans="2:28" s="81" customFormat="1" ht="20.100000000000001" customHeight="1" x14ac:dyDescent="0.3">
      <c r="B48" s="3366"/>
      <c r="C48" s="3366"/>
      <c r="D48" s="3366"/>
      <c r="E48" s="3366"/>
      <c r="F48" s="3366"/>
      <c r="G48" s="3366"/>
      <c r="H48" s="3366"/>
      <c r="I48" s="3366"/>
      <c r="J48" s="3366"/>
      <c r="K48" s="3366"/>
      <c r="L48" s="3366"/>
      <c r="M48" s="3366"/>
      <c r="N48" s="3366"/>
    </row>
    <row r="49" spans="2:14" s="81" customFormat="1" ht="20.100000000000001" customHeight="1" x14ac:dyDescent="0.3">
      <c r="B49" s="560"/>
      <c r="C49" s="560"/>
      <c r="D49" s="560"/>
      <c r="E49" s="560"/>
      <c r="F49" s="560"/>
      <c r="G49" s="560"/>
      <c r="H49" s="560"/>
      <c r="I49" s="560"/>
      <c r="J49" s="560"/>
      <c r="K49" s="560"/>
      <c r="L49" s="560"/>
      <c r="M49" s="560"/>
      <c r="N49" s="560"/>
    </row>
    <row r="50" spans="2:14" s="81" customFormat="1" ht="20.100000000000001" customHeight="1" x14ac:dyDescent="0.3">
      <c r="B50" s="3366"/>
      <c r="C50" s="3366"/>
      <c r="D50" s="3366"/>
      <c r="E50" s="3366"/>
      <c r="F50" s="3366"/>
      <c r="G50" s="3366"/>
      <c r="H50" s="3366"/>
      <c r="I50" s="3366"/>
      <c r="J50" s="3366"/>
      <c r="K50" s="3366"/>
      <c r="L50" s="3366"/>
      <c r="M50" s="3366"/>
      <c r="N50" s="3366"/>
    </row>
    <row r="51" spans="2:14" s="81" customFormat="1" ht="20.100000000000001" customHeight="1" x14ac:dyDescent="0.3">
      <c r="B51" s="3366"/>
      <c r="C51" s="3366"/>
      <c r="D51" s="3366"/>
      <c r="E51" s="3366"/>
      <c r="F51" s="3366"/>
      <c r="G51" s="3366"/>
      <c r="H51" s="3366"/>
      <c r="I51" s="3366"/>
      <c r="J51" s="3366"/>
      <c r="K51" s="3366"/>
      <c r="L51" s="3366"/>
      <c r="M51" s="3366"/>
      <c r="N51" s="3366"/>
    </row>
    <row r="52" spans="2:14" s="81" customFormat="1" ht="20.100000000000001" customHeight="1" x14ac:dyDescent="0.3">
      <c r="B52" s="3366"/>
      <c r="C52" s="3366"/>
      <c r="D52" s="3366"/>
      <c r="E52" s="3366"/>
      <c r="F52" s="3366"/>
      <c r="G52" s="3366"/>
      <c r="H52" s="3366"/>
      <c r="I52" s="3366"/>
      <c r="J52" s="3366"/>
      <c r="K52" s="3366"/>
      <c r="L52" s="3366"/>
      <c r="M52" s="3366"/>
      <c r="N52" s="3366"/>
    </row>
    <row r="53" spans="2:14" ht="20.100000000000001" customHeight="1" x14ac:dyDescent="0.3"/>
    <row r="54" spans="2:14" ht="9.9" customHeight="1" x14ac:dyDescent="0.3">
      <c r="B54" s="12"/>
    </row>
    <row r="55" spans="2:14" s="93" customFormat="1" ht="15" customHeight="1" x14ac:dyDescent="0.3">
      <c r="B55" s="3500" t="s">
        <v>932</v>
      </c>
      <c r="C55" s="3455"/>
      <c r="D55" s="3455"/>
      <c r="I55" s="3497" t="s">
        <v>935</v>
      </c>
      <c r="J55" s="3498"/>
      <c r="K55" s="3498"/>
      <c r="L55" s="3498"/>
      <c r="M55" s="3498"/>
    </row>
    <row r="56" spans="2:14" s="93" customFormat="1" ht="15" customHeight="1" x14ac:dyDescent="0.3">
      <c r="B56" s="3501"/>
      <c r="C56" s="3501"/>
      <c r="D56" s="3501"/>
      <c r="I56" s="3499"/>
      <c r="J56" s="3499"/>
      <c r="K56" s="3499"/>
      <c r="L56" s="3499"/>
      <c r="M56" s="3499"/>
    </row>
    <row r="57" spans="2:14" s="137" customFormat="1" ht="20.100000000000001" customHeight="1" x14ac:dyDescent="0.35">
      <c r="B57" s="3366"/>
      <c r="C57" s="3366"/>
      <c r="D57" s="3366"/>
      <c r="E57" s="3425"/>
      <c r="F57" s="3425"/>
      <c r="G57" s="561"/>
      <c r="H57" s="3366"/>
      <c r="I57" s="3366"/>
      <c r="J57" s="3366"/>
      <c r="K57" s="3366"/>
      <c r="L57" s="3366"/>
      <c r="M57" s="3366"/>
      <c r="N57" s="3366"/>
    </row>
    <row r="58" spans="2:14" s="137" customFormat="1" ht="20.100000000000001" customHeight="1" x14ac:dyDescent="0.35">
      <c r="B58" s="560"/>
      <c r="C58" s="560"/>
      <c r="D58" s="560"/>
      <c r="E58" s="561"/>
      <c r="F58" s="561"/>
      <c r="G58" s="561"/>
      <c r="H58" s="560"/>
      <c r="I58" s="560"/>
      <c r="J58" s="560"/>
      <c r="K58" s="560"/>
      <c r="L58" s="560"/>
      <c r="M58" s="560"/>
      <c r="N58" s="560"/>
    </row>
    <row r="59" spans="2:14" s="137" customFormat="1" ht="20.100000000000001" customHeight="1" x14ac:dyDescent="0.35">
      <c r="B59" s="560"/>
      <c r="C59" s="560"/>
      <c r="D59" s="560"/>
      <c r="E59" s="561"/>
      <c r="F59" s="561"/>
      <c r="G59" s="561"/>
      <c r="H59" s="560"/>
      <c r="I59" s="560"/>
      <c r="J59" s="560"/>
      <c r="K59" s="560"/>
      <c r="L59" s="560"/>
      <c r="M59" s="560"/>
      <c r="N59" s="560"/>
    </row>
    <row r="60" spans="2:14" s="137" customFormat="1" ht="20.100000000000001" customHeight="1" x14ac:dyDescent="0.35">
      <c r="B60" s="560"/>
      <c r="C60" s="560"/>
      <c r="D60" s="560"/>
      <c r="E60" s="561"/>
      <c r="F60" s="561"/>
      <c r="G60" s="561"/>
      <c r="H60" s="560"/>
      <c r="I60" s="560"/>
      <c r="J60" s="560"/>
      <c r="K60" s="560"/>
      <c r="L60" s="560"/>
      <c r="M60" s="560"/>
      <c r="N60" s="560"/>
    </row>
    <row r="61" spans="2:14" s="137" customFormat="1" ht="20.100000000000001" customHeight="1" x14ac:dyDescent="0.35">
      <c r="B61" s="3366"/>
      <c r="C61" s="3366"/>
      <c r="D61" s="3366"/>
      <c r="E61" s="3425"/>
      <c r="F61" s="3425"/>
      <c r="G61" s="561"/>
      <c r="H61" s="3366"/>
      <c r="I61" s="3425"/>
      <c r="J61" s="3425"/>
      <c r="K61" s="3425"/>
      <c r="L61" s="3425"/>
      <c r="M61" s="3425"/>
      <c r="N61" s="3425"/>
    </row>
    <row r="62" spans="2:14" s="137" customFormat="1" ht="20.100000000000001" customHeight="1" x14ac:dyDescent="0.35">
      <c r="B62" s="3366"/>
      <c r="C62" s="3366"/>
      <c r="D62" s="3366"/>
      <c r="E62" s="3425"/>
      <c r="F62" s="3425"/>
      <c r="G62" s="561"/>
      <c r="H62" s="3366"/>
      <c r="I62" s="3425"/>
      <c r="J62" s="3425"/>
      <c r="K62" s="3425"/>
      <c r="L62" s="3425"/>
      <c r="M62" s="3425"/>
      <c r="N62" s="3425"/>
    </row>
    <row r="63" spans="2:14" s="137" customFormat="1" ht="20.100000000000001" customHeight="1" x14ac:dyDescent="0.35">
      <c r="B63" s="3366"/>
      <c r="C63" s="3366"/>
      <c r="D63" s="3366"/>
      <c r="E63" s="3425"/>
      <c r="F63" s="3425"/>
      <c r="G63" s="561"/>
      <c r="H63" s="3366"/>
      <c r="I63" s="3425"/>
      <c r="J63" s="3425"/>
      <c r="K63" s="3425"/>
      <c r="L63" s="3425"/>
      <c r="M63" s="3425"/>
      <c r="N63" s="3425"/>
    </row>
    <row r="64" spans="2:14" ht="9.9" customHeight="1" x14ac:dyDescent="0.3">
      <c r="B64" s="12"/>
    </row>
    <row r="65" spans="2:20" s="93" customFormat="1" ht="24.9" customHeight="1" x14ac:dyDescent="0.3">
      <c r="B65" s="3490" t="s">
        <v>933</v>
      </c>
      <c r="C65" s="3399"/>
      <c r="D65" s="3399"/>
      <c r="F65" s="3490" t="s">
        <v>934</v>
      </c>
      <c r="G65" s="3399"/>
      <c r="H65" s="3399"/>
      <c r="I65" s="3399"/>
      <c r="J65" s="3399"/>
      <c r="K65" s="3399"/>
      <c r="L65" s="3399"/>
      <c r="M65" s="3399"/>
      <c r="N65" s="3399"/>
    </row>
    <row r="66" spans="2:20" s="81" customFormat="1" ht="20.100000000000001" customHeight="1" x14ac:dyDescent="0.3">
      <c r="B66" s="1715"/>
      <c r="C66" s="1716"/>
      <c r="D66" s="1717"/>
      <c r="F66" s="3488" t="s">
        <v>27</v>
      </c>
      <c r="G66" s="3478"/>
      <c r="H66" s="3478"/>
      <c r="I66" s="2922" t="s">
        <v>208</v>
      </c>
      <c r="J66" s="2924" t="s">
        <v>209</v>
      </c>
      <c r="K66" s="3478" t="s">
        <v>27</v>
      </c>
      <c r="L66" s="3479"/>
      <c r="M66" s="2922" t="s">
        <v>208</v>
      </c>
      <c r="N66" s="2923" t="s">
        <v>209</v>
      </c>
    </row>
    <row r="67" spans="2:20" s="81" customFormat="1" ht="20.100000000000001" customHeight="1" x14ac:dyDescent="0.3">
      <c r="B67" s="1718"/>
      <c r="D67" s="1719"/>
      <c r="F67" s="3493" t="s">
        <v>26</v>
      </c>
      <c r="G67" s="3494"/>
      <c r="H67" s="3494"/>
      <c r="I67" s="1727"/>
      <c r="J67" s="2925"/>
      <c r="K67" s="3437" t="s">
        <v>1107</v>
      </c>
      <c r="L67" s="3437"/>
      <c r="M67" s="1727"/>
      <c r="N67" s="1726"/>
      <c r="Q67" s="1311"/>
    </row>
    <row r="68" spans="2:20" s="81" customFormat="1" ht="20.100000000000001" customHeight="1" x14ac:dyDescent="0.3">
      <c r="B68" s="1718"/>
      <c r="D68" s="1719"/>
      <c r="F68" s="3426" t="s">
        <v>28</v>
      </c>
      <c r="G68" s="3427"/>
      <c r="H68" s="3427"/>
      <c r="I68" s="1728"/>
      <c r="J68" s="2926"/>
      <c r="K68" s="3427" t="s">
        <v>32</v>
      </c>
      <c r="L68" s="3427"/>
      <c r="M68" s="1728"/>
      <c r="N68" s="1723"/>
      <c r="Q68" s="1312"/>
      <c r="R68" s="83"/>
      <c r="S68" s="83"/>
      <c r="T68" s="83"/>
    </row>
    <row r="69" spans="2:20" s="81" customFormat="1" ht="20.100000000000001" customHeight="1" x14ac:dyDescent="0.3">
      <c r="B69" s="1718"/>
      <c r="D69" s="1719"/>
      <c r="F69" s="3426" t="s">
        <v>1109</v>
      </c>
      <c r="G69" s="3427"/>
      <c r="H69" s="3427"/>
      <c r="I69" s="1728"/>
      <c r="J69" s="2926"/>
      <c r="K69" s="3427" t="s">
        <v>29</v>
      </c>
      <c r="L69" s="3427"/>
      <c r="M69" s="1728"/>
      <c r="N69" s="1724"/>
      <c r="Q69" s="83"/>
      <c r="R69" s="83"/>
      <c r="S69" s="83"/>
      <c r="T69" s="83"/>
    </row>
    <row r="70" spans="2:20" s="81" customFormat="1" ht="20.100000000000001" customHeight="1" x14ac:dyDescent="0.3">
      <c r="B70" s="1718"/>
      <c r="D70" s="1719"/>
      <c r="F70" s="3426" t="s">
        <v>1108</v>
      </c>
      <c r="G70" s="3427"/>
      <c r="H70" s="3427"/>
      <c r="I70" s="1728"/>
      <c r="J70" s="2926"/>
      <c r="K70" s="3427" t="s">
        <v>30</v>
      </c>
      <c r="L70" s="3427"/>
      <c r="M70" s="1728"/>
      <c r="N70" s="1724"/>
      <c r="Q70" s="83"/>
      <c r="R70" s="83"/>
      <c r="S70" s="83"/>
      <c r="T70" s="83"/>
    </row>
    <row r="71" spans="2:20" s="81" customFormat="1" ht="20.100000000000001" customHeight="1" x14ac:dyDescent="0.3">
      <c r="B71" s="1720"/>
      <c r="C71" s="1721"/>
      <c r="D71" s="1722"/>
      <c r="F71" s="3495" t="s">
        <v>31</v>
      </c>
      <c r="G71" s="3496"/>
      <c r="H71" s="3496"/>
      <c r="I71" s="1729"/>
      <c r="J71" s="2927"/>
      <c r="K71" s="3429"/>
      <c r="L71" s="3430"/>
      <c r="M71" s="1729"/>
      <c r="N71" s="1725"/>
      <c r="Q71" s="83"/>
      <c r="R71" s="83"/>
      <c r="S71" s="83"/>
      <c r="T71" s="83"/>
    </row>
    <row r="72" spans="2:20" ht="9.9" customHeight="1" x14ac:dyDescent="0.3">
      <c r="L72" s="3446" t="str">
        <f>IF((J67+J68+J69+J70+J71+N67+N68+N69+N70+N71)=0," ",IF((J67+J68+J69+J70+J71+N67+N68+N69+N70+N71)&lt;100%,"attention : % total &lt; 100%",IF((J67+J68+J69+J70+J71+N67+N68+N69+N70+N71)&gt;100%,"attention : % total &gt; 100%"," ")))</f>
        <v xml:space="preserve"> </v>
      </c>
      <c r="M72" s="3446"/>
      <c r="N72" s="3446"/>
      <c r="Q72" s="38"/>
      <c r="R72" s="38"/>
      <c r="S72" s="38"/>
      <c r="T72" s="38"/>
    </row>
    <row r="73" spans="2:20" s="93" customFormat="1" ht="20.100000000000001" customHeight="1" x14ac:dyDescent="0.3">
      <c r="B73" s="3490" t="s">
        <v>936</v>
      </c>
      <c r="C73" s="3490"/>
      <c r="D73" s="3399"/>
      <c r="E73" s="3399"/>
      <c r="I73" s="3428" t="s">
        <v>937</v>
      </c>
      <c r="J73" s="3428"/>
      <c r="K73" s="3399"/>
      <c r="L73" s="3399"/>
    </row>
    <row r="74" spans="2:20" s="137" customFormat="1" ht="20.100000000000001" customHeight="1" x14ac:dyDescent="0.35">
      <c r="B74" s="3366"/>
      <c r="C74" s="3366"/>
      <c r="D74" s="3366"/>
      <c r="E74" s="3425"/>
      <c r="F74" s="3425"/>
      <c r="G74" s="561"/>
      <c r="H74" s="1006"/>
      <c r="I74" s="1007"/>
      <c r="J74" s="1007"/>
      <c r="K74" s="1007"/>
      <c r="L74" s="1007"/>
      <c r="M74" s="1007"/>
      <c r="N74" s="1007"/>
    </row>
    <row r="75" spans="2:20" s="137" customFormat="1" ht="20.100000000000001" customHeight="1" x14ac:dyDescent="0.35">
      <c r="B75" s="3366"/>
      <c r="C75" s="3366"/>
      <c r="D75" s="3366"/>
      <c r="E75" s="3425"/>
      <c r="F75" s="3425"/>
      <c r="G75" s="561"/>
      <c r="H75" s="1006"/>
      <c r="I75" s="1007"/>
      <c r="J75" s="1007"/>
      <c r="K75" s="1007"/>
      <c r="L75" s="1007"/>
      <c r="M75" s="1007"/>
      <c r="N75" s="1007"/>
    </row>
    <row r="76" spans="2:20" s="137" customFormat="1" ht="20.100000000000001" customHeight="1" x14ac:dyDescent="0.35">
      <c r="B76" s="560"/>
      <c r="C76" s="560"/>
      <c r="D76" s="560"/>
      <c r="E76" s="561"/>
      <c r="F76" s="561"/>
      <c r="G76" s="561"/>
      <c r="H76" s="560"/>
      <c r="I76" s="561"/>
      <c r="J76" s="561"/>
      <c r="K76" s="561"/>
      <c r="L76" s="561"/>
      <c r="M76" s="561"/>
      <c r="N76" s="561"/>
    </row>
    <row r="77" spans="2:20" s="137" customFormat="1" ht="20.100000000000001" customHeight="1" x14ac:dyDescent="0.35">
      <c r="B77" s="3366"/>
      <c r="C77" s="3366"/>
      <c r="D77" s="3366"/>
      <c r="E77" s="3425"/>
      <c r="F77" s="3425"/>
      <c r="G77" s="561"/>
      <c r="H77" s="1006"/>
      <c r="I77" s="1007"/>
      <c r="J77" s="1007"/>
      <c r="K77" s="1007"/>
      <c r="L77" s="1007"/>
      <c r="M77" s="1007"/>
      <c r="N77" s="1007"/>
    </row>
    <row r="78" spans="2:20" s="137" customFormat="1" ht="20.100000000000001" customHeight="1" x14ac:dyDescent="0.35">
      <c r="B78" s="3366"/>
      <c r="C78" s="3366"/>
      <c r="D78" s="3366"/>
      <c r="E78" s="3425"/>
      <c r="F78" s="3425"/>
      <c r="G78" s="561"/>
      <c r="H78" s="1006"/>
      <c r="I78" s="1007"/>
      <c r="J78" s="1007"/>
      <c r="K78" s="1007"/>
      <c r="L78" s="1007"/>
      <c r="M78" s="1007"/>
      <c r="N78" s="1007"/>
    </row>
    <row r="79" spans="2:20" s="137" customFormat="1" ht="20.100000000000001" customHeight="1" x14ac:dyDescent="0.35">
      <c r="B79" s="3366"/>
      <c r="C79" s="3366"/>
      <c r="D79" s="3366"/>
      <c r="E79" s="3425"/>
      <c r="F79" s="3425"/>
      <c r="G79" s="561"/>
      <c r="H79" s="1006"/>
      <c r="I79" s="1007"/>
      <c r="J79" s="1007"/>
      <c r="K79" s="1007"/>
      <c r="L79" s="1007"/>
      <c r="M79" s="1007"/>
      <c r="N79" s="1007"/>
    </row>
    <row r="80" spans="2:20" s="137" customFormat="1" ht="20.100000000000001" customHeight="1" x14ac:dyDescent="0.35">
      <c r="B80" s="3366"/>
      <c r="C80" s="3366"/>
      <c r="D80" s="3366"/>
      <c r="E80" s="3425"/>
      <c r="F80" s="3425"/>
      <c r="G80" s="561"/>
      <c r="H80" s="1006"/>
      <c r="I80" s="1007"/>
      <c r="J80" s="1007"/>
      <c r="K80" s="1007"/>
      <c r="L80" s="1007"/>
      <c r="M80" s="1007"/>
      <c r="N80" s="1007"/>
    </row>
    <row r="81" spans="2:20" ht="9.9" customHeight="1" x14ac:dyDescent="0.3">
      <c r="L81" s="3446" t="str">
        <f>IF((J76+J77+J78+J79+J80+N76+N77+N78+N79+N80)=0," ",IF((J76+J77+J78+J79+J80+N76+N77+N78+N79+N80)&lt;100%,"attention : % total &lt; 100%",IF((J76+J77+J78+J79+J80+N76+N77+N78+N79+N80)&gt;100%,"attention : % total &gt; 100%"," ")))</f>
        <v xml:space="preserve"> </v>
      </c>
      <c r="M81" s="3446"/>
      <c r="N81" s="3446"/>
      <c r="Q81" s="38"/>
      <c r="R81" s="38"/>
      <c r="S81" s="38"/>
      <c r="T81" s="38"/>
    </row>
    <row r="82" spans="2:20" s="93" customFormat="1" ht="20.100000000000001" customHeight="1" x14ac:dyDescent="0.3">
      <c r="B82" s="3428" t="s">
        <v>994</v>
      </c>
      <c r="C82" s="3491"/>
      <c r="D82" s="3491"/>
      <c r="E82" s="3492"/>
      <c r="F82" s="3399"/>
      <c r="I82" s="1004" t="s">
        <v>995</v>
      </c>
      <c r="J82" s="1005"/>
      <c r="K82" s="1005"/>
      <c r="L82" s="1003"/>
    </row>
    <row r="83" spans="2:20" s="137" customFormat="1" ht="20.100000000000001" customHeight="1" x14ac:dyDescent="0.35">
      <c r="B83" s="3366"/>
      <c r="C83" s="3366"/>
      <c r="D83" s="3366"/>
      <c r="E83" s="3425"/>
      <c r="F83" s="3425"/>
      <c r="G83" s="1002"/>
      <c r="H83" s="1006"/>
      <c r="I83" s="1007"/>
      <c r="J83" s="1007"/>
      <c r="K83" s="1007"/>
      <c r="L83" s="1007"/>
      <c r="M83" s="1007"/>
      <c r="N83" s="1007"/>
    </row>
    <row r="84" spans="2:20" s="137" customFormat="1" ht="20.100000000000001" customHeight="1" x14ac:dyDescent="0.35">
      <c r="B84" s="3366"/>
      <c r="C84" s="3366"/>
      <c r="D84" s="3366"/>
      <c r="E84" s="3425"/>
      <c r="F84" s="3425"/>
      <c r="G84" s="1002"/>
      <c r="H84" s="1006"/>
      <c r="I84" s="1007"/>
      <c r="J84" s="1007"/>
      <c r="K84" s="1007"/>
      <c r="L84" s="1007"/>
      <c r="M84" s="1007"/>
      <c r="N84" s="1007"/>
    </row>
    <row r="85" spans="2:20" s="137" customFormat="1" ht="20.100000000000001" customHeight="1" x14ac:dyDescent="0.35">
      <c r="B85" s="1001"/>
      <c r="C85" s="1001"/>
      <c r="D85" s="1001"/>
      <c r="E85" s="1002"/>
      <c r="F85" s="1002"/>
      <c r="G85" s="1002"/>
      <c r="H85" s="1001"/>
      <c r="I85" s="1002"/>
      <c r="J85" s="1002"/>
      <c r="K85" s="1002"/>
      <c r="L85" s="1002"/>
      <c r="M85" s="1002"/>
      <c r="N85" s="1002"/>
    </row>
    <row r="86" spans="2:20" s="137" customFormat="1" ht="20.100000000000001" customHeight="1" x14ac:dyDescent="0.35">
      <c r="B86" s="3366"/>
      <c r="C86" s="3366"/>
      <c r="D86" s="3366"/>
      <c r="E86" s="3425"/>
      <c r="F86" s="3425"/>
      <c r="G86" s="1002"/>
      <c r="H86" s="1006"/>
      <c r="I86" s="1007"/>
      <c r="J86" s="1007"/>
      <c r="K86" s="1007"/>
      <c r="L86" s="1007"/>
      <c r="M86" s="1007"/>
      <c r="N86" s="1007"/>
    </row>
    <row r="87" spans="2:20" s="137" customFormat="1" ht="20.100000000000001" customHeight="1" x14ac:dyDescent="0.35">
      <c r="B87" s="3366"/>
      <c r="C87" s="3366"/>
      <c r="D87" s="3366"/>
      <c r="E87" s="3425"/>
      <c r="F87" s="3425"/>
      <c r="G87" s="1002"/>
      <c r="H87" s="1006"/>
      <c r="I87" s="1007"/>
      <c r="J87" s="1007"/>
      <c r="K87" s="1007"/>
      <c r="L87" s="1007"/>
      <c r="M87" s="1007"/>
      <c r="N87" s="1007"/>
    </row>
    <row r="88" spans="2:20" s="137" customFormat="1" ht="20.100000000000001" customHeight="1" x14ac:dyDescent="0.35">
      <c r="B88" s="3366"/>
      <c r="C88" s="3366"/>
      <c r="D88" s="3366"/>
      <c r="E88" s="3425"/>
      <c r="F88" s="3425"/>
      <c r="G88" s="1002"/>
      <c r="H88" s="1006"/>
      <c r="I88" s="1007"/>
      <c r="J88" s="1007"/>
      <c r="K88" s="1007"/>
      <c r="L88" s="1007"/>
      <c r="M88" s="1007"/>
      <c r="N88" s="1007"/>
    </row>
    <row r="89" spans="2:20" s="137" customFormat="1" ht="20.100000000000001" customHeight="1" x14ac:dyDescent="0.35">
      <c r="B89" s="3366"/>
      <c r="C89" s="3366"/>
      <c r="D89" s="3366"/>
      <c r="E89" s="3425"/>
      <c r="F89" s="3425"/>
      <c r="G89" s="1002"/>
      <c r="H89" s="1006"/>
      <c r="I89" s="1007"/>
      <c r="J89" s="1007"/>
      <c r="K89" s="1007"/>
      <c r="L89" s="1007"/>
      <c r="M89" s="1007"/>
      <c r="N89" s="1007"/>
    </row>
    <row r="90" spans="2:20" ht="24.9" customHeight="1" x14ac:dyDescent="0.3">
      <c r="B90" s="40"/>
    </row>
    <row r="91" spans="2:20" ht="21.9" customHeight="1" x14ac:dyDescent="0.3">
      <c r="B91" s="3477" t="s">
        <v>918</v>
      </c>
      <c r="C91" s="3477"/>
      <c r="D91" s="3477"/>
      <c r="E91" s="3477"/>
      <c r="F91" s="3477"/>
      <c r="G91" s="3477"/>
      <c r="H91" s="3477"/>
      <c r="I91" s="3477"/>
      <c r="J91" s="3477"/>
      <c r="K91" s="3477"/>
      <c r="L91" s="3477"/>
      <c r="M91" s="3477"/>
      <c r="N91" s="3477"/>
      <c r="P91" s="933"/>
      <c r="Q91" s="933"/>
    </row>
    <row r="92" spans="2:20" ht="9.9" customHeight="1" x14ac:dyDescent="0.3">
      <c r="B92" s="40"/>
    </row>
    <row r="93" spans="2:20" ht="20.100000000000001" customHeight="1" x14ac:dyDescent="0.3">
      <c r="B93" s="3409" t="s">
        <v>1154</v>
      </c>
      <c r="C93" s="3410"/>
      <c r="I93" s="3428" t="s">
        <v>1153</v>
      </c>
      <c r="J93" s="3489"/>
      <c r="K93" s="3410"/>
    </row>
    <row r="94" spans="2:20" s="137" customFormat="1" ht="20.100000000000001" customHeight="1" x14ac:dyDescent="0.35">
      <c r="B94" s="3366"/>
      <c r="C94" s="3366"/>
      <c r="D94" s="3366"/>
      <c r="E94" s="3425"/>
      <c r="F94" s="3425"/>
      <c r="G94" s="561"/>
      <c r="H94" s="3366"/>
      <c r="I94" s="3366"/>
      <c r="J94" s="3366"/>
      <c r="K94" s="3366"/>
      <c r="L94" s="3366"/>
      <c r="M94" s="3366"/>
      <c r="N94" s="3366"/>
    </row>
    <row r="95" spans="2:20" s="137" customFormat="1" ht="20.100000000000001" customHeight="1" x14ac:dyDescent="0.35">
      <c r="B95" s="3366"/>
      <c r="C95" s="3366"/>
      <c r="D95" s="3366"/>
      <c r="E95" s="3425"/>
      <c r="F95" s="3425"/>
      <c r="G95" s="561"/>
      <c r="H95" s="3366"/>
      <c r="I95" s="3366"/>
      <c r="J95" s="3366"/>
      <c r="K95" s="3366"/>
      <c r="L95" s="3366"/>
      <c r="M95" s="3366"/>
      <c r="N95" s="3366"/>
    </row>
    <row r="96" spans="2:20" s="137" customFormat="1" ht="20.100000000000001" customHeight="1" x14ac:dyDescent="0.35">
      <c r="B96" s="560"/>
      <c r="C96" s="560"/>
      <c r="D96" s="560"/>
      <c r="E96" s="561"/>
      <c r="F96" s="561"/>
      <c r="G96" s="561"/>
      <c r="H96" s="560"/>
      <c r="I96" s="560"/>
      <c r="J96" s="560"/>
      <c r="K96" s="560"/>
      <c r="L96" s="560"/>
      <c r="M96" s="560"/>
      <c r="N96" s="560"/>
    </row>
    <row r="97" spans="2:14" s="137" customFormat="1" ht="20.100000000000001" customHeight="1" x14ac:dyDescent="0.35">
      <c r="B97" s="3366"/>
      <c r="C97" s="3366"/>
      <c r="D97" s="3366"/>
      <c r="E97" s="3425"/>
      <c r="F97" s="3425"/>
      <c r="G97" s="561"/>
      <c r="H97" s="3366"/>
      <c r="I97" s="3366"/>
      <c r="J97" s="3366"/>
      <c r="K97" s="3366"/>
      <c r="L97" s="3366"/>
      <c r="M97" s="3366"/>
      <c r="N97" s="3366"/>
    </row>
    <row r="98" spans="2:14" s="137" customFormat="1" ht="20.100000000000001" customHeight="1" x14ac:dyDescent="0.35">
      <c r="B98" s="3366"/>
      <c r="C98" s="3366"/>
      <c r="D98" s="3366"/>
      <c r="E98" s="3425"/>
      <c r="F98" s="3425"/>
      <c r="G98" s="561"/>
      <c r="H98" s="3366"/>
      <c r="I98" s="3366"/>
      <c r="J98" s="3366"/>
      <c r="K98" s="3366"/>
      <c r="L98" s="3366"/>
      <c r="M98" s="3366"/>
      <c r="N98" s="3366"/>
    </row>
    <row r="99" spans="2:14" s="137" customFormat="1" ht="20.100000000000001" customHeight="1" x14ac:dyDescent="0.35">
      <c r="B99" s="3366"/>
      <c r="C99" s="3366"/>
      <c r="D99" s="3366"/>
      <c r="E99" s="3425"/>
      <c r="F99" s="3425"/>
      <c r="G99" s="561"/>
      <c r="H99" s="3366"/>
      <c r="I99" s="3366"/>
      <c r="J99" s="3366"/>
      <c r="K99" s="3366"/>
      <c r="L99" s="3366"/>
      <c r="M99" s="3366"/>
      <c r="N99" s="3366"/>
    </row>
    <row r="100" spans="2:14" s="137" customFormat="1" ht="20.100000000000001" customHeight="1" x14ac:dyDescent="0.35">
      <c r="B100" s="3366"/>
      <c r="C100" s="3366"/>
      <c r="D100" s="3366"/>
      <c r="E100" s="3425"/>
      <c r="F100" s="3425"/>
      <c r="G100" s="561"/>
      <c r="H100" s="3366"/>
      <c r="I100" s="3366"/>
      <c r="J100" s="3366"/>
      <c r="K100" s="3366"/>
      <c r="L100" s="3366"/>
      <c r="M100" s="3366"/>
      <c r="N100" s="3366"/>
    </row>
    <row r="101" spans="2:14" ht="9.9" customHeight="1" x14ac:dyDescent="0.3">
      <c r="B101" s="39"/>
      <c r="C101" s="39"/>
      <c r="D101" s="39"/>
      <c r="E101" s="39"/>
      <c r="F101" s="39"/>
      <c r="G101" s="39"/>
      <c r="H101" s="39"/>
      <c r="I101" s="39"/>
      <c r="J101" s="39"/>
      <c r="K101" s="39"/>
      <c r="L101" s="39"/>
      <c r="M101" s="39"/>
    </row>
    <row r="102" spans="2:14" ht="20.100000000000001" customHeight="1" x14ac:dyDescent="0.3">
      <c r="B102" s="3409" t="s">
        <v>1156</v>
      </c>
      <c r="C102" s="3410"/>
      <c r="I102" s="3428" t="s">
        <v>1155</v>
      </c>
      <c r="J102" s="3498"/>
      <c r="K102" s="1264"/>
    </row>
    <row r="103" spans="2:14" s="137" customFormat="1" ht="20.100000000000001" customHeight="1" x14ac:dyDescent="0.35">
      <c r="B103" s="3366"/>
      <c r="C103" s="3366"/>
      <c r="D103" s="3366"/>
      <c r="E103" s="3425"/>
      <c r="F103" s="3425"/>
      <c r="G103" s="561"/>
      <c r="H103" s="3366"/>
      <c r="I103" s="3366"/>
      <c r="J103" s="3366"/>
      <c r="K103" s="3366"/>
      <c r="L103" s="3366"/>
      <c r="M103" s="3366"/>
      <c r="N103" s="3366"/>
    </row>
    <row r="104" spans="2:14" s="137" customFormat="1" ht="20.100000000000001" customHeight="1" x14ac:dyDescent="0.35">
      <c r="B104" s="3366"/>
      <c r="C104" s="3366"/>
      <c r="D104" s="3366"/>
      <c r="E104" s="3425"/>
      <c r="F104" s="3425"/>
      <c r="G104" s="561"/>
      <c r="H104" s="3366"/>
      <c r="I104" s="3366"/>
      <c r="J104" s="3366"/>
      <c r="K104" s="3366"/>
      <c r="L104" s="3366"/>
      <c r="M104" s="3366"/>
      <c r="N104" s="3366"/>
    </row>
    <row r="105" spans="2:14" s="137" customFormat="1" ht="20.100000000000001" customHeight="1" x14ac:dyDescent="0.35">
      <c r="B105" s="560"/>
      <c r="C105" s="560"/>
      <c r="D105" s="560"/>
      <c r="E105" s="561"/>
      <c r="F105" s="561"/>
      <c r="G105" s="561"/>
      <c r="H105" s="560"/>
      <c r="I105" s="560"/>
      <c r="J105" s="560"/>
      <c r="K105" s="560"/>
      <c r="L105" s="560"/>
      <c r="M105" s="560"/>
      <c r="N105" s="560"/>
    </row>
    <row r="106" spans="2:14" s="137" customFormat="1" ht="20.100000000000001" customHeight="1" x14ac:dyDescent="0.35">
      <c r="B106" s="3366"/>
      <c r="C106" s="3366"/>
      <c r="D106" s="3366"/>
      <c r="E106" s="3425"/>
      <c r="F106" s="3425"/>
      <c r="G106" s="561"/>
      <c r="H106" s="3396"/>
      <c r="I106" s="3396"/>
      <c r="J106" s="3396"/>
      <c r="K106" s="3396"/>
      <c r="L106" s="3396"/>
      <c r="M106" s="3396"/>
      <c r="N106" s="3396"/>
    </row>
    <row r="107" spans="2:14" s="137" customFormat="1" ht="20.100000000000001" customHeight="1" x14ac:dyDescent="0.35">
      <c r="B107" s="3366"/>
      <c r="C107" s="3366"/>
      <c r="D107" s="3366"/>
      <c r="E107" s="3425"/>
      <c r="F107" s="3425"/>
      <c r="G107" s="561"/>
      <c r="H107" s="3366"/>
      <c r="I107" s="3366"/>
      <c r="J107" s="3366"/>
      <c r="K107" s="3366"/>
      <c r="L107" s="3366"/>
      <c r="M107" s="3366"/>
      <c r="N107" s="3366"/>
    </row>
    <row r="108" spans="2:14" s="137" customFormat="1" ht="20.100000000000001" customHeight="1" x14ac:dyDescent="0.35">
      <c r="B108" s="3366"/>
      <c r="C108" s="3366"/>
      <c r="D108" s="3366"/>
      <c r="E108" s="3425"/>
      <c r="F108" s="3425"/>
      <c r="G108" s="561"/>
      <c r="H108" s="3366"/>
      <c r="I108" s="3366"/>
      <c r="J108" s="3366"/>
      <c r="K108" s="3366"/>
      <c r="L108" s="3366"/>
      <c r="M108" s="3366"/>
      <c r="N108" s="3366"/>
    </row>
    <row r="109" spans="2:14" s="137" customFormat="1" ht="20.100000000000001" customHeight="1" x14ac:dyDescent="0.35">
      <c r="B109" s="3366"/>
      <c r="C109" s="3366"/>
      <c r="D109" s="3366"/>
      <c r="E109" s="3425"/>
      <c r="F109" s="3425"/>
      <c r="G109" s="561"/>
      <c r="H109" s="3366"/>
      <c r="I109" s="3366"/>
      <c r="J109" s="3366"/>
      <c r="K109" s="3366"/>
      <c r="L109" s="3366"/>
      <c r="M109" s="3366"/>
      <c r="N109" s="3366"/>
    </row>
    <row r="110" spans="2:14" ht="9.9" customHeight="1" x14ac:dyDescent="0.3">
      <c r="B110" s="39"/>
      <c r="C110" s="39"/>
      <c r="D110" s="39"/>
      <c r="E110" s="39"/>
      <c r="F110" s="39"/>
      <c r="G110" s="39"/>
      <c r="H110" s="39"/>
      <c r="I110" s="39"/>
      <c r="J110" s="39"/>
      <c r="K110" s="39"/>
      <c r="L110" s="39"/>
      <c r="M110" s="39"/>
    </row>
    <row r="111" spans="2:14" ht="20.100000000000001" customHeight="1" x14ac:dyDescent="0.3">
      <c r="B111" s="3409" t="s">
        <v>1157</v>
      </c>
      <c r="C111" s="3410"/>
      <c r="D111" s="3410"/>
      <c r="F111" s="3420" t="s">
        <v>1157</v>
      </c>
      <c r="G111" s="3421"/>
      <c r="H111" s="3421"/>
      <c r="I111" s="3421"/>
      <c r="J111" s="3421"/>
      <c r="K111" s="3421"/>
      <c r="L111" s="3421"/>
      <c r="M111" s="2939"/>
      <c r="N111" s="2940" t="s">
        <v>1040</v>
      </c>
    </row>
    <row r="112" spans="2:14" s="81" customFormat="1" ht="20.100000000000001" customHeight="1" x14ac:dyDescent="0.3">
      <c r="B112" s="3398" t="s">
        <v>444</v>
      </c>
      <c r="C112" s="3399"/>
      <c r="D112" s="2939"/>
      <c r="E112" s="2940" t="s">
        <v>1040</v>
      </c>
      <c r="F112" s="3401" t="s">
        <v>1043</v>
      </c>
      <c r="G112" s="3402"/>
      <c r="H112" s="3402"/>
      <c r="I112" s="3402"/>
      <c r="J112" s="3402"/>
      <c r="K112" s="3402"/>
      <c r="L112" s="3402"/>
      <c r="M112" s="2941"/>
      <c r="N112" s="2942"/>
    </row>
    <row r="113" spans="2:14" s="81" customFormat="1" ht="20.100000000000001" customHeight="1" x14ac:dyDescent="0.3">
      <c r="B113" s="3400" t="s">
        <v>356</v>
      </c>
      <c r="C113" s="3399"/>
      <c r="D113" s="2941"/>
      <c r="E113" s="2942"/>
      <c r="F113" s="3401" t="s">
        <v>1161</v>
      </c>
      <c r="G113" s="3402"/>
      <c r="H113" s="3402"/>
      <c r="I113" s="3402"/>
      <c r="J113" s="3402"/>
      <c r="K113" s="3402"/>
      <c r="L113" s="3402"/>
      <c r="M113" s="2946"/>
      <c r="N113" s="2949"/>
    </row>
    <row r="114" spans="2:14" s="81" customFormat="1" ht="20.100000000000001" customHeight="1" x14ac:dyDescent="0.3">
      <c r="B114" s="3400" t="s">
        <v>357</v>
      </c>
      <c r="C114" s="3399"/>
      <c r="D114" s="2946"/>
      <c r="E114" s="2947"/>
      <c r="F114" s="3401" t="s">
        <v>387</v>
      </c>
      <c r="G114" s="3402"/>
      <c r="H114" s="3402"/>
      <c r="I114" s="3402"/>
      <c r="J114" s="3402"/>
      <c r="K114" s="3402"/>
      <c r="L114" s="3402"/>
      <c r="M114" s="2950"/>
      <c r="N114" s="2948"/>
    </row>
    <row r="115" spans="2:14" s="81" customFormat="1" ht="20.100000000000001" customHeight="1" x14ac:dyDescent="0.3">
      <c r="B115" s="3400" t="s">
        <v>358</v>
      </c>
      <c r="C115" s="3399"/>
      <c r="D115" s="2943"/>
      <c r="E115" s="2945"/>
      <c r="F115" s="3401" t="s">
        <v>388</v>
      </c>
      <c r="G115" s="3402"/>
      <c r="H115" s="3402"/>
      <c r="I115" s="3402"/>
      <c r="J115" s="3402"/>
      <c r="K115" s="3402"/>
      <c r="L115" s="3402"/>
      <c r="M115" s="2943"/>
      <c r="N115" s="2944"/>
    </row>
    <row r="116" spans="2:14" s="58" customFormat="1" ht="20.100000000000001" customHeight="1" x14ac:dyDescent="0.25"/>
    <row r="117" spans="2:14" s="58" customFormat="1" ht="21.9" customHeight="1" x14ac:dyDescent="0.25">
      <c r="B117" s="3428" t="s">
        <v>1047</v>
      </c>
      <c r="C117" s="3447"/>
      <c r="D117" s="3447"/>
      <c r="E117" s="3447"/>
      <c r="F117" s="3447"/>
      <c r="G117" s="3447"/>
      <c r="H117" s="3447"/>
      <c r="I117" s="3447"/>
      <c r="J117" s="3447"/>
      <c r="K117" s="3447"/>
      <c r="L117" s="3447"/>
      <c r="M117" s="3447"/>
      <c r="N117" s="3447"/>
    </row>
    <row r="118" spans="2:14" s="58" customFormat="1" ht="32.1" customHeight="1" x14ac:dyDescent="0.25">
      <c r="B118" s="3397" t="s">
        <v>1053</v>
      </c>
      <c r="C118" s="3404"/>
      <c r="D118" s="3405"/>
      <c r="E118" s="3406"/>
      <c r="F118" s="3448" t="s">
        <v>1048</v>
      </c>
      <c r="G118" s="3449"/>
      <c r="H118" s="3449"/>
      <c r="I118" s="3449"/>
      <c r="J118" s="3449"/>
      <c r="K118" s="3449"/>
      <c r="L118" s="3449"/>
      <c r="M118" s="2951"/>
      <c r="N118" s="3451"/>
    </row>
    <row r="119" spans="2:14" s="58" customFormat="1" ht="30" customHeight="1" x14ac:dyDescent="0.25">
      <c r="B119" s="3397" t="s">
        <v>1062</v>
      </c>
      <c r="C119" s="3404"/>
      <c r="D119" s="3407"/>
      <c r="E119" s="3408"/>
      <c r="F119" s="3450" t="s">
        <v>1049</v>
      </c>
      <c r="G119" s="3449"/>
      <c r="H119" s="3449"/>
      <c r="I119" s="3449"/>
      <c r="J119" s="3449"/>
      <c r="K119" s="3449"/>
      <c r="L119" s="3449"/>
      <c r="M119" s="2953"/>
      <c r="N119" s="3452"/>
    </row>
    <row r="120" spans="2:14" s="58" customFormat="1" ht="32.1" customHeight="1" x14ac:dyDescent="0.25">
      <c r="B120" s="3397" t="s">
        <v>1054</v>
      </c>
      <c r="C120" s="3404"/>
      <c r="D120" s="2953"/>
      <c r="E120" s="2948"/>
      <c r="F120" s="3450" t="s">
        <v>1050</v>
      </c>
      <c r="G120" s="3449"/>
      <c r="H120" s="3449"/>
      <c r="I120" s="3449"/>
      <c r="J120" s="3449"/>
      <c r="K120" s="3449"/>
      <c r="L120" s="3449"/>
      <c r="M120" s="2953"/>
      <c r="N120" s="3452"/>
    </row>
    <row r="121" spans="2:14" s="58" customFormat="1" ht="32.1" customHeight="1" x14ac:dyDescent="0.25">
      <c r="B121" s="3397" t="s">
        <v>1055</v>
      </c>
      <c r="C121" s="3404"/>
      <c r="D121" s="2952"/>
      <c r="E121" s="2944"/>
      <c r="F121" s="3450" t="s">
        <v>1051</v>
      </c>
      <c r="G121" s="3449"/>
      <c r="H121" s="3449"/>
      <c r="I121" s="3449"/>
      <c r="J121" s="3449"/>
      <c r="K121" s="3449"/>
      <c r="L121" s="3449"/>
      <c r="M121" s="2952"/>
      <c r="N121" s="3453"/>
    </row>
    <row r="122" spans="2:14" s="58" customFormat="1" ht="20.100000000000001" customHeight="1" x14ac:dyDescent="0.25"/>
    <row r="123" spans="2:14" s="58" customFormat="1" ht="21.9" customHeight="1" x14ac:dyDescent="0.3">
      <c r="B123" s="3409" t="s">
        <v>1166</v>
      </c>
      <c r="C123" s="3410"/>
      <c r="D123" s="3410"/>
      <c r="E123" s="3410"/>
      <c r="F123" s="3410"/>
      <c r="H123" s="1249"/>
      <c r="I123" s="1252"/>
      <c r="J123" s="200"/>
      <c r="K123" s="200"/>
      <c r="L123" s="2957" t="s">
        <v>1146</v>
      </c>
      <c r="M123" s="2961" t="s">
        <v>1147</v>
      </c>
      <c r="N123" s="2959" t="s">
        <v>1148</v>
      </c>
    </row>
    <row r="124" spans="2:14" s="58" customFormat="1" ht="20.100000000000001" customHeight="1" x14ac:dyDescent="0.25">
      <c r="B124" s="3397" t="s">
        <v>1149</v>
      </c>
      <c r="C124" s="3397"/>
      <c r="D124" s="3397"/>
      <c r="E124" s="3397"/>
      <c r="F124" s="2954"/>
      <c r="H124" s="3397" t="s">
        <v>1162</v>
      </c>
      <c r="I124" s="3397"/>
      <c r="J124" s="3397"/>
      <c r="K124" s="3397"/>
      <c r="L124" s="2958"/>
      <c r="M124" s="2962"/>
      <c r="N124" s="2960"/>
    </row>
    <row r="125" spans="2:14" s="58" customFormat="1" ht="20.100000000000001" customHeight="1" x14ac:dyDescent="0.25">
      <c r="B125" s="3397" t="s">
        <v>1150</v>
      </c>
      <c r="C125" s="3397"/>
      <c r="D125" s="3397"/>
      <c r="E125" s="3397"/>
      <c r="F125" s="2968"/>
      <c r="H125" s="3403" t="s">
        <v>1163</v>
      </c>
      <c r="I125" s="3403"/>
      <c r="J125" s="3403"/>
      <c r="K125" s="3403"/>
      <c r="L125" s="2965"/>
      <c r="M125" s="2963"/>
      <c r="N125" s="2955"/>
    </row>
    <row r="126" spans="2:14" s="58" customFormat="1" ht="20.100000000000001" customHeight="1" x14ac:dyDescent="0.25">
      <c r="B126" s="3397" t="s">
        <v>1158</v>
      </c>
      <c r="C126" s="3397"/>
      <c r="D126" s="3397"/>
      <c r="E126" s="3397"/>
      <c r="F126" s="2969"/>
      <c r="H126" s="3397" t="s">
        <v>1164</v>
      </c>
      <c r="I126" s="3397"/>
      <c r="J126" s="3397"/>
      <c r="K126" s="3397"/>
      <c r="L126" s="2953"/>
      <c r="M126" s="2963"/>
      <c r="N126" s="2955"/>
    </row>
    <row r="127" spans="2:14" s="58" customFormat="1" ht="20.100000000000001" customHeight="1" x14ac:dyDescent="0.25">
      <c r="B127" s="3397" t="s">
        <v>1152</v>
      </c>
      <c r="C127" s="3397"/>
      <c r="D127" s="3397"/>
      <c r="E127" s="3397"/>
      <c r="F127" s="2967"/>
      <c r="H127" s="3397" t="s">
        <v>1165</v>
      </c>
      <c r="I127" s="3397"/>
      <c r="J127" s="3397"/>
      <c r="K127" s="3397"/>
      <c r="L127" s="2966"/>
      <c r="M127" s="2964"/>
      <c r="N127" s="2956"/>
    </row>
    <row r="128" spans="2:14" s="58" customFormat="1" ht="24.9" customHeight="1" x14ac:dyDescent="0.25"/>
    <row r="129" spans="2:14" ht="21.9" customHeight="1" x14ac:dyDescent="0.3">
      <c r="B129" s="3461" t="s">
        <v>916</v>
      </c>
      <c r="C129" s="3546"/>
      <c r="D129" s="3546"/>
      <c r="E129" s="3546"/>
      <c r="F129" s="3546"/>
      <c r="G129" s="3546"/>
      <c r="H129" s="3546"/>
      <c r="I129" s="3546"/>
      <c r="J129" s="3546"/>
      <c r="K129" s="3546"/>
      <c r="L129" s="3546"/>
      <c r="M129" s="3546"/>
      <c r="N129" s="3547"/>
    </row>
    <row r="130" spans="2:14" s="81" customFormat="1" ht="20.100000000000001" customHeight="1" x14ac:dyDescent="0.3">
      <c r="B130" s="1730" t="s">
        <v>1044</v>
      </c>
      <c r="C130" s="1528"/>
      <c r="D130" s="1528"/>
      <c r="E130" s="1528"/>
      <c r="F130" s="1528"/>
      <c r="G130" s="1528"/>
      <c r="H130" s="1528"/>
      <c r="I130" s="1528"/>
      <c r="J130" s="1528"/>
      <c r="K130" s="1528"/>
      <c r="L130" s="82"/>
      <c r="M130" s="82"/>
    </row>
    <row r="131" spans="2:14" s="81" customFormat="1" ht="20.100000000000001" customHeight="1" x14ac:dyDescent="0.3">
      <c r="B131" s="3454" t="s">
        <v>1303</v>
      </c>
      <c r="C131" s="3455"/>
      <c r="D131" s="3455"/>
      <c r="E131" s="3455"/>
      <c r="F131" s="1262" t="s">
        <v>1045</v>
      </c>
      <c r="G131" s="1263"/>
      <c r="H131" s="1263"/>
      <c r="I131" s="82"/>
      <c r="J131" s="82"/>
      <c r="K131" s="82"/>
      <c r="L131" s="82"/>
      <c r="M131" s="82"/>
    </row>
    <row r="132" spans="2:14" s="11" customFormat="1" ht="9.9" customHeight="1" x14ac:dyDescent="0.25">
      <c r="B132" s="41"/>
      <c r="C132" s="3"/>
      <c r="D132" s="3"/>
      <c r="E132" s="3"/>
      <c r="F132" s="3"/>
      <c r="G132" s="3"/>
      <c r="H132" s="3"/>
      <c r="I132" s="3"/>
      <c r="J132" s="3"/>
      <c r="K132" s="3"/>
      <c r="L132" s="3"/>
      <c r="M132" s="3"/>
    </row>
    <row r="133" spans="2:14" s="7" customFormat="1" ht="20.100000000000001" customHeight="1" x14ac:dyDescent="0.3">
      <c r="B133" s="396" t="s">
        <v>7</v>
      </c>
      <c r="C133" s="1258"/>
      <c r="D133" s="1256"/>
      <c r="E133" s="1256"/>
      <c r="F133" s="1256"/>
      <c r="G133" s="1256"/>
      <c r="H133" s="1257"/>
      <c r="J133" s="1138" t="s">
        <v>8</v>
      </c>
      <c r="K133" s="3434"/>
      <c r="L133" s="3444"/>
      <c r="M133" s="3444"/>
      <c r="N133" s="3445"/>
    </row>
    <row r="134" spans="2:14" s="81" customFormat="1" ht="9.9" customHeight="1" x14ac:dyDescent="0.3">
      <c r="B134" s="85"/>
      <c r="C134" s="84"/>
      <c r="D134" s="84"/>
      <c r="E134" s="84"/>
      <c r="F134" s="84"/>
      <c r="G134" s="84"/>
      <c r="H134" s="84"/>
      <c r="I134" s="84"/>
      <c r="J134" s="84"/>
      <c r="K134" s="84"/>
      <c r="L134" s="84"/>
      <c r="M134" s="84"/>
    </row>
    <row r="135" spans="2:14" s="7" customFormat="1" ht="20.100000000000001" customHeight="1" x14ac:dyDescent="0.3">
      <c r="B135" s="396" t="s">
        <v>411</v>
      </c>
      <c r="C135" s="1259"/>
      <c r="D135" s="1260"/>
      <c r="E135" s="1260"/>
      <c r="F135" s="1260"/>
      <c r="G135" s="1260"/>
      <c r="H135" s="1260"/>
      <c r="I135" s="1260"/>
      <c r="J135" s="1260"/>
      <c r="K135" s="1260"/>
      <c r="L135" s="1260"/>
      <c r="M135" s="1260"/>
      <c r="N135" s="1261"/>
    </row>
    <row r="136" spans="2:14" s="81" customFormat="1" ht="9.9" customHeight="1" x14ac:dyDescent="0.3">
      <c r="B136" s="85"/>
      <c r="C136" s="84"/>
      <c r="D136" s="84"/>
      <c r="E136" s="84"/>
      <c r="F136" s="84"/>
      <c r="G136" s="84"/>
      <c r="H136" s="84"/>
      <c r="I136" s="84"/>
      <c r="J136" s="84"/>
      <c r="K136" s="84"/>
      <c r="L136" s="84"/>
      <c r="M136" s="84"/>
    </row>
    <row r="137" spans="2:14" s="7" customFormat="1" ht="20.100000000000001" customHeight="1" x14ac:dyDescent="0.35">
      <c r="B137" s="396" t="s">
        <v>9</v>
      </c>
      <c r="C137" s="549"/>
      <c r="D137" s="117">
        <f ca="1">IF(ISBLANK(C137),0,(TODAY()-C137)/365.25)</f>
        <v>0</v>
      </c>
      <c r="E137" s="142"/>
      <c r="F137" s="1253" t="s">
        <v>10</v>
      </c>
      <c r="G137" s="1254"/>
      <c r="H137" s="1255"/>
      <c r="I137" s="3441"/>
      <c r="J137" s="3442"/>
      <c r="K137" s="3443"/>
      <c r="M137" s="397" t="s">
        <v>34</v>
      </c>
      <c r="N137" s="551"/>
    </row>
    <row r="138" spans="2:14" s="81" customFormat="1" ht="9.9" customHeight="1" x14ac:dyDescent="0.3">
      <c r="B138" s="85"/>
      <c r="C138" s="84"/>
      <c r="D138" s="84"/>
      <c r="E138" s="84"/>
      <c r="F138" s="86"/>
      <c r="G138" s="86"/>
      <c r="H138" s="87"/>
      <c r="I138" s="84"/>
      <c r="J138" s="84"/>
      <c r="K138" s="84"/>
      <c r="L138" s="84"/>
      <c r="M138" s="84"/>
    </row>
    <row r="139" spans="2:14" s="7" customFormat="1" ht="20.100000000000001" customHeight="1" x14ac:dyDescent="0.3">
      <c r="B139" s="3456" t="s">
        <v>188</v>
      </c>
      <c r="C139" s="3457"/>
      <c r="D139" s="117"/>
      <c r="F139" s="1253" t="s">
        <v>348</v>
      </c>
      <c r="G139" s="1254"/>
      <c r="H139" s="1255"/>
      <c r="I139" s="3438"/>
      <c r="J139" s="3440"/>
      <c r="K139" s="397" t="s">
        <v>17</v>
      </c>
      <c r="L139" s="3438"/>
      <c r="M139" s="3439"/>
      <c r="N139" s="3440"/>
    </row>
    <row r="140" spans="2:14" s="81" customFormat="1" ht="9.9" customHeight="1" x14ac:dyDescent="0.3">
      <c r="B140" s="85"/>
      <c r="C140" s="84"/>
      <c r="D140" s="84"/>
      <c r="E140" s="84"/>
      <c r="F140" s="86"/>
      <c r="G140" s="86"/>
      <c r="H140" s="87"/>
      <c r="I140" s="84"/>
      <c r="J140" s="84"/>
      <c r="K140" s="84"/>
      <c r="L140" s="84"/>
      <c r="M140" s="84"/>
    </row>
    <row r="141" spans="2:14" s="7" customFormat="1" ht="20.100000000000001" customHeight="1" x14ac:dyDescent="0.3">
      <c r="B141" s="396" t="s">
        <v>11</v>
      </c>
      <c r="C141" s="564"/>
      <c r="D141" s="118"/>
      <c r="E141" s="118"/>
      <c r="F141" s="1253" t="s">
        <v>13</v>
      </c>
      <c r="G141" s="1254"/>
      <c r="H141" s="1255"/>
      <c r="I141" s="3438"/>
      <c r="J141" s="3439"/>
      <c r="K141" s="3440"/>
    </row>
    <row r="142" spans="2:14" s="81" customFormat="1" ht="9.9" customHeight="1" x14ac:dyDescent="0.3">
      <c r="B142" s="85"/>
      <c r="C142" s="84"/>
      <c r="D142" s="84"/>
      <c r="E142" s="84"/>
      <c r="F142" s="86"/>
      <c r="G142" s="86"/>
      <c r="H142" s="87"/>
      <c r="I142" s="84"/>
      <c r="J142" s="84"/>
      <c r="K142" s="84"/>
      <c r="L142" s="84"/>
      <c r="M142" s="84"/>
    </row>
    <row r="143" spans="2:14" s="7" customFormat="1" ht="20.100000000000001" customHeight="1" x14ac:dyDescent="0.3">
      <c r="B143" s="396" t="s">
        <v>187</v>
      </c>
      <c r="D143" s="565"/>
      <c r="F143" s="1253" t="s">
        <v>349</v>
      </c>
      <c r="G143" s="1254"/>
      <c r="H143" s="1255"/>
      <c r="I143" s="3434"/>
      <c r="J143" s="3435"/>
      <c r="K143" s="3435"/>
      <c r="L143" s="3435"/>
      <c r="M143" s="3435"/>
      <c r="N143" s="3436"/>
    </row>
    <row r="144" spans="2:14" ht="9.9" customHeight="1" x14ac:dyDescent="0.3"/>
    <row r="161" spans="2:28" s="144" customFormat="1" x14ac:dyDescent="0.3">
      <c r="B161" s="143" t="s">
        <v>12</v>
      </c>
      <c r="C161" s="143" t="s">
        <v>14</v>
      </c>
      <c r="D161" s="143" t="s">
        <v>223</v>
      </c>
      <c r="E161" s="143"/>
      <c r="I161" s="145" t="s">
        <v>170</v>
      </c>
      <c r="K161" s="143" t="s">
        <v>251</v>
      </c>
      <c r="M161" s="814" t="s">
        <v>1056</v>
      </c>
      <c r="O161" s="4"/>
      <c r="P161" s="814" t="s">
        <v>1113</v>
      </c>
      <c r="Q161" s="814" t="s">
        <v>1115</v>
      </c>
      <c r="S161" s="4"/>
      <c r="T161" s="4"/>
      <c r="U161" s="4"/>
      <c r="V161" s="4"/>
      <c r="W161" s="4"/>
      <c r="X161" s="4"/>
      <c r="Y161" s="4"/>
      <c r="Z161" s="4"/>
      <c r="AA161" s="4"/>
      <c r="AB161" s="4"/>
    </row>
    <row r="162" spans="2:28" s="144" customFormat="1" x14ac:dyDescent="0.3">
      <c r="B162" s="146" t="s">
        <v>193</v>
      </c>
      <c r="C162" s="143" t="s">
        <v>16</v>
      </c>
      <c r="D162" s="143" t="s">
        <v>230</v>
      </c>
      <c r="E162" s="143"/>
      <c r="I162" s="145" t="s">
        <v>172</v>
      </c>
      <c r="K162" s="143" t="s">
        <v>252</v>
      </c>
      <c r="M162" s="814" t="s">
        <v>1052</v>
      </c>
      <c r="O162" s="4"/>
      <c r="P162" s="814" t="s">
        <v>1144</v>
      </c>
      <c r="Q162" s="814" t="s">
        <v>1116</v>
      </c>
      <c r="S162" s="4"/>
      <c r="T162" s="4"/>
      <c r="U162" s="4"/>
      <c r="V162" s="4"/>
      <c r="W162" s="4"/>
      <c r="X162" s="4"/>
      <c r="Y162" s="4"/>
      <c r="Z162" s="4"/>
      <c r="AA162" s="4"/>
      <c r="AB162" s="4"/>
    </row>
    <row r="163" spans="2:28" s="144" customFormat="1" x14ac:dyDescent="0.3">
      <c r="B163" s="143" t="s">
        <v>194</v>
      </c>
      <c r="C163" s="143" t="s">
        <v>15</v>
      </c>
      <c r="D163" s="143" t="s">
        <v>19</v>
      </c>
      <c r="E163" s="143"/>
      <c r="I163" s="145" t="s">
        <v>184</v>
      </c>
      <c r="K163" s="143" t="s">
        <v>253</v>
      </c>
      <c r="M163" s="814" t="s">
        <v>1057</v>
      </c>
      <c r="O163" s="4"/>
      <c r="P163" s="814" t="s">
        <v>1114</v>
      </c>
      <c r="Q163" s="814" t="s">
        <v>1117</v>
      </c>
      <c r="S163" s="4"/>
      <c r="T163" s="4"/>
      <c r="U163" s="4"/>
      <c r="V163" s="4"/>
      <c r="W163" s="4"/>
      <c r="X163" s="4"/>
      <c r="Y163" s="4"/>
      <c r="Z163" s="4"/>
      <c r="AA163" s="4"/>
      <c r="AB163" s="4"/>
    </row>
    <row r="164" spans="2:28" s="144" customFormat="1" x14ac:dyDescent="0.3">
      <c r="B164" s="143" t="s">
        <v>195</v>
      </c>
      <c r="C164" s="1275"/>
      <c r="D164" s="146" t="s">
        <v>224</v>
      </c>
      <c r="E164" s="146"/>
      <c r="I164" s="145" t="s">
        <v>171</v>
      </c>
      <c r="O164" s="4"/>
      <c r="P164" s="814" t="s">
        <v>1111</v>
      </c>
      <c r="Q164" s="843" t="s">
        <v>1118</v>
      </c>
      <c r="S164" s="4"/>
      <c r="T164" s="4"/>
      <c r="U164" s="4"/>
      <c r="V164" s="4"/>
      <c r="W164" s="4"/>
      <c r="X164" s="4"/>
      <c r="Y164" s="4"/>
      <c r="Z164" s="4"/>
      <c r="AA164" s="4"/>
      <c r="AB164" s="4"/>
    </row>
    <row r="165" spans="2:28" s="144" customFormat="1" x14ac:dyDescent="0.3">
      <c r="B165" s="146" t="s">
        <v>214</v>
      </c>
      <c r="C165" s="1275"/>
      <c r="D165" s="146" t="s">
        <v>225</v>
      </c>
      <c r="E165" s="146"/>
      <c r="I165" s="145" t="s">
        <v>185</v>
      </c>
      <c r="K165" s="143" t="s">
        <v>425</v>
      </c>
      <c r="M165" s="814" t="s">
        <v>1058</v>
      </c>
      <c r="O165" s="4"/>
      <c r="P165" s="814" t="s">
        <v>1112</v>
      </c>
      <c r="Q165" s="843" t="s">
        <v>1119</v>
      </c>
      <c r="S165" s="4"/>
      <c r="T165" s="4"/>
      <c r="U165" s="4"/>
      <c r="V165" s="4"/>
      <c r="W165" s="4"/>
      <c r="X165" s="4"/>
      <c r="Y165" s="4"/>
      <c r="Z165" s="4"/>
      <c r="AA165" s="4"/>
      <c r="AB165" s="4"/>
    </row>
    <row r="166" spans="2:28" s="144" customFormat="1" x14ac:dyDescent="0.3">
      <c r="B166" s="146" t="s">
        <v>215</v>
      </c>
      <c r="C166" s="1275"/>
      <c r="D166" s="146" t="s">
        <v>226</v>
      </c>
      <c r="E166" s="146"/>
      <c r="I166" s="145" t="s">
        <v>186</v>
      </c>
      <c r="K166" s="143" t="s">
        <v>426</v>
      </c>
      <c r="M166" s="814" t="s">
        <v>1060</v>
      </c>
      <c r="O166" s="4"/>
      <c r="Q166" s="843" t="s">
        <v>1120</v>
      </c>
      <c r="S166" s="4"/>
      <c r="T166" s="4"/>
      <c r="U166" s="4"/>
      <c r="V166" s="4"/>
      <c r="W166" s="4"/>
      <c r="X166" s="4"/>
      <c r="Y166" s="4"/>
      <c r="Z166" s="4"/>
      <c r="AA166" s="4"/>
      <c r="AB166" s="4"/>
    </row>
    <row r="167" spans="2:28" s="144" customFormat="1" x14ac:dyDescent="0.3">
      <c r="B167" s="1275"/>
      <c r="C167" s="1275"/>
      <c r="D167" s="146" t="s">
        <v>320</v>
      </c>
      <c r="E167" s="146"/>
      <c r="I167" s="147" t="s">
        <v>213</v>
      </c>
      <c r="K167" s="143" t="s">
        <v>430</v>
      </c>
      <c r="M167" s="814" t="s">
        <v>1059</v>
      </c>
      <c r="O167" s="4"/>
      <c r="Q167" s="843" t="s">
        <v>1121</v>
      </c>
      <c r="S167" s="4"/>
      <c r="T167" s="4"/>
      <c r="U167" s="4"/>
      <c r="V167" s="4"/>
      <c r="W167" s="4"/>
      <c r="X167" s="4"/>
      <c r="Y167" s="4"/>
      <c r="Z167" s="4"/>
      <c r="AA167" s="4"/>
      <c r="AB167" s="4"/>
    </row>
    <row r="168" spans="2:28" s="144" customFormat="1" x14ac:dyDescent="0.3">
      <c r="B168" s="146" t="s">
        <v>20</v>
      </c>
      <c r="C168" s="146" t="s">
        <v>220</v>
      </c>
      <c r="D168" s="146" t="s">
        <v>321</v>
      </c>
      <c r="E168" s="146"/>
      <c r="I168" s="148" t="s">
        <v>413</v>
      </c>
      <c r="K168" s="143" t="s">
        <v>429</v>
      </c>
      <c r="M168" s="814" t="s">
        <v>1061</v>
      </c>
      <c r="O168" s="4"/>
      <c r="Q168" s="843" t="s">
        <v>1122</v>
      </c>
      <c r="S168" s="4"/>
      <c r="T168" s="4"/>
      <c r="U168" s="4"/>
      <c r="V168" s="4"/>
      <c r="W168" s="4"/>
      <c r="X168" s="4"/>
      <c r="Y168" s="4"/>
      <c r="Z168" s="4"/>
      <c r="AA168" s="4"/>
      <c r="AB168" s="4"/>
    </row>
    <row r="169" spans="2:28" s="144" customFormat="1" x14ac:dyDescent="0.3">
      <c r="B169" s="146" t="s">
        <v>21</v>
      </c>
      <c r="C169" s="143" t="s">
        <v>222</v>
      </c>
      <c r="D169" s="143" t="s">
        <v>324</v>
      </c>
      <c r="E169" s="143"/>
      <c r="I169" s="148" t="s">
        <v>414</v>
      </c>
      <c r="K169" s="143" t="s">
        <v>427</v>
      </c>
      <c r="M169" s="814"/>
      <c r="O169" s="4"/>
      <c r="Q169" s="843" t="s">
        <v>1123</v>
      </c>
      <c r="S169" s="4"/>
      <c r="T169" s="4"/>
      <c r="U169" s="4"/>
      <c r="V169" s="4"/>
      <c r="W169" s="4"/>
      <c r="X169" s="4"/>
      <c r="Y169" s="4"/>
      <c r="Z169" s="4"/>
      <c r="AA169" s="4"/>
      <c r="AB169" s="4"/>
    </row>
    <row r="170" spans="2:28" s="144" customFormat="1" x14ac:dyDescent="0.3">
      <c r="C170" s="143" t="s">
        <v>221</v>
      </c>
      <c r="D170" s="143" t="s">
        <v>325</v>
      </c>
      <c r="E170" s="143"/>
      <c r="I170" s="148" t="s">
        <v>415</v>
      </c>
      <c r="K170" s="143" t="s">
        <v>428</v>
      </c>
      <c r="O170" s="4"/>
      <c r="Q170" s="843" t="s">
        <v>1124</v>
      </c>
      <c r="S170" s="4"/>
      <c r="T170" s="4"/>
      <c r="U170" s="4"/>
      <c r="V170" s="4"/>
      <c r="W170" s="4"/>
      <c r="X170" s="4"/>
      <c r="Y170" s="4"/>
      <c r="Z170" s="4"/>
      <c r="AA170" s="4"/>
      <c r="AB170" s="4"/>
    </row>
    <row r="171" spans="2:28" s="144" customFormat="1" x14ac:dyDescent="0.3">
      <c r="D171" s="146" t="s">
        <v>323</v>
      </c>
      <c r="E171" s="146"/>
      <c r="I171" s="148" t="s">
        <v>416</v>
      </c>
      <c r="K171" s="143"/>
      <c r="O171" s="4"/>
      <c r="Q171" s="843" t="s">
        <v>1125</v>
      </c>
      <c r="S171" s="4"/>
      <c r="T171" s="4"/>
      <c r="U171" s="4"/>
      <c r="V171" s="4"/>
      <c r="W171" s="4"/>
      <c r="X171" s="4"/>
      <c r="Y171" s="4"/>
      <c r="Z171" s="4"/>
      <c r="AA171" s="4"/>
      <c r="AB171" s="4"/>
    </row>
    <row r="172" spans="2:28" s="144" customFormat="1" x14ac:dyDescent="0.3">
      <c r="D172" s="146" t="s">
        <v>227</v>
      </c>
      <c r="E172" s="146"/>
      <c r="I172" s="148" t="s">
        <v>417</v>
      </c>
      <c r="O172" s="4"/>
      <c r="Q172" s="843" t="s">
        <v>1126</v>
      </c>
      <c r="S172" s="4"/>
      <c r="T172" s="4"/>
      <c r="U172" s="4"/>
      <c r="V172" s="4"/>
      <c r="W172" s="4"/>
      <c r="X172" s="4"/>
      <c r="Y172" s="4"/>
      <c r="Z172" s="4"/>
      <c r="AA172" s="4"/>
      <c r="AB172" s="4"/>
    </row>
    <row r="173" spans="2:28" s="144" customFormat="1" x14ac:dyDescent="0.3">
      <c r="D173" s="146" t="s">
        <v>20</v>
      </c>
      <c r="E173" s="146"/>
      <c r="I173" s="148"/>
      <c r="O173" s="4"/>
      <c r="Q173" s="843" t="s">
        <v>1127</v>
      </c>
      <c r="S173" s="4"/>
      <c r="T173" s="4"/>
      <c r="U173" s="4"/>
      <c r="V173" s="4"/>
      <c r="W173" s="4"/>
      <c r="X173" s="4"/>
      <c r="Y173" s="4"/>
      <c r="Z173" s="4"/>
      <c r="AA173" s="4"/>
      <c r="AB173" s="4"/>
    </row>
    <row r="174" spans="2:28" x14ac:dyDescent="0.3">
      <c r="P174" s="144"/>
      <c r="Q174" s="843" t="s">
        <v>1128</v>
      </c>
      <c r="R174" s="144"/>
    </row>
    <row r="175" spans="2:28" x14ac:dyDescent="0.3">
      <c r="P175" s="144"/>
      <c r="Q175" s="843" t="s">
        <v>1129</v>
      </c>
      <c r="R175" s="144"/>
    </row>
    <row r="176" spans="2:28" x14ac:dyDescent="0.3">
      <c r="P176" s="144"/>
      <c r="Q176" s="843" t="s">
        <v>1130</v>
      </c>
      <c r="R176" s="144"/>
    </row>
    <row r="177" spans="16:18" x14ac:dyDescent="0.3">
      <c r="P177" s="144"/>
      <c r="Q177" s="814" t="s">
        <v>1131</v>
      </c>
      <c r="R177" s="144"/>
    </row>
    <row r="178" spans="16:18" x14ac:dyDescent="0.3">
      <c r="P178" s="144"/>
      <c r="Q178" s="843" t="s">
        <v>1132</v>
      </c>
      <c r="R178" s="144"/>
    </row>
    <row r="179" spans="16:18" x14ac:dyDescent="0.3">
      <c r="P179" s="144"/>
      <c r="Q179" s="843" t="s">
        <v>1133</v>
      </c>
      <c r="R179" s="144"/>
    </row>
    <row r="180" spans="16:18" x14ac:dyDescent="0.3">
      <c r="P180" s="144"/>
      <c r="Q180" s="843" t="s">
        <v>1134</v>
      </c>
      <c r="R180" s="144"/>
    </row>
    <row r="181" spans="16:18" x14ac:dyDescent="0.3">
      <c r="P181" s="144"/>
      <c r="Q181" s="843" t="s">
        <v>1135</v>
      </c>
      <c r="R181" s="144"/>
    </row>
    <row r="182" spans="16:18" x14ac:dyDescent="0.3">
      <c r="P182" s="144"/>
      <c r="Q182" s="843" t="s">
        <v>1136</v>
      </c>
      <c r="R182" s="144"/>
    </row>
    <row r="183" spans="16:18" x14ac:dyDescent="0.3">
      <c r="P183" s="144"/>
      <c r="Q183" s="843" t="s">
        <v>1137</v>
      </c>
      <c r="R183" s="144"/>
    </row>
    <row r="184" spans="16:18" x14ac:dyDescent="0.3">
      <c r="P184" s="144"/>
      <c r="Q184" s="843" t="s">
        <v>1138</v>
      </c>
      <c r="R184" s="144"/>
    </row>
    <row r="185" spans="16:18" x14ac:dyDescent="0.3">
      <c r="P185" s="144"/>
      <c r="Q185" s="814" t="s">
        <v>1139</v>
      </c>
      <c r="R185" s="144"/>
    </row>
    <row r="186" spans="16:18" x14ac:dyDescent="0.3">
      <c r="P186" s="144"/>
      <c r="Q186" s="814" t="s">
        <v>1140</v>
      </c>
      <c r="R186" s="144"/>
    </row>
    <row r="187" spans="16:18" x14ac:dyDescent="0.3">
      <c r="P187" s="144"/>
      <c r="Q187" s="814" t="s">
        <v>1141</v>
      </c>
      <c r="R187" s="144"/>
    </row>
  </sheetData>
  <sheetProtection formatCells="0" formatColumns="0" formatRows="0" insertColumns="0" insertRows="0" insertHyperlinks="0" deleteColumns="0" deleteRows="0" sort="0" autoFilter="0" pivotTables="0"/>
  <mergeCells count="160">
    <mergeCell ref="B129:N129"/>
    <mergeCell ref="L9:N9"/>
    <mergeCell ref="B8:B9"/>
    <mergeCell ref="L8:N8"/>
    <mergeCell ref="C8:J9"/>
    <mergeCell ref="D15:I15"/>
    <mergeCell ref="B65:D65"/>
    <mergeCell ref="H97:N97"/>
    <mergeCell ref="H95:N95"/>
    <mergeCell ref="B108:F108"/>
    <mergeCell ref="B98:F98"/>
    <mergeCell ref="B102:C102"/>
    <mergeCell ref="I102:J102"/>
    <mergeCell ref="H100:N100"/>
    <mergeCell ref="H98:N98"/>
    <mergeCell ref="B104:F104"/>
    <mergeCell ref="H104:N104"/>
    <mergeCell ref="B107:F107"/>
    <mergeCell ref="B99:F99"/>
    <mergeCell ref="H99:N99"/>
    <mergeCell ref="H103:N103"/>
    <mergeCell ref="H107:N107"/>
    <mergeCell ref="B106:F106"/>
    <mergeCell ref="B103:F103"/>
    <mergeCell ref="L18:N18"/>
    <mergeCell ref="B40:N40"/>
    <mergeCell ref="L33:N33"/>
    <mergeCell ref="H29:I29"/>
    <mergeCell ref="L19:M19"/>
    <mergeCell ref="B41:N41"/>
    <mergeCell ref="H27:M27"/>
    <mergeCell ref="M31:N31"/>
    <mergeCell ref="B36:N36"/>
    <mergeCell ref="D25:F25"/>
    <mergeCell ref="B33:F33"/>
    <mergeCell ref="B21:E23"/>
    <mergeCell ref="H21:N23"/>
    <mergeCell ref="M29:N29"/>
    <mergeCell ref="H31:I31"/>
    <mergeCell ref="J29:L29"/>
    <mergeCell ref="J31:L31"/>
    <mergeCell ref="B35:F35"/>
    <mergeCell ref="D31:F31"/>
    <mergeCell ref="D29:F29"/>
    <mergeCell ref="F65:N65"/>
    <mergeCell ref="B50:N50"/>
    <mergeCell ref="B77:F77"/>
    <mergeCell ref="B89:F89"/>
    <mergeCell ref="B82:F82"/>
    <mergeCell ref="B84:F84"/>
    <mergeCell ref="B86:F86"/>
    <mergeCell ref="B87:F87"/>
    <mergeCell ref="B88:F88"/>
    <mergeCell ref="B73:E73"/>
    <mergeCell ref="B83:F83"/>
    <mergeCell ref="H62:N62"/>
    <mergeCell ref="B74:F74"/>
    <mergeCell ref="K68:L68"/>
    <mergeCell ref="F67:H67"/>
    <mergeCell ref="F71:H71"/>
    <mergeCell ref="F68:H68"/>
    <mergeCell ref="H57:N57"/>
    <mergeCell ref="K69:L69"/>
    <mergeCell ref="B51:N51"/>
    <mergeCell ref="I55:M56"/>
    <mergeCell ref="I73:L73"/>
    <mergeCell ref="B55:D56"/>
    <mergeCell ref="B2:N2"/>
    <mergeCell ref="B4:N4"/>
    <mergeCell ref="L15:M15"/>
    <mergeCell ref="L11:N11"/>
    <mergeCell ref="C11:J11"/>
    <mergeCell ref="C13:E13"/>
    <mergeCell ref="B95:F95"/>
    <mergeCell ref="H13:I13"/>
    <mergeCell ref="B39:N39"/>
    <mergeCell ref="B47:N47"/>
    <mergeCell ref="B78:F78"/>
    <mergeCell ref="B91:N91"/>
    <mergeCell ref="B94:F94"/>
    <mergeCell ref="K70:L70"/>
    <mergeCell ref="H63:N63"/>
    <mergeCell ref="K66:L66"/>
    <mergeCell ref="K13:M13"/>
    <mergeCell ref="L17:M17"/>
    <mergeCell ref="F17:I17"/>
    <mergeCell ref="B57:F57"/>
    <mergeCell ref="F66:H66"/>
    <mergeCell ref="I93:K93"/>
    <mergeCell ref="L81:N81"/>
    <mergeCell ref="H94:N94"/>
    <mergeCell ref="I143:N143"/>
    <mergeCell ref="K67:L67"/>
    <mergeCell ref="I141:K141"/>
    <mergeCell ref="I137:K137"/>
    <mergeCell ref="K133:N133"/>
    <mergeCell ref="H109:N109"/>
    <mergeCell ref="H108:N108"/>
    <mergeCell ref="B100:F100"/>
    <mergeCell ref="L72:N72"/>
    <mergeCell ref="L139:N139"/>
    <mergeCell ref="I139:J139"/>
    <mergeCell ref="B109:F109"/>
    <mergeCell ref="B117:N117"/>
    <mergeCell ref="F118:L118"/>
    <mergeCell ref="F119:L119"/>
    <mergeCell ref="F120:L120"/>
    <mergeCell ref="F121:L121"/>
    <mergeCell ref="N118:N121"/>
    <mergeCell ref="B118:C118"/>
    <mergeCell ref="B119:C119"/>
    <mergeCell ref="B120:C120"/>
    <mergeCell ref="B111:D111"/>
    <mergeCell ref="B131:E131"/>
    <mergeCell ref="B139:C139"/>
    <mergeCell ref="D6:E6"/>
    <mergeCell ref="F6:J6"/>
    <mergeCell ref="M6:N6"/>
    <mergeCell ref="K6:L6"/>
    <mergeCell ref="F111:L111"/>
    <mergeCell ref="B52:N52"/>
    <mergeCell ref="B44:N44"/>
    <mergeCell ref="H61:N61"/>
    <mergeCell ref="B61:F61"/>
    <mergeCell ref="F70:H70"/>
    <mergeCell ref="B46:I46"/>
    <mergeCell ref="B62:F62"/>
    <mergeCell ref="B63:F63"/>
    <mergeCell ref="K71:L71"/>
    <mergeCell ref="B79:F79"/>
    <mergeCell ref="B80:F80"/>
    <mergeCell ref="B93:C93"/>
    <mergeCell ref="H25:N25"/>
    <mergeCell ref="B37:N37"/>
    <mergeCell ref="B48:N48"/>
    <mergeCell ref="B75:F75"/>
    <mergeCell ref="F69:H69"/>
    <mergeCell ref="B97:F97"/>
    <mergeCell ref="B42:N42"/>
    <mergeCell ref="H106:N106"/>
    <mergeCell ref="H126:K126"/>
    <mergeCell ref="H127:K127"/>
    <mergeCell ref="B112:C112"/>
    <mergeCell ref="B113:C113"/>
    <mergeCell ref="B114:C114"/>
    <mergeCell ref="B115:C115"/>
    <mergeCell ref="F112:L112"/>
    <mergeCell ref="F113:L113"/>
    <mergeCell ref="F114:L114"/>
    <mergeCell ref="F115:L115"/>
    <mergeCell ref="H125:K125"/>
    <mergeCell ref="H124:K124"/>
    <mergeCell ref="B126:E126"/>
    <mergeCell ref="B121:C121"/>
    <mergeCell ref="D118:E118"/>
    <mergeCell ref="D119:E119"/>
    <mergeCell ref="B123:F123"/>
    <mergeCell ref="B124:E124"/>
    <mergeCell ref="B125:E125"/>
    <mergeCell ref="B127:E127"/>
  </mergeCells>
  <phoneticPr fontId="0" type="noConversion"/>
  <conditionalFormatting sqref="D137">
    <cfRule type="cellIs" dxfId="1305" priority="19" stopIfTrue="1" operator="equal">
      <formula>0</formula>
    </cfRule>
  </conditionalFormatting>
  <conditionalFormatting sqref="D113 M112">
    <cfRule type="cellIs" dxfId="1304" priority="18" operator="equal">
      <formula>"Oui"</formula>
    </cfRule>
  </conditionalFormatting>
  <conditionalFormatting sqref="D114 M113">
    <cfRule type="cellIs" dxfId="1303" priority="17" operator="equal">
      <formula>"Oui"</formula>
    </cfRule>
  </conditionalFormatting>
  <conditionalFormatting sqref="E112">
    <cfRule type="cellIs" dxfId="1302" priority="13" operator="equal">
      <formula>"Oui"</formula>
    </cfRule>
  </conditionalFormatting>
  <conditionalFormatting sqref="N111">
    <cfRule type="cellIs" dxfId="1301" priority="12" operator="equal">
      <formula>"Oui"</formula>
    </cfRule>
  </conditionalFormatting>
  <conditionalFormatting sqref="N113">
    <cfRule type="cellIs" dxfId="1300" priority="11" operator="equal">
      <formula>"Oui"</formula>
    </cfRule>
  </conditionalFormatting>
  <conditionalFormatting sqref="M118">
    <cfRule type="cellIs" dxfId="1299" priority="10" operator="equal">
      <formula>"Oui"</formula>
    </cfRule>
  </conditionalFormatting>
  <conditionalFormatting sqref="M119">
    <cfRule type="cellIs" dxfId="1298" priority="8" operator="equal">
      <formula>"Non"</formula>
    </cfRule>
  </conditionalFormatting>
  <conditionalFormatting sqref="M121">
    <cfRule type="cellIs" dxfId="1297" priority="7" operator="equal">
      <formula>"Non"</formula>
    </cfRule>
  </conditionalFormatting>
  <conditionalFormatting sqref="M120">
    <cfRule type="cellIs" dxfId="1296" priority="6" operator="equal">
      <formula>"Oui"</formula>
    </cfRule>
  </conditionalFormatting>
  <conditionalFormatting sqref="D121">
    <cfRule type="cellIs" dxfId="1295" priority="4" operator="equal">
      <formula>"Oui"</formula>
    </cfRule>
  </conditionalFormatting>
  <conditionalFormatting sqref="D118:E118">
    <cfRule type="cellIs" dxfId="1294" priority="3" operator="equal">
      <formula>"Dépendance forte"</formula>
    </cfRule>
  </conditionalFormatting>
  <conditionalFormatting sqref="D119:E119">
    <cfRule type="cellIs" dxfId="1293" priority="2" operator="equal">
      <formula>"rupture possible"</formula>
    </cfRule>
  </conditionalFormatting>
  <dataValidations xWindow="256" yWindow="545" count="19">
    <dataValidation type="list" allowBlank="1" showInputMessage="1" showErrorMessage="1" sqref="J19 C19 H33" xr:uid="{00000000-0002-0000-0200-000000000000}">
      <formula1>"Non,Oui"</formula1>
    </dataValidation>
    <dataValidation type="list" allowBlank="1" showInputMessage="1" showErrorMessage="1" sqref="H29:I29" xr:uid="{00000000-0002-0000-0200-000001000000}">
      <formula1>$K$161:$K$163</formula1>
    </dataValidation>
    <dataValidation type="list" allowBlank="1" showInputMessage="1" showErrorMessage="1" sqref="M112:M115 N27 D113:D115 M118:M121 D120:D121" xr:uid="{00000000-0002-0000-0200-000002000000}">
      <formula1>"Non, Oui"</formula1>
    </dataValidation>
    <dataValidation type="list" allowBlank="1" showInputMessage="1" showErrorMessage="1" sqref="L139" xr:uid="{00000000-0002-0000-0200-000003000000}">
      <formula1>$D$161:$D$173</formula1>
    </dataValidation>
    <dataValidation type="list" allowBlank="1" showInputMessage="1" showErrorMessage="1" sqref="L33" xr:uid="{00000000-0002-0000-0200-000004000000}">
      <formula1>$K$165:$K$170</formula1>
    </dataValidation>
    <dataValidation type="list" allowBlank="1" showInputMessage="1" showErrorMessage="1" sqref="I141" xr:uid="{00000000-0002-0000-0200-000005000000}">
      <formula1>$C$161:$C$163</formula1>
    </dataValidation>
    <dataValidation type="list" allowBlank="1" showInputMessage="1" showErrorMessage="1" sqref="I139" xr:uid="{00000000-0002-0000-0200-000006000000}">
      <formula1>$C$168:$C$170</formula1>
    </dataValidation>
    <dataValidation type="list" allowBlank="1" showInputMessage="1" showErrorMessage="1" sqref="C141" xr:uid="{00000000-0002-0000-0200-000007000000}">
      <formula1>$B$161:$B$166</formula1>
    </dataValidation>
    <dataValidation allowBlank="1" showInputMessage="1" showErrorMessage="1" prompt="Précisez la superficie en m2" sqref="C27" xr:uid="{00000000-0002-0000-0200-000008000000}"/>
    <dataValidation type="list" allowBlank="1" showInputMessage="1" showErrorMessage="1" sqref="M6" xr:uid="{00000000-0002-0000-0200-000009000000}">
      <formula1>$I$161:$I$172</formula1>
    </dataValidation>
    <dataValidation type="list" allowBlank="1" showInputMessage="1" showErrorMessage="1" sqref="N19" xr:uid="{00000000-0002-0000-0200-00000A000000}">
      <formula1>"31-janv,28-févr,31-mars,30-avr,31-mai,30-juin,31-juil,31-août,30-sept,31-oct,30-nov,31-déc"</formula1>
    </dataValidation>
    <dataValidation type="list" allowBlank="1" showInputMessage="1" showErrorMessage="1" sqref="D118" xr:uid="{00000000-0002-0000-0200-00000B000000}">
      <formula1>$M$161:$M$163</formula1>
    </dataValidation>
    <dataValidation type="list" allowBlank="1" showInputMessage="1" showErrorMessage="1" sqref="D119:E119" xr:uid="{00000000-0002-0000-0200-00000C000000}">
      <formula1>$M$165:$M$168</formula1>
    </dataValidation>
    <dataValidation type="list" allowBlank="1" showInputMessage="1" showErrorMessage="1" sqref="L9:M9" xr:uid="{00000000-0002-0000-0200-00000D000000}">
      <formula1>$Q$161:$Q$187</formula1>
    </dataValidation>
    <dataValidation type="list" allowBlank="1" showInputMessage="1" showErrorMessage="1" sqref="L8" xr:uid="{00000000-0002-0000-0200-00000E000000}">
      <formula1>$P$161:$P$165</formula1>
    </dataValidation>
    <dataValidation type="list" allowBlank="1" showInputMessage="1" showErrorMessage="1" prompt="N/A=non applicable" sqref="L125" xr:uid="{00000000-0002-0000-0200-00000F000000}">
      <formula1>"Oui,Non,N/A"</formula1>
    </dataValidation>
    <dataValidation type="list" allowBlank="1" showInputMessage="1" showErrorMessage="1" prompt="N/A=non applicable" sqref="F127 F125 L127" xr:uid="{00000000-0002-0000-0200-000010000000}">
      <formula1>"Oui,Non,Prévu,N/A"</formula1>
    </dataValidation>
    <dataValidation type="list" allowBlank="1" showInputMessage="1" showErrorMessage="1" prompt="NC=non connu" sqref="F124" xr:uid="{00000000-0002-0000-0200-000011000000}">
      <formula1>"Supérieur,Moyenne,Inférieur,NC"</formula1>
    </dataValidation>
    <dataValidation type="list" allowBlank="1" showInputMessage="1" showErrorMessage="1" sqref="L126" xr:uid="{00000000-0002-0000-0200-000012000000}">
      <formula1>"Nul,Positif,Négatif"</formula1>
    </dataValidation>
  </dataValidations>
  <hyperlinks>
    <hyperlink ref="F131:H131" location="'Rachat ou reprise'!B1" display="Rachat ou reprise" xr:uid="{00000000-0004-0000-0200-000000000000}"/>
    <hyperlink ref="F131" location="'Rachat ou reprise'!B2" display="Rachat ou reprise" xr:uid="{00000000-0004-0000-0200-000001000000}"/>
  </hyperlinks>
  <printOptions horizontalCentered="1"/>
  <pageMargins left="0" right="0" top="0" bottom="0" header="0" footer="0"/>
  <pageSetup paperSize="9" scale="5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77" r:id="rId4" name="Check Box 85">
              <controlPr defaultSize="0" autoFill="0" autoLine="0" autoPict="0">
                <anchor moveWithCells="1">
                  <from>
                    <xdr:col>1</xdr:col>
                    <xdr:colOff>312420</xdr:colOff>
                    <xdr:row>65</xdr:row>
                    <xdr:rowOff>144780</xdr:rowOff>
                  </from>
                  <to>
                    <xdr:col>1</xdr:col>
                    <xdr:colOff>1249680</xdr:colOff>
                    <xdr:row>66</xdr:row>
                    <xdr:rowOff>114300</xdr:rowOff>
                  </to>
                </anchor>
              </controlPr>
            </control>
          </mc:Choice>
        </mc:AlternateContent>
        <mc:AlternateContent xmlns:mc="http://schemas.openxmlformats.org/markup-compatibility/2006">
          <mc:Choice Requires="x14">
            <control shapeId="8278" r:id="rId5" name="Check Box 86">
              <controlPr defaultSize="0" autoFill="0" autoLine="0" autoPict="0">
                <anchor moveWithCells="1">
                  <from>
                    <xdr:col>2</xdr:col>
                    <xdr:colOff>381000</xdr:colOff>
                    <xdr:row>65</xdr:row>
                    <xdr:rowOff>152400</xdr:rowOff>
                  </from>
                  <to>
                    <xdr:col>3</xdr:col>
                    <xdr:colOff>487680</xdr:colOff>
                    <xdr:row>67</xdr:row>
                    <xdr:rowOff>0</xdr:rowOff>
                  </to>
                </anchor>
              </controlPr>
            </control>
          </mc:Choice>
        </mc:AlternateContent>
        <mc:AlternateContent xmlns:mc="http://schemas.openxmlformats.org/markup-compatibility/2006">
          <mc:Choice Requires="x14">
            <control shapeId="8279" r:id="rId6" name="Check Box 87">
              <controlPr defaultSize="0" autoFill="0" autoLine="0" autoPict="0">
                <anchor moveWithCells="1">
                  <from>
                    <xdr:col>1</xdr:col>
                    <xdr:colOff>304800</xdr:colOff>
                    <xdr:row>68</xdr:row>
                    <xdr:rowOff>106680</xdr:rowOff>
                  </from>
                  <to>
                    <xdr:col>1</xdr:col>
                    <xdr:colOff>1287780</xdr:colOff>
                    <xdr:row>69</xdr:row>
                    <xdr:rowOff>76200</xdr:rowOff>
                  </to>
                </anchor>
              </controlPr>
            </control>
          </mc:Choice>
        </mc:AlternateContent>
        <mc:AlternateContent xmlns:mc="http://schemas.openxmlformats.org/markup-compatibility/2006">
          <mc:Choice Requires="x14">
            <control shapeId="8280" r:id="rId7" name="Check Box 88">
              <controlPr defaultSize="0" autoFill="0" autoLine="0" autoPict="0">
                <anchor moveWithCells="1">
                  <from>
                    <xdr:col>2</xdr:col>
                    <xdr:colOff>381000</xdr:colOff>
                    <xdr:row>68</xdr:row>
                    <xdr:rowOff>114300</xdr:rowOff>
                  </from>
                  <to>
                    <xdr:col>3</xdr:col>
                    <xdr:colOff>487680</xdr:colOff>
                    <xdr:row>69</xdr:row>
                    <xdr:rowOff>83820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indexed="21"/>
    <pageSetUpPr fitToPage="1"/>
  </sheetPr>
  <dimension ref="A1:U151"/>
  <sheetViews>
    <sheetView showGridLines="0" showRowColHeaders="0" workbookViewId="0">
      <selection activeCell="B2" sqref="B2:N2"/>
    </sheetView>
  </sheetViews>
  <sheetFormatPr baseColWidth="10" defaultColWidth="10.77734375" defaultRowHeight="13.8" x14ac:dyDescent="0.3"/>
  <cols>
    <col min="1" max="1" width="1.77734375" style="1" customWidth="1"/>
    <col min="2" max="2" width="26.109375" style="1" customWidth="1"/>
    <col min="3" max="3" width="14.77734375" style="1" customWidth="1"/>
    <col min="4" max="4" width="15.77734375" style="1" customWidth="1"/>
    <col min="5" max="5" width="10.77734375" style="1" customWidth="1"/>
    <col min="6" max="6" width="13.77734375" style="1" customWidth="1"/>
    <col min="7" max="7" width="10.77734375" style="1" customWidth="1"/>
    <col min="8" max="8" width="14.77734375" style="1" customWidth="1"/>
    <col min="9" max="9" width="11.77734375" style="1" customWidth="1"/>
    <col min="10" max="10" width="14.77734375" style="1" customWidth="1"/>
    <col min="11" max="12" width="12.77734375" style="1" customWidth="1"/>
    <col min="13" max="14" width="13.77734375" style="1" customWidth="1"/>
    <col min="15" max="15" width="51.33203125" style="19" customWidth="1"/>
    <col min="16" max="19" width="10.77734375" style="19"/>
    <col min="20" max="16384" width="10.77734375" style="1"/>
  </cols>
  <sheetData>
    <row r="1" spans="1:21" ht="6" customHeight="1" x14ac:dyDescent="0.3"/>
    <row r="2" spans="1:21" ht="21.9" customHeight="1" x14ac:dyDescent="0.3">
      <c r="A2" s="18"/>
      <c r="B2" s="3379" t="s">
        <v>907</v>
      </c>
      <c r="C2" s="3380"/>
      <c r="D2" s="3380"/>
      <c r="E2" s="3380"/>
      <c r="F2" s="3380"/>
      <c r="G2" s="3380"/>
      <c r="H2" s="3380"/>
      <c r="I2" s="3380"/>
      <c r="J2" s="3380"/>
      <c r="K2" s="3380"/>
      <c r="L2" s="3380"/>
      <c r="M2" s="3713"/>
      <c r="N2" s="3714"/>
    </row>
    <row r="3" spans="1:21" ht="15" customHeight="1" x14ac:dyDescent="0.3"/>
    <row r="4" spans="1:21" ht="20.100000000000001" customHeight="1" x14ac:dyDescent="0.3">
      <c r="B4" s="3741" t="s">
        <v>318</v>
      </c>
      <c r="C4" s="3741"/>
      <c r="D4" s="3741"/>
      <c r="E4" s="3741"/>
      <c r="F4" s="115"/>
      <c r="I4" s="4"/>
      <c r="J4" s="3727" t="s">
        <v>317</v>
      </c>
      <c r="K4" s="3378"/>
      <c r="L4" s="3378"/>
      <c r="M4" s="3728"/>
      <c r="N4" s="115"/>
    </row>
    <row r="5" spans="1:21" s="1472" customFormat="1" ht="15" customHeight="1" x14ac:dyDescent="0.25">
      <c r="B5" s="3722" t="s">
        <v>469</v>
      </c>
      <c r="C5" s="3722"/>
      <c r="D5" s="3722" t="s">
        <v>468</v>
      </c>
      <c r="E5" s="3722"/>
      <c r="J5" s="3732" t="s">
        <v>205</v>
      </c>
      <c r="K5" s="3363"/>
      <c r="L5" s="2929"/>
      <c r="M5" s="2929"/>
      <c r="O5" s="2928"/>
      <c r="P5" s="2928"/>
      <c r="Q5" s="2928"/>
      <c r="R5" s="2928"/>
      <c r="S5" s="2928"/>
    </row>
    <row r="6" spans="1:21" s="503" customFormat="1" ht="9.9" customHeight="1" x14ac:dyDescent="0.3">
      <c r="J6" s="1053"/>
      <c r="K6" s="1053"/>
      <c r="L6" s="1053"/>
      <c r="M6" s="1053"/>
      <c r="O6" s="838"/>
      <c r="P6" s="838"/>
      <c r="Q6" s="838"/>
      <c r="R6" s="838"/>
      <c r="S6" s="838"/>
    </row>
    <row r="7" spans="1:21" ht="20.100000000000001" customHeight="1" x14ac:dyDescent="0.3">
      <c r="B7" s="3723" t="s">
        <v>206</v>
      </c>
      <c r="C7" s="3723"/>
      <c r="D7" s="3723"/>
      <c r="E7" s="3723"/>
      <c r="F7" s="3723"/>
      <c r="G7" s="3723"/>
      <c r="H7" s="3723"/>
    </row>
    <row r="8" spans="1:21" ht="3" customHeight="1" x14ac:dyDescent="0.3">
      <c r="B8" s="21"/>
      <c r="C8" s="21"/>
      <c r="D8" s="21"/>
      <c r="E8" s="21"/>
      <c r="F8" s="21"/>
      <c r="G8" s="21"/>
      <c r="H8" s="21"/>
    </row>
    <row r="9" spans="1:21" s="96" customFormat="1" ht="21.9" customHeight="1" x14ac:dyDescent="0.4">
      <c r="B9" s="3461" t="s">
        <v>939</v>
      </c>
      <c r="C9" s="3462"/>
      <c r="D9" s="3462"/>
      <c r="E9" s="3462"/>
      <c r="F9" s="3462"/>
      <c r="G9" s="3462"/>
      <c r="H9" s="3462"/>
      <c r="I9" s="3462"/>
      <c r="J9" s="3462"/>
      <c r="K9" s="3462"/>
      <c r="L9" s="3462"/>
      <c r="M9" s="3462"/>
      <c r="N9" s="3463"/>
      <c r="O9" s="97"/>
      <c r="P9" s="97"/>
      <c r="Q9" s="97"/>
      <c r="R9" s="97"/>
      <c r="S9" s="97"/>
    </row>
    <row r="10" spans="1:21" ht="15" customHeight="1" x14ac:dyDescent="0.3"/>
    <row r="11" spans="1:21" s="42" customFormat="1" ht="20.100000000000001" customHeight="1" x14ac:dyDescent="0.3">
      <c r="B11" s="396" t="s">
        <v>7</v>
      </c>
      <c r="C11" s="3469"/>
      <c r="D11" s="3444"/>
      <c r="E11" s="3444"/>
      <c r="F11" s="3445"/>
      <c r="H11" s="7"/>
      <c r="I11" s="396" t="s">
        <v>8</v>
      </c>
      <c r="J11" s="3738"/>
      <c r="K11" s="3734"/>
      <c r="L11" s="3734"/>
      <c r="M11" s="3734"/>
      <c r="N11" s="3735"/>
    </row>
    <row r="12" spans="1:21" s="42" customFormat="1" ht="9.9" customHeight="1" x14ac:dyDescent="0.3">
      <c r="B12" s="43"/>
      <c r="C12" s="99"/>
      <c r="O12" s="99"/>
    </row>
    <row r="13" spans="1:21" s="42" customFormat="1" ht="20.100000000000001" customHeight="1" x14ac:dyDescent="0.3">
      <c r="B13" s="396" t="s">
        <v>411</v>
      </c>
      <c r="C13" s="3469"/>
      <c r="D13" s="3734"/>
      <c r="E13" s="3734"/>
      <c r="F13" s="3734"/>
      <c r="G13" s="3734"/>
      <c r="H13" s="3734"/>
      <c r="I13" s="3734"/>
      <c r="J13" s="3734"/>
      <c r="K13" s="3734"/>
      <c r="L13" s="3734"/>
      <c r="M13" s="3734"/>
      <c r="N13" s="3735"/>
    </row>
    <row r="14" spans="1:21" s="42" customFormat="1" ht="9.9" customHeight="1" x14ac:dyDescent="0.3">
      <c r="B14" s="43"/>
      <c r="C14" s="99"/>
    </row>
    <row r="15" spans="1:21" s="42" customFormat="1" ht="20.100000000000001" customHeight="1" x14ac:dyDescent="0.3">
      <c r="B15" s="396" t="s">
        <v>9</v>
      </c>
      <c r="C15" s="562"/>
      <c r="E15" s="397" t="s">
        <v>350</v>
      </c>
      <c r="F15" s="563" t="str">
        <f ca="1">IF(ISBLANK(C15)," ",(TODAY()-C15)/365.25)</f>
        <v xml:space="preserve"> </v>
      </c>
      <c r="H15" s="3600" t="s">
        <v>10</v>
      </c>
      <c r="I15" s="3739"/>
      <c r="J15" s="3469"/>
      <c r="K15" s="3733"/>
      <c r="M15" s="397" t="s">
        <v>34</v>
      </c>
      <c r="N15" s="565"/>
      <c r="P15" s="45"/>
      <c r="R15" s="45"/>
      <c r="T15" s="45"/>
      <c r="U15" s="45"/>
    </row>
    <row r="16" spans="1:21" s="42" customFormat="1" ht="9.9" customHeight="1" x14ac:dyDescent="0.3">
      <c r="B16" s="43"/>
      <c r="C16" s="99"/>
      <c r="P16" s="45"/>
      <c r="R16" s="45"/>
      <c r="T16" s="44"/>
      <c r="U16" s="45"/>
    </row>
    <row r="17" spans="2:21" s="42" customFormat="1" ht="20.100000000000001" customHeight="1" x14ac:dyDescent="0.3">
      <c r="B17" s="396" t="s">
        <v>11</v>
      </c>
      <c r="C17" s="568"/>
      <c r="H17" s="3600" t="s">
        <v>13</v>
      </c>
      <c r="I17" s="3739"/>
      <c r="J17" s="3438"/>
      <c r="K17" s="3736"/>
      <c r="L17" s="3737"/>
      <c r="P17" s="45"/>
      <c r="R17" s="101"/>
      <c r="T17" s="45"/>
      <c r="U17" s="45"/>
    </row>
    <row r="18" spans="2:21" s="42" customFormat="1" ht="9.9" customHeight="1" x14ac:dyDescent="0.3">
      <c r="B18" s="43"/>
      <c r="C18" s="99"/>
      <c r="I18" s="99"/>
      <c r="P18" s="44"/>
      <c r="R18" s="45"/>
      <c r="T18" s="45"/>
    </row>
    <row r="19" spans="2:21" s="42" customFormat="1" ht="20.100000000000001" customHeight="1" x14ac:dyDescent="0.3">
      <c r="B19" s="396" t="s">
        <v>187</v>
      </c>
      <c r="D19" s="2970"/>
      <c r="H19" s="3600" t="s">
        <v>33</v>
      </c>
      <c r="I19" s="3739"/>
      <c r="J19" s="3469"/>
      <c r="K19" s="3630"/>
      <c r="L19" s="3630"/>
      <c r="M19" s="3630"/>
      <c r="N19" s="3733"/>
      <c r="P19" s="44"/>
      <c r="R19" s="44"/>
      <c r="T19" s="44"/>
    </row>
    <row r="20" spans="2:21" s="42" customFormat="1" ht="9.9" customHeight="1" x14ac:dyDescent="0.3">
      <c r="B20" s="43"/>
      <c r="C20" s="45"/>
      <c r="P20" s="44"/>
      <c r="R20" s="44"/>
      <c r="T20" s="44"/>
    </row>
    <row r="21" spans="2:21" s="42" customFormat="1" ht="20.100000000000001" customHeight="1" x14ac:dyDescent="0.3">
      <c r="B21" s="396" t="s">
        <v>17</v>
      </c>
      <c r="C21" s="3438"/>
      <c r="D21" s="3736"/>
      <c r="E21" s="3737"/>
      <c r="H21" s="3600" t="s">
        <v>18</v>
      </c>
      <c r="I21" s="3739"/>
      <c r="J21" s="3438"/>
      <c r="K21" s="3736"/>
      <c r="L21" s="3737"/>
      <c r="P21" s="44"/>
      <c r="R21" s="44"/>
    </row>
    <row r="22" spans="2:21" s="42" customFormat="1" ht="9.9" customHeight="1" x14ac:dyDescent="0.3">
      <c r="B22" s="43"/>
      <c r="C22" s="45"/>
      <c r="P22" s="44"/>
      <c r="Q22" s="44"/>
    </row>
    <row r="23" spans="2:21" s="42" customFormat="1" ht="20.100000000000001" customHeight="1" x14ac:dyDescent="0.3">
      <c r="B23" s="396" t="s">
        <v>25</v>
      </c>
      <c r="C23" s="3469"/>
      <c r="D23" s="3630"/>
      <c r="E23" s="3630"/>
      <c r="F23" s="3630"/>
      <c r="G23" s="3733"/>
      <c r="H23" s="3742" t="s">
        <v>438</v>
      </c>
      <c r="I23" s="3739"/>
      <c r="J23" s="3438"/>
      <c r="K23" s="3736"/>
      <c r="L23" s="3736"/>
      <c r="M23" s="3736"/>
      <c r="N23" s="3737"/>
      <c r="P23" s="45"/>
      <c r="Q23" s="44"/>
    </row>
    <row r="24" spans="2:21" s="42" customFormat="1" ht="9.9" customHeight="1" x14ac:dyDescent="0.3">
      <c r="B24" s="43"/>
      <c r="C24" s="99"/>
      <c r="Q24" s="44"/>
      <c r="R24" s="44"/>
    </row>
    <row r="25" spans="2:21" s="42" customFormat="1" ht="20.100000000000001" customHeight="1" x14ac:dyDescent="0.3">
      <c r="B25" s="3594" t="s">
        <v>322</v>
      </c>
      <c r="C25" s="3594"/>
      <c r="D25" s="3594"/>
      <c r="E25" s="3594"/>
      <c r="F25" s="3716"/>
      <c r="G25" s="3468"/>
      <c r="H25" s="3622" t="s">
        <v>645</v>
      </c>
      <c r="I25" s="3623"/>
      <c r="J25" s="3637"/>
      <c r="K25" s="3638"/>
      <c r="L25" s="3638"/>
      <c r="M25" s="3639"/>
      <c r="N25" s="3640"/>
      <c r="Q25" s="44"/>
    </row>
    <row r="26" spans="2:21" s="7" customFormat="1" ht="20.100000000000001" customHeight="1" x14ac:dyDescent="0.3">
      <c r="O26" s="90"/>
      <c r="P26" s="90"/>
      <c r="Q26" s="90"/>
      <c r="R26" s="90"/>
      <c r="S26" s="90"/>
    </row>
    <row r="27" spans="2:21" ht="21.9" customHeight="1" x14ac:dyDescent="0.3">
      <c r="B27" s="3461" t="s">
        <v>938</v>
      </c>
      <c r="C27" s="3462"/>
      <c r="D27" s="3462"/>
      <c r="E27" s="3462"/>
      <c r="F27" s="3462"/>
      <c r="G27" s="3462"/>
      <c r="H27" s="3462"/>
      <c r="I27" s="3462"/>
      <c r="J27" s="3462"/>
      <c r="K27" s="3462"/>
      <c r="L27" s="3462"/>
      <c r="M27" s="3462"/>
      <c r="N27" s="3463"/>
    </row>
    <row r="28" spans="2:21" ht="15" customHeight="1" x14ac:dyDescent="0.3">
      <c r="O28" s="24"/>
    </row>
    <row r="29" spans="2:21" s="42" customFormat="1" ht="20.100000000000001" customHeight="1" x14ac:dyDescent="0.3">
      <c r="B29" s="396" t="s">
        <v>7</v>
      </c>
      <c r="C29" s="3469"/>
      <c r="D29" s="3444"/>
      <c r="E29" s="3444"/>
      <c r="F29" s="3445"/>
      <c r="H29" s="7"/>
      <c r="I29" s="396" t="s">
        <v>8</v>
      </c>
      <c r="J29" s="3738"/>
      <c r="K29" s="3734"/>
      <c r="L29" s="3734"/>
      <c r="M29" s="3734"/>
      <c r="N29" s="3735"/>
    </row>
    <row r="30" spans="2:21" s="42" customFormat="1" ht="9.9" customHeight="1" x14ac:dyDescent="0.3">
      <c r="B30" s="43"/>
      <c r="C30" s="99"/>
      <c r="O30" s="99"/>
    </row>
    <row r="31" spans="2:21" s="42" customFormat="1" ht="20.100000000000001" customHeight="1" x14ac:dyDescent="0.3">
      <c r="B31" s="396" t="s">
        <v>411</v>
      </c>
      <c r="C31" s="3469"/>
      <c r="D31" s="3734"/>
      <c r="E31" s="3734"/>
      <c r="F31" s="3734"/>
      <c r="G31" s="3734"/>
      <c r="H31" s="3734"/>
      <c r="I31" s="3734"/>
      <c r="J31" s="3734"/>
      <c r="K31" s="3734"/>
      <c r="L31" s="3734"/>
      <c r="M31" s="3734"/>
      <c r="N31" s="3735"/>
    </row>
    <row r="32" spans="2:21" s="42" customFormat="1" ht="9.9" customHeight="1" x14ac:dyDescent="0.3">
      <c r="B32" s="43"/>
      <c r="C32" s="99"/>
    </row>
    <row r="33" spans="2:19" s="42" customFormat="1" ht="20.100000000000001" customHeight="1" x14ac:dyDescent="0.3">
      <c r="B33" s="396" t="s">
        <v>9</v>
      </c>
      <c r="C33" s="562"/>
      <c r="E33" s="100" t="s">
        <v>350</v>
      </c>
      <c r="F33" s="563" t="str">
        <f ca="1">IF(ISBLANK(C33)," ",(TODAY()-C33)/365.25)</f>
        <v xml:space="preserve"> </v>
      </c>
      <c r="H33" s="3600" t="s">
        <v>10</v>
      </c>
      <c r="I33" s="3739"/>
      <c r="J33" s="3469"/>
      <c r="K33" s="3733"/>
      <c r="M33" s="397" t="s">
        <v>34</v>
      </c>
      <c r="N33" s="565"/>
    </row>
    <row r="34" spans="2:19" s="42" customFormat="1" ht="9.9" customHeight="1" x14ac:dyDescent="0.3">
      <c r="B34" s="43"/>
      <c r="C34" s="99"/>
      <c r="I34" s="100"/>
    </row>
    <row r="35" spans="2:19" s="42" customFormat="1" ht="20.100000000000001" customHeight="1" x14ac:dyDescent="0.3">
      <c r="B35" s="396" t="s">
        <v>11</v>
      </c>
      <c r="C35" s="568"/>
      <c r="H35" s="3600" t="s">
        <v>13</v>
      </c>
      <c r="I35" s="3739"/>
      <c r="J35" s="3438"/>
      <c r="K35" s="3736"/>
      <c r="L35" s="3737"/>
    </row>
    <row r="36" spans="2:19" s="42" customFormat="1" ht="9.9" customHeight="1" x14ac:dyDescent="0.3">
      <c r="B36" s="43"/>
      <c r="C36" s="99"/>
      <c r="I36" s="99"/>
    </row>
    <row r="37" spans="2:19" s="42" customFormat="1" ht="20.100000000000001" customHeight="1" x14ac:dyDescent="0.3">
      <c r="B37" s="396" t="s">
        <v>1032</v>
      </c>
      <c r="D37" s="2970"/>
      <c r="H37" s="3600" t="s">
        <v>33</v>
      </c>
      <c r="I37" s="3739"/>
      <c r="J37" s="3469"/>
      <c r="K37" s="3630"/>
      <c r="L37" s="3630"/>
      <c r="M37" s="3630"/>
      <c r="N37" s="3733"/>
    </row>
    <row r="38" spans="2:19" s="42" customFormat="1" ht="9.9" customHeight="1" x14ac:dyDescent="0.3">
      <c r="B38" s="43"/>
      <c r="C38" s="45"/>
    </row>
    <row r="39" spans="2:19" s="42" customFormat="1" ht="20.100000000000001" customHeight="1" x14ac:dyDescent="0.3">
      <c r="B39" s="396" t="s">
        <v>17</v>
      </c>
      <c r="C39" s="3438"/>
      <c r="D39" s="3439"/>
      <c r="E39" s="3440"/>
      <c r="H39" s="3600" t="s">
        <v>18</v>
      </c>
      <c r="I39" s="3739"/>
      <c r="J39" s="3438"/>
      <c r="K39" s="3736"/>
      <c r="L39" s="3737"/>
    </row>
    <row r="40" spans="2:19" s="42" customFormat="1" ht="9.9" customHeight="1" x14ac:dyDescent="0.3">
      <c r="B40" s="43"/>
      <c r="C40" s="45"/>
      <c r="I40" s="100"/>
      <c r="Q40" s="44"/>
    </row>
    <row r="41" spans="2:19" s="42" customFormat="1" ht="20.100000000000001" customHeight="1" x14ac:dyDescent="0.3">
      <c r="B41" s="396" t="s">
        <v>25</v>
      </c>
      <c r="C41" s="3469"/>
      <c r="D41" s="3444"/>
      <c r="E41" s="3444"/>
      <c r="F41" s="3444"/>
      <c r="G41" s="3445"/>
      <c r="H41" s="3742" t="s">
        <v>438</v>
      </c>
      <c r="I41" s="3739"/>
      <c r="J41" s="3438"/>
      <c r="K41" s="3736"/>
      <c r="L41" s="3736"/>
      <c r="M41" s="3736"/>
      <c r="N41" s="3737"/>
      <c r="Q41" s="44"/>
    </row>
    <row r="42" spans="2:19" s="42" customFormat="1" ht="9.9" customHeight="1" x14ac:dyDescent="0.3">
      <c r="B42" s="43"/>
      <c r="C42" s="99"/>
    </row>
    <row r="43" spans="2:19" s="42" customFormat="1" ht="20.100000000000001" customHeight="1" x14ac:dyDescent="0.3">
      <c r="B43" s="3594" t="s">
        <v>322</v>
      </c>
      <c r="C43" s="3594"/>
      <c r="D43" s="3594"/>
      <c r="E43" s="3594"/>
      <c r="F43" s="3716"/>
      <c r="G43" s="3468"/>
      <c r="H43" s="3622" t="s">
        <v>645</v>
      </c>
      <c r="I43" s="3623"/>
      <c r="J43" s="3637"/>
      <c r="K43" s="3638"/>
      <c r="L43" s="3638"/>
      <c r="M43" s="3639"/>
      <c r="N43" s="3640"/>
      <c r="Q43" s="44"/>
    </row>
    <row r="44" spans="2:19" s="11" customFormat="1" ht="15" customHeight="1" x14ac:dyDescent="0.25">
      <c r="O44" s="25"/>
      <c r="P44" s="25"/>
      <c r="Q44" s="26"/>
      <c r="R44" s="26"/>
      <c r="S44" s="25"/>
    </row>
    <row r="45" spans="2:19" s="11" customFormat="1" ht="20.100000000000001" customHeight="1" x14ac:dyDescent="0.25">
      <c r="B45" s="3723" t="s">
        <v>207</v>
      </c>
      <c r="C45" s="3723"/>
      <c r="D45" s="3723"/>
      <c r="E45" s="3723"/>
      <c r="F45" s="3723"/>
      <c r="G45" s="27"/>
      <c r="H45" s="27"/>
      <c r="O45" s="25"/>
      <c r="P45" s="25"/>
      <c r="Q45" s="25"/>
      <c r="R45" s="25"/>
      <c r="S45" s="25"/>
    </row>
    <row r="46" spans="2:19" s="11" customFormat="1" ht="3" customHeight="1" x14ac:dyDescent="0.25">
      <c r="O46" s="25"/>
      <c r="P46" s="25"/>
      <c r="Q46" s="26"/>
      <c r="R46" s="26"/>
      <c r="S46" s="25"/>
    </row>
    <row r="47" spans="2:19" s="11" customFormat="1" ht="21.9" customHeight="1" x14ac:dyDescent="0.25">
      <c r="B47" s="3461" t="s">
        <v>919</v>
      </c>
      <c r="C47" s="3462"/>
      <c r="D47" s="3462"/>
      <c r="E47" s="3462"/>
      <c r="F47" s="3462"/>
      <c r="G47" s="3462"/>
      <c r="H47" s="3462"/>
      <c r="I47" s="3462"/>
      <c r="J47" s="3462"/>
      <c r="K47" s="3462"/>
      <c r="L47" s="3462"/>
      <c r="M47" s="3462"/>
      <c r="N47" s="3463"/>
      <c r="O47" s="25"/>
      <c r="P47" s="25"/>
      <c r="Q47" s="25"/>
      <c r="R47" s="25"/>
      <c r="S47" s="25"/>
    </row>
    <row r="48" spans="2:19" s="94" customFormat="1" ht="15" customHeight="1" x14ac:dyDescent="0.3">
      <c r="B48" s="23"/>
      <c r="C48" s="23"/>
      <c r="D48" s="23"/>
      <c r="E48" s="23"/>
      <c r="F48" s="23"/>
      <c r="G48" s="23"/>
      <c r="H48" s="23"/>
      <c r="I48" s="23"/>
      <c r="J48" s="23"/>
      <c r="K48" s="23"/>
      <c r="L48" s="23"/>
      <c r="M48" s="23"/>
      <c r="N48" s="23"/>
      <c r="O48" s="95"/>
      <c r="P48" s="95"/>
      <c r="Q48" s="95"/>
      <c r="R48" s="95"/>
      <c r="S48" s="95"/>
    </row>
    <row r="49" spans="1:19" s="42" customFormat="1" ht="20.100000000000001" customHeight="1" x14ac:dyDescent="0.3">
      <c r="B49" s="396" t="s">
        <v>328</v>
      </c>
      <c r="C49" s="562"/>
      <c r="E49" s="397" t="s">
        <v>345</v>
      </c>
      <c r="F49" s="3724"/>
      <c r="G49" s="3725"/>
      <c r="H49" s="3725"/>
      <c r="I49" s="3725"/>
      <c r="J49" s="3725"/>
      <c r="K49" s="3725"/>
      <c r="L49" s="3725"/>
      <c r="M49" s="3725"/>
      <c r="N49" s="3726"/>
      <c r="O49" s="122"/>
    </row>
    <row r="50" spans="1:19" s="42" customFormat="1" ht="9.9" customHeight="1" x14ac:dyDescent="0.3">
      <c r="B50" s="43"/>
    </row>
    <row r="51" spans="1:19" s="42" customFormat="1" ht="20.100000000000001" customHeight="1" x14ac:dyDescent="0.3">
      <c r="B51" s="396" t="s">
        <v>331</v>
      </c>
      <c r="C51" s="3624"/>
      <c r="D51" s="3625"/>
      <c r="E51" s="3625"/>
      <c r="F51" s="3625"/>
      <c r="G51" s="3626"/>
      <c r="K51" s="397" t="s">
        <v>174</v>
      </c>
      <c r="L51" s="3729" t="s">
        <v>171</v>
      </c>
      <c r="M51" s="3730"/>
      <c r="N51" s="3731"/>
      <c r="P51" s="123"/>
    </row>
    <row r="52" spans="1:19" s="42" customFormat="1" ht="9.9" customHeight="1" x14ac:dyDescent="0.3">
      <c r="B52" s="43"/>
      <c r="C52" s="73"/>
      <c r="D52" s="73"/>
      <c r="E52" s="73"/>
      <c r="J52" s="124"/>
      <c r="K52" s="124"/>
      <c r="L52" s="124"/>
      <c r="P52" s="123"/>
    </row>
    <row r="53" spans="1:19" s="42" customFormat="1" ht="20.100000000000001" customHeight="1" x14ac:dyDescent="0.3">
      <c r="B53" s="396" t="s">
        <v>332</v>
      </c>
      <c r="C53" s="3469"/>
      <c r="D53" s="3630"/>
      <c r="E53" s="3630"/>
      <c r="F53" s="3630"/>
      <c r="G53" s="3630"/>
      <c r="H53" s="3630"/>
      <c r="I53" s="3630"/>
      <c r="J53" s="3630"/>
      <c r="K53" s="3630"/>
      <c r="L53" s="3630"/>
      <c r="M53" s="3630"/>
      <c r="N53" s="3445"/>
      <c r="P53" s="123"/>
    </row>
    <row r="54" spans="1:19" s="42" customFormat="1" ht="9.9" customHeight="1" x14ac:dyDescent="0.3">
      <c r="B54" s="43"/>
      <c r="C54" s="73"/>
      <c r="D54" s="73"/>
      <c r="E54" s="73"/>
      <c r="J54" s="124"/>
      <c r="K54" s="124"/>
      <c r="L54" s="124"/>
      <c r="P54" s="123"/>
    </row>
    <row r="55" spans="1:19" s="42" customFormat="1" ht="20.100000000000001" customHeight="1" x14ac:dyDescent="0.3">
      <c r="B55" s="396" t="s">
        <v>330</v>
      </c>
      <c r="C55" s="566"/>
      <c r="E55" s="398" t="s">
        <v>183</v>
      </c>
      <c r="F55" s="3627"/>
      <c r="G55" s="3628"/>
      <c r="H55" s="3629"/>
      <c r="I55" s="125"/>
      <c r="J55" s="403" t="s">
        <v>336</v>
      </c>
      <c r="K55" s="562"/>
      <c r="M55" s="403" t="s">
        <v>337</v>
      </c>
      <c r="N55" s="562"/>
      <c r="P55" s="123"/>
    </row>
    <row r="56" spans="1:19" s="42" customFormat="1" ht="9.9" customHeight="1" x14ac:dyDescent="0.3">
      <c r="B56" s="43"/>
      <c r="C56" s="73"/>
      <c r="D56" s="73"/>
      <c r="E56" s="73"/>
      <c r="K56" s="124"/>
      <c r="L56" s="124"/>
      <c r="M56" s="124"/>
      <c r="P56" s="123"/>
    </row>
    <row r="57" spans="1:19" s="42" customFormat="1" ht="20.100000000000001" customHeight="1" x14ac:dyDescent="0.3">
      <c r="B57" s="396" t="s">
        <v>646</v>
      </c>
      <c r="G57" s="397" t="s">
        <v>333</v>
      </c>
      <c r="H57" s="567"/>
      <c r="J57" s="397" t="s">
        <v>334</v>
      </c>
      <c r="K57" s="567"/>
      <c r="M57" s="397" t="s">
        <v>270</v>
      </c>
      <c r="N57" s="567"/>
      <c r="O57" s="2972" t="str">
        <f>IF((H57+K57+N57)=0," ",IF((H57+K57+N57)&lt;100%,"attention : % total &lt; 100%",IF((H57+K57+N57)&gt;100%,"attention : % total &gt; 100%"," ")))</f>
        <v xml:space="preserve"> </v>
      </c>
    </row>
    <row r="58" spans="1:19" s="42" customFormat="1" ht="9.9" customHeight="1" x14ac:dyDescent="0.3">
      <c r="B58" s="43"/>
      <c r="M58" s="2971"/>
      <c r="N58" s="2971"/>
    </row>
    <row r="59" spans="1:19" s="42" customFormat="1" ht="20.100000000000001" customHeight="1" x14ac:dyDescent="0.3">
      <c r="A59" s="102"/>
      <c r="B59" s="396" t="s">
        <v>329</v>
      </c>
      <c r="C59" s="568"/>
      <c r="I59" s="45"/>
      <c r="J59" s="397" t="s">
        <v>335</v>
      </c>
      <c r="K59" s="568"/>
    </row>
    <row r="60" spans="1:19" s="42" customFormat="1" ht="20.100000000000001" customHeight="1" x14ac:dyDescent="0.3">
      <c r="B60" s="400" t="s">
        <v>327</v>
      </c>
      <c r="H60" s="400" t="s">
        <v>327</v>
      </c>
    </row>
    <row r="61" spans="1:19" s="7" customFormat="1" ht="15" customHeight="1" x14ac:dyDescent="0.3">
      <c r="B61" s="3634"/>
      <c r="C61" s="3635"/>
      <c r="D61" s="3635"/>
      <c r="E61" s="3635"/>
      <c r="F61" s="3636"/>
      <c r="H61" s="3634"/>
      <c r="I61" s="3635"/>
      <c r="J61" s="3635"/>
      <c r="K61" s="3635"/>
      <c r="L61" s="3635"/>
      <c r="M61" s="3635"/>
      <c r="N61" s="3636"/>
      <c r="O61" s="90"/>
      <c r="P61" s="90"/>
      <c r="Q61" s="90"/>
      <c r="R61" s="90"/>
      <c r="S61" s="90"/>
    </row>
    <row r="62" spans="1:19" s="7" customFormat="1" ht="15" customHeight="1" x14ac:dyDescent="0.3">
      <c r="B62" s="3631"/>
      <c r="C62" s="3632"/>
      <c r="D62" s="3632"/>
      <c r="E62" s="3632"/>
      <c r="F62" s="3633"/>
      <c r="H62" s="3631"/>
      <c r="I62" s="3632"/>
      <c r="J62" s="3632"/>
      <c r="K62" s="3632"/>
      <c r="L62" s="3632"/>
      <c r="M62" s="3632"/>
      <c r="N62" s="3633"/>
      <c r="O62" s="90"/>
      <c r="P62" s="90"/>
      <c r="Q62" s="90"/>
      <c r="R62" s="90"/>
      <c r="S62" s="90"/>
    </row>
    <row r="63" spans="1:19" s="7" customFormat="1" ht="15" customHeight="1" x14ac:dyDescent="0.3">
      <c r="B63" s="3648"/>
      <c r="C63" s="3649"/>
      <c r="D63" s="3649"/>
      <c r="E63" s="3649"/>
      <c r="F63" s="3650"/>
      <c r="H63" s="3648"/>
      <c r="I63" s="3649"/>
      <c r="J63" s="3649"/>
      <c r="K63" s="3649"/>
      <c r="L63" s="3649"/>
      <c r="M63" s="3649"/>
      <c r="N63" s="3650"/>
      <c r="O63" s="90"/>
      <c r="P63" s="90"/>
      <c r="Q63" s="90"/>
      <c r="R63" s="90"/>
      <c r="S63" s="90"/>
    </row>
    <row r="64" spans="1:19" s="7" customFormat="1" ht="9.9" customHeight="1" x14ac:dyDescent="0.3">
      <c r="O64" s="90"/>
      <c r="P64" s="90"/>
      <c r="Q64" s="90"/>
      <c r="R64" s="90"/>
      <c r="S64" s="90"/>
    </row>
    <row r="65" spans="2:19" s="42" customFormat="1" ht="20.100000000000001" customHeight="1" x14ac:dyDescent="0.3">
      <c r="B65" s="396" t="s">
        <v>338</v>
      </c>
      <c r="H65" s="400" t="s">
        <v>339</v>
      </c>
      <c r="I65" s="3641"/>
      <c r="J65" s="3642"/>
      <c r="K65" s="3642"/>
      <c r="L65" s="3642"/>
      <c r="M65" s="3642"/>
      <c r="N65" s="3643"/>
    </row>
    <row r="66" spans="2:19" s="42" customFormat="1" ht="3" customHeight="1" x14ac:dyDescent="0.3">
      <c r="B66" s="43"/>
      <c r="G66" s="100"/>
      <c r="H66" s="120"/>
      <c r="I66" s="99"/>
      <c r="J66" s="99"/>
      <c r="K66" s="99"/>
      <c r="L66" s="99"/>
      <c r="M66" s="99"/>
      <c r="N66" s="99"/>
    </row>
    <row r="67" spans="2:19" s="42" customFormat="1" ht="20.100000000000001" customHeight="1" x14ac:dyDescent="0.3">
      <c r="B67" s="1541" t="s">
        <v>200</v>
      </c>
      <c r="C67" s="1542"/>
      <c r="G67" s="102"/>
      <c r="H67" s="396" t="s">
        <v>359</v>
      </c>
      <c r="N67" s="569"/>
    </row>
    <row r="68" spans="2:19" s="42" customFormat="1" ht="20.100000000000001" customHeight="1" x14ac:dyDescent="0.3">
      <c r="B68" s="1545" t="s">
        <v>173</v>
      </c>
      <c r="C68" s="1546"/>
      <c r="G68" s="103"/>
    </row>
    <row r="69" spans="2:19" s="42" customFormat="1" ht="20.100000000000001" customHeight="1" x14ac:dyDescent="0.3">
      <c r="B69" s="1543" t="s">
        <v>319</v>
      </c>
      <c r="C69" s="1544"/>
      <c r="H69" s="3456" t="s">
        <v>1027</v>
      </c>
      <c r="I69" s="3561"/>
      <c r="J69" s="3644"/>
      <c r="K69" s="3645"/>
      <c r="L69" s="3647" t="s">
        <v>1026</v>
      </c>
      <c r="M69" s="3457"/>
      <c r="N69" s="570"/>
    </row>
    <row r="70" spans="2:19" s="42" customFormat="1" ht="9.9" customHeight="1" x14ac:dyDescent="0.3">
      <c r="B70" s="73"/>
      <c r="C70" s="104"/>
      <c r="G70" s="100"/>
      <c r="H70" s="126"/>
      <c r="I70" s="126"/>
    </row>
    <row r="71" spans="2:19" s="42" customFormat="1" ht="20.100000000000001" customHeight="1" x14ac:dyDescent="0.3">
      <c r="B71" s="73"/>
      <c r="C71" s="104"/>
      <c r="H71" s="3456" t="s">
        <v>342</v>
      </c>
      <c r="I71" s="3561"/>
      <c r="J71" s="3538"/>
      <c r="K71" s="3719"/>
      <c r="L71" s="3647" t="s">
        <v>1168</v>
      </c>
      <c r="M71" s="3457"/>
      <c r="N71" s="1276" t="str">
        <f>IF(ISERROR(IF(AND(ISBLANK(C68),ISBLANK(C69),ISBLANK(J71))," ",(J71/12)/(C68+C69)))," ",IF(AND(ISBLANK(C68),ISBLANK(C69),ISBLANK(J71))," ",(J71/12)/(C68+C69)))</f>
        <v xml:space="preserve"> </v>
      </c>
    </row>
    <row r="72" spans="2:19" s="42" customFormat="1" ht="9.9" customHeight="1" x14ac:dyDescent="0.3">
      <c r="B72" s="73"/>
      <c r="C72" s="104"/>
      <c r="G72" s="102"/>
    </row>
    <row r="73" spans="2:19" s="42" customFormat="1" ht="20.100000000000001" customHeight="1" x14ac:dyDescent="0.3">
      <c r="H73" s="3456" t="s">
        <v>199</v>
      </c>
      <c r="I73" s="3561"/>
      <c r="J73" s="568"/>
      <c r="K73" s="3658" t="s">
        <v>1037</v>
      </c>
      <c r="L73" s="3659"/>
      <c r="M73" s="3538"/>
      <c r="N73" s="3646"/>
    </row>
    <row r="74" spans="2:19" s="42" customFormat="1" ht="9.9" customHeight="1" x14ac:dyDescent="0.3">
      <c r="E74" s="3621" t="str">
        <f>IF(AND(ISBLANK(E77),E78&gt;0),"Durée de l'exercice ?"," ")</f>
        <v xml:space="preserve"> </v>
      </c>
      <c r="F74" s="3621"/>
      <c r="G74" s="3621" t="str">
        <f>IF(AND(ISBLANK(G77),G78&gt;0),"Durée de l'exercice ?"," ")</f>
        <v xml:space="preserve"> </v>
      </c>
      <c r="H74" s="3621"/>
      <c r="I74" s="3621" t="str">
        <f>IF(AND(ISBLANK(I77),I78&gt;0),"Durée de l'exercice ?"," ")</f>
        <v xml:space="preserve"> </v>
      </c>
      <c r="J74" s="3621"/>
      <c r="K74" s="3621" t="str">
        <f>IF(AND(ISBLANK(K77),K78&gt;0),"Durée de l'exercice ?"," ")</f>
        <v xml:space="preserve"> </v>
      </c>
      <c r="L74" s="3621"/>
      <c r="M74" s="3621" t="str">
        <f>IF(AND(ISBLANK(M77),M78&gt;0),"Durée de l'exercice ?"," ")</f>
        <v xml:space="preserve"> </v>
      </c>
      <c r="N74" s="3621"/>
    </row>
    <row r="75" spans="2:19" ht="15" customHeight="1" x14ac:dyDescent="0.3">
      <c r="E75" s="3660" t="s">
        <v>1301</v>
      </c>
      <c r="F75" s="3660"/>
      <c r="G75" s="3660" t="s">
        <v>478</v>
      </c>
      <c r="H75" s="3660"/>
      <c r="I75" s="3660" t="s">
        <v>481</v>
      </c>
      <c r="J75" s="3660"/>
      <c r="K75" s="3660" t="s">
        <v>480</v>
      </c>
      <c r="L75" s="3660"/>
      <c r="M75" s="3660" t="s">
        <v>479</v>
      </c>
      <c r="N75" s="3660"/>
      <c r="P75" s="29"/>
    </row>
    <row r="76" spans="2:19" ht="20.100000000000001" customHeight="1" x14ac:dyDescent="0.3">
      <c r="B76" s="3743" t="s">
        <v>1304</v>
      </c>
      <c r="C76" s="3656" t="s">
        <v>76</v>
      </c>
      <c r="D76" s="3656"/>
      <c r="E76" s="3712"/>
      <c r="F76" s="3712"/>
      <c r="G76" s="3656" t="str">
        <f>IF(ISBLANK(E76)," ",E76+1)</f>
        <v xml:space="preserve"> </v>
      </c>
      <c r="H76" s="3656"/>
      <c r="I76" s="3656" t="str">
        <f>IF(ISBLANK(E76)," ",E76+2)</f>
        <v xml:space="preserve"> </v>
      </c>
      <c r="J76" s="3656"/>
      <c r="K76" s="3656" t="str">
        <f>IF(ISBLANK(E76)," ",E76+3)</f>
        <v xml:space="preserve"> </v>
      </c>
      <c r="L76" s="3656"/>
      <c r="M76" s="3661" t="str">
        <f>IF(ISBLANK(E76)," ",E76+4)</f>
        <v xml:space="preserve"> </v>
      </c>
      <c r="N76" s="3662"/>
      <c r="P76" s="29"/>
    </row>
    <row r="77" spans="2:19" ht="20.100000000000001" customHeight="1" x14ac:dyDescent="0.3">
      <c r="B77" s="3744"/>
      <c r="C77" s="3715" t="s">
        <v>410</v>
      </c>
      <c r="D77" s="3715"/>
      <c r="E77" s="3651"/>
      <c r="F77" s="3651"/>
      <c r="G77" s="3651"/>
      <c r="H77" s="3651"/>
      <c r="I77" s="3651"/>
      <c r="J77" s="3651"/>
      <c r="K77" s="3651"/>
      <c r="L77" s="3651"/>
      <c r="M77" s="3720"/>
      <c r="N77" s="3721"/>
      <c r="P77" s="29"/>
    </row>
    <row r="78" spans="2:19" ht="24.9" customHeight="1" x14ac:dyDescent="0.3">
      <c r="B78" s="3744"/>
      <c r="C78" s="3569" t="s">
        <v>36</v>
      </c>
      <c r="D78" s="3569"/>
      <c r="E78" s="3562"/>
      <c r="F78" s="3562"/>
      <c r="G78" s="3562"/>
      <c r="H78" s="3562"/>
      <c r="I78" s="3562"/>
      <c r="J78" s="3562"/>
      <c r="K78" s="3562"/>
      <c r="L78" s="3562"/>
      <c r="M78" s="3654"/>
      <c r="N78" s="3655"/>
      <c r="P78" s="29"/>
    </row>
    <row r="79" spans="2:19" s="7" customFormat="1" ht="24.9" customHeight="1" x14ac:dyDescent="0.3">
      <c r="B79" s="3744"/>
      <c r="C79" s="3740" t="s">
        <v>38</v>
      </c>
      <c r="D79" s="3740"/>
      <c r="E79" s="3657"/>
      <c r="F79" s="3657"/>
      <c r="G79" s="3657"/>
      <c r="H79" s="3657"/>
      <c r="I79" s="3657"/>
      <c r="J79" s="3657"/>
      <c r="K79" s="3657"/>
      <c r="L79" s="3657"/>
      <c r="M79" s="3652"/>
      <c r="N79" s="3653"/>
      <c r="O79" s="90"/>
      <c r="P79" s="91"/>
      <c r="Q79" s="90"/>
      <c r="R79" s="90"/>
      <c r="S79" s="90"/>
    </row>
    <row r="80" spans="2:19" s="7" customFormat="1" ht="24.9" customHeight="1" x14ac:dyDescent="0.3">
      <c r="B80" s="3616" t="s">
        <v>1033</v>
      </c>
      <c r="C80" s="3575" t="s">
        <v>35</v>
      </c>
      <c r="D80" s="3575"/>
      <c r="E80" s="3576"/>
      <c r="F80" s="3576"/>
      <c r="G80" s="3576"/>
      <c r="H80" s="3576"/>
      <c r="I80" s="3576"/>
      <c r="J80" s="3576"/>
      <c r="K80" s="3576"/>
      <c r="L80" s="3576"/>
      <c r="M80" s="3619"/>
      <c r="N80" s="3620"/>
      <c r="O80" s="90"/>
      <c r="P80" s="91"/>
      <c r="Q80" s="90"/>
      <c r="R80" s="90"/>
      <c r="S80" s="90"/>
    </row>
    <row r="81" spans="2:19" s="7" customFormat="1" ht="24.9" customHeight="1" x14ac:dyDescent="0.3">
      <c r="B81" s="3617"/>
      <c r="C81" s="3618" t="s">
        <v>482</v>
      </c>
      <c r="D81" s="3618"/>
      <c r="E81" s="3595"/>
      <c r="F81" s="3595"/>
      <c r="G81" s="3595"/>
      <c r="H81" s="3595"/>
      <c r="I81" s="3595"/>
      <c r="J81" s="3595"/>
      <c r="K81" s="3595"/>
      <c r="L81" s="3595"/>
      <c r="M81" s="3717"/>
      <c r="N81" s="3718"/>
      <c r="O81" s="90"/>
      <c r="P81" s="91"/>
      <c r="Q81" s="90"/>
      <c r="R81" s="90"/>
      <c r="S81" s="90"/>
    </row>
    <row r="82" spans="2:19" ht="6" customHeight="1" x14ac:dyDescent="0.3"/>
    <row r="83" spans="2:19" ht="20.100000000000001" customHeight="1" x14ac:dyDescent="0.3">
      <c r="B83" s="3397" t="s">
        <v>1149</v>
      </c>
      <c r="C83" s="3397"/>
      <c r="D83" s="3397"/>
      <c r="E83" s="3614"/>
      <c r="F83" s="3615"/>
      <c r="H83" s="3612" t="s">
        <v>1150</v>
      </c>
      <c r="I83" s="3612"/>
      <c r="J83" s="3612"/>
      <c r="K83" s="3612"/>
      <c r="L83" s="3612"/>
      <c r="M83" s="3613"/>
      <c r="N83" s="1267"/>
    </row>
    <row r="84" spans="2:19" ht="3" customHeight="1" x14ac:dyDescent="0.3"/>
    <row r="85" spans="2:19" ht="20.100000000000001" customHeight="1" x14ac:dyDescent="0.3">
      <c r="B85" s="3403" t="s">
        <v>1151</v>
      </c>
      <c r="C85" s="3403"/>
      <c r="D85" s="3403"/>
      <c r="E85" s="3403"/>
      <c r="F85" s="1266"/>
      <c r="H85" s="3612" t="s">
        <v>1152</v>
      </c>
      <c r="I85" s="3612"/>
      <c r="J85" s="3612"/>
      <c r="K85" s="3612"/>
      <c r="L85" s="3612"/>
      <c r="M85" s="3613"/>
      <c r="N85" s="1267"/>
    </row>
    <row r="86" spans="2:19" ht="3" customHeight="1" x14ac:dyDescent="0.3"/>
    <row r="87" spans="2:19" ht="20.100000000000001" customHeight="1" x14ac:dyDescent="0.3">
      <c r="B87" s="3403" t="s">
        <v>1159</v>
      </c>
      <c r="C87" s="3403"/>
      <c r="D87" s="3403"/>
      <c r="E87" s="3403"/>
      <c r="F87" s="1267"/>
      <c r="H87" s="3612" t="s">
        <v>1145</v>
      </c>
      <c r="I87" s="3612"/>
      <c r="J87" s="3612"/>
      <c r="K87" s="3612"/>
      <c r="L87" s="3612"/>
      <c r="M87" s="3613"/>
      <c r="N87" s="1267"/>
    </row>
    <row r="88" spans="2:19" ht="3" customHeight="1" x14ac:dyDescent="0.3"/>
    <row r="89" spans="2:19" ht="20.100000000000001" customHeight="1" x14ac:dyDescent="0.3">
      <c r="B89" s="3397" t="s">
        <v>1160</v>
      </c>
      <c r="C89" s="3397"/>
      <c r="D89" s="3397"/>
      <c r="E89" s="1265"/>
      <c r="F89" s="1267"/>
      <c r="H89" s="3612"/>
      <c r="I89" s="3612"/>
      <c r="J89" s="3612"/>
      <c r="K89" s="3612"/>
      <c r="L89" s="3612"/>
      <c r="M89" s="1265"/>
    </row>
    <row r="90" spans="2:19" ht="20.100000000000001" customHeight="1" x14ac:dyDescent="0.3"/>
    <row r="91" spans="2:19" ht="21.9" customHeight="1" x14ac:dyDescent="0.3">
      <c r="B91" s="3461" t="s">
        <v>920</v>
      </c>
      <c r="C91" s="3462"/>
      <c r="D91" s="3462"/>
      <c r="E91" s="3462"/>
      <c r="F91" s="3462"/>
      <c r="G91" s="3462"/>
      <c r="H91" s="3462"/>
      <c r="I91" s="3462"/>
      <c r="J91" s="3462"/>
      <c r="K91" s="3462"/>
      <c r="L91" s="3462"/>
      <c r="M91" s="3462"/>
      <c r="N91" s="3463"/>
    </row>
    <row r="92" spans="2:19" ht="15" customHeight="1" x14ac:dyDescent="0.3"/>
    <row r="93" spans="2:19" s="102" customFormat="1" ht="20.100000000000001" customHeight="1" x14ac:dyDescent="0.25">
      <c r="B93" s="396" t="s">
        <v>423</v>
      </c>
      <c r="C93" s="3597"/>
      <c r="D93" s="3598"/>
      <c r="E93" s="3598"/>
      <c r="F93" s="3599"/>
      <c r="H93" s="3600" t="s">
        <v>1031</v>
      </c>
      <c r="I93" s="3600"/>
      <c r="J93" s="3600"/>
      <c r="K93" s="3600"/>
      <c r="L93" s="3600"/>
      <c r="M93" s="3601"/>
      <c r="N93" s="1073"/>
    </row>
    <row r="94" spans="2:19" s="102" customFormat="1" ht="9.9" customHeight="1" x14ac:dyDescent="0.25">
      <c r="B94" s="43"/>
    </row>
    <row r="95" spans="2:19" s="102" customFormat="1" ht="20.100000000000001" customHeight="1" x14ac:dyDescent="0.25">
      <c r="B95" s="3594" t="s">
        <v>1035</v>
      </c>
      <c r="C95" s="3594"/>
      <c r="D95" s="3594"/>
      <c r="E95" s="3594"/>
      <c r="F95" s="568"/>
      <c r="H95" s="3604" t="s">
        <v>989</v>
      </c>
      <c r="I95" s="3604"/>
      <c r="J95" s="3604"/>
      <c r="K95" s="3604"/>
      <c r="L95" s="3604"/>
      <c r="M95" s="3605"/>
      <c r="N95" s="1074"/>
    </row>
    <row r="96" spans="2:19" s="102" customFormat="1" ht="9.9" customHeight="1" x14ac:dyDescent="0.25">
      <c r="B96" s="43"/>
    </row>
    <row r="97" spans="2:15" s="102" customFormat="1" ht="20.100000000000001" customHeight="1" x14ac:dyDescent="0.25">
      <c r="B97" s="3602" t="s">
        <v>412</v>
      </c>
      <c r="C97" s="3602"/>
      <c r="D97" s="3602"/>
      <c r="E97" s="3603"/>
      <c r="F97" s="105"/>
      <c r="G97" s="105"/>
      <c r="H97" s="105"/>
      <c r="I97" s="3602" t="s">
        <v>992</v>
      </c>
      <c r="J97" s="3489"/>
      <c r="K97" s="3489"/>
      <c r="L97" s="3489"/>
      <c r="M97" s="3489"/>
      <c r="N97" s="3489"/>
      <c r="O97" s="574"/>
    </row>
    <row r="98" spans="2:15" s="28" customFormat="1" ht="24.9" customHeight="1" x14ac:dyDescent="0.25">
      <c r="B98" s="3609" t="s">
        <v>968</v>
      </c>
      <c r="C98" s="3610"/>
      <c r="D98" s="3610"/>
      <c r="E98" s="3610"/>
      <c r="F98" s="3611"/>
      <c r="G98" s="105"/>
      <c r="H98" s="105"/>
      <c r="I98" s="3609" t="s">
        <v>198</v>
      </c>
      <c r="J98" s="3689"/>
      <c r="K98" s="3689"/>
      <c r="L98" s="3689"/>
      <c r="M98" s="3689"/>
      <c r="N98" s="3690"/>
    </row>
    <row r="99" spans="2:15" s="80" customFormat="1" ht="30" customHeight="1" x14ac:dyDescent="0.25">
      <c r="B99" s="3577" t="s">
        <v>969</v>
      </c>
      <c r="C99" s="3578"/>
      <c r="D99" s="3606" t="s">
        <v>970</v>
      </c>
      <c r="E99" s="3607"/>
      <c r="F99" s="3608"/>
      <c r="G99" s="998"/>
      <c r="H99" s="998"/>
      <c r="I99" s="3695" t="s">
        <v>1294</v>
      </c>
      <c r="J99" s="3696"/>
      <c r="K99" s="3596" t="s">
        <v>990</v>
      </c>
      <c r="L99" s="3596"/>
      <c r="M99" s="2931" t="s">
        <v>1302</v>
      </c>
      <c r="N99" s="2932" t="s">
        <v>49</v>
      </c>
    </row>
    <row r="100" spans="2:15" s="102" customFormat="1" ht="21.9" customHeight="1" x14ac:dyDescent="0.25">
      <c r="B100" s="2973" t="s">
        <v>973</v>
      </c>
      <c r="C100" s="2976"/>
      <c r="D100" s="3693" t="s">
        <v>980</v>
      </c>
      <c r="E100" s="3694"/>
      <c r="F100" s="2979"/>
      <c r="G100" s="105"/>
      <c r="H100" s="105"/>
      <c r="I100" s="3701"/>
      <c r="J100" s="3702"/>
      <c r="K100" s="3703"/>
      <c r="L100" s="3704"/>
      <c r="M100" s="1000"/>
      <c r="N100" s="2930"/>
      <c r="O100" s="28"/>
    </row>
    <row r="101" spans="2:15" s="102" customFormat="1" ht="21.9" customHeight="1" x14ac:dyDescent="0.25">
      <c r="B101" s="2974" t="s">
        <v>974</v>
      </c>
      <c r="C101" s="2977"/>
      <c r="D101" s="3570" t="s">
        <v>981</v>
      </c>
      <c r="E101" s="3571"/>
      <c r="F101" s="2980"/>
      <c r="G101" s="105"/>
      <c r="H101" s="105"/>
      <c r="I101" s="3691" t="s">
        <v>991</v>
      </c>
      <c r="J101" s="3692"/>
      <c r="K101" s="3705"/>
      <c r="L101" s="3706"/>
      <c r="M101" s="3706"/>
      <c r="N101" s="1535"/>
      <c r="O101" s="901"/>
    </row>
    <row r="102" spans="2:15" s="102" customFormat="1" ht="21.9" customHeight="1" x14ac:dyDescent="0.25">
      <c r="B102" s="2974" t="s">
        <v>975</v>
      </c>
      <c r="C102" s="2977"/>
      <c r="D102" s="3570" t="s">
        <v>982</v>
      </c>
      <c r="E102" s="3571"/>
      <c r="F102" s="2980"/>
      <c r="G102" s="105"/>
      <c r="H102" s="105"/>
      <c r="I102" s="3579" t="str">
        <f>IF(ISBLANK(VE),"Valeur d'entreprise retenue pour la transaction ?","Valeur d'entreprise retenue pour la transaction")</f>
        <v>Valeur d'entreprise retenue pour la transaction ?</v>
      </c>
      <c r="J102" s="3580"/>
      <c r="K102" s="3580"/>
      <c r="L102" s="3580"/>
      <c r="M102" s="3580"/>
      <c r="N102" s="2912"/>
      <c r="O102" s="900"/>
    </row>
    <row r="103" spans="2:15" s="102" customFormat="1" ht="21.9" customHeight="1" x14ac:dyDescent="0.25">
      <c r="B103" s="2974" t="s">
        <v>976</v>
      </c>
      <c r="C103" s="2977"/>
      <c r="D103" s="3570" t="s">
        <v>983</v>
      </c>
      <c r="E103" s="3571"/>
      <c r="F103" s="2980"/>
      <c r="G103" s="105"/>
      <c r="H103" s="105"/>
      <c r="I103" s="3699" t="s">
        <v>1292</v>
      </c>
      <c r="J103" s="3700"/>
      <c r="K103" s="3700"/>
      <c r="L103" s="3700"/>
      <c r="M103" s="3700"/>
      <c r="N103" s="1536"/>
      <c r="O103" s="900"/>
    </row>
    <row r="104" spans="2:15" s="102" customFormat="1" ht="21.9" customHeight="1" x14ac:dyDescent="0.25">
      <c r="B104" s="2974" t="s">
        <v>977</v>
      </c>
      <c r="C104" s="2977"/>
      <c r="D104" s="3570" t="s">
        <v>1287</v>
      </c>
      <c r="E104" s="3571"/>
      <c r="F104" s="2980"/>
      <c r="G104" s="105"/>
      <c r="H104" s="105"/>
      <c r="I104" s="3707" t="s">
        <v>1293</v>
      </c>
      <c r="J104" s="3708"/>
      <c r="K104" s="3708"/>
      <c r="L104" s="3708"/>
      <c r="M104" s="3708"/>
      <c r="N104" s="1537"/>
      <c r="O104" s="900"/>
    </row>
    <row r="105" spans="2:15" s="102" customFormat="1" ht="21.9" customHeight="1" x14ac:dyDescent="0.25">
      <c r="B105" s="2974" t="s">
        <v>978</v>
      </c>
      <c r="C105" s="2977"/>
      <c r="D105" s="3570" t="s">
        <v>984</v>
      </c>
      <c r="E105" s="3571"/>
      <c r="F105" s="2980"/>
      <c r="G105" s="105"/>
      <c r="H105" s="105"/>
      <c r="I105" s="3582" t="s">
        <v>1295</v>
      </c>
      <c r="J105" s="3583"/>
      <c r="K105" s="2835"/>
      <c r="L105" s="3584" t="s">
        <v>1290</v>
      </c>
      <c r="M105" s="3585"/>
      <c r="N105" s="2913">
        <f>SUM(N102:N104)</f>
        <v>0</v>
      </c>
      <c r="O105" s="80"/>
    </row>
    <row r="106" spans="2:15" s="102" customFormat="1" ht="21.9" customHeight="1" x14ac:dyDescent="0.25">
      <c r="B106" s="2975" t="s">
        <v>979</v>
      </c>
      <c r="C106" s="2978"/>
      <c r="D106" s="3697" t="s">
        <v>985</v>
      </c>
      <c r="E106" s="3698"/>
      <c r="F106" s="2981"/>
      <c r="G106" s="105"/>
      <c r="H106" s="105"/>
      <c r="I106" s="3586" t="s">
        <v>1296</v>
      </c>
      <c r="J106" s="3587"/>
      <c r="K106" s="2836"/>
      <c r="L106" s="3588" t="s">
        <v>1291</v>
      </c>
      <c r="M106" s="3589"/>
      <c r="N106" s="2834">
        <f>IF(ISERROR(K106/K105),0,K106/K105)</f>
        <v>0</v>
      </c>
      <c r="O106" s="999"/>
    </row>
    <row r="107" spans="2:15" s="80" customFormat="1" ht="3" customHeight="1" x14ac:dyDescent="0.25">
      <c r="C107" s="89"/>
      <c r="D107" s="89"/>
      <c r="E107" s="573"/>
      <c r="F107" s="105"/>
      <c r="G107" s="105"/>
      <c r="H107" s="105"/>
      <c r="O107" s="28"/>
    </row>
    <row r="108" spans="2:15" s="102" customFormat="1" ht="21.9" customHeight="1" x14ac:dyDescent="0.25">
      <c r="B108" s="121" t="s">
        <v>971</v>
      </c>
      <c r="C108" s="1539">
        <f>SUM(C100:C106)</f>
        <v>0</v>
      </c>
      <c r="D108" s="3567" t="s">
        <v>972</v>
      </c>
      <c r="E108" s="3568"/>
      <c r="F108" s="1539">
        <f>SUM(F100:F106)</f>
        <v>0</v>
      </c>
      <c r="G108" s="110"/>
      <c r="H108" s="110"/>
      <c r="M108" s="121" t="s">
        <v>197</v>
      </c>
      <c r="N108" s="1540">
        <f>IF(ISERROR(N105*N106)," ",N105*N106)</f>
        <v>0</v>
      </c>
    </row>
    <row r="109" spans="2:15" s="28" customFormat="1" ht="6" customHeight="1" x14ac:dyDescent="0.25">
      <c r="B109" s="22"/>
      <c r="D109" s="33"/>
      <c r="E109" s="33"/>
      <c r="F109" s="34"/>
      <c r="G109" s="34"/>
      <c r="O109" s="1538"/>
    </row>
    <row r="110" spans="2:15" s="102" customFormat="1" ht="20.100000000000001" customHeight="1" x14ac:dyDescent="0.25">
      <c r="I110" s="572"/>
      <c r="J110" s="3559" t="s">
        <v>927</v>
      </c>
      <c r="K110" s="3559"/>
      <c r="L110" s="3559"/>
      <c r="M110" s="3560"/>
      <c r="N110" s="2908"/>
    </row>
    <row r="111" spans="2:15" s="102" customFormat="1" ht="3" customHeight="1" x14ac:dyDescent="0.25">
      <c r="I111" s="572"/>
      <c r="J111" s="2907"/>
      <c r="K111" s="2907"/>
      <c r="L111" s="2907"/>
      <c r="M111" s="2907"/>
      <c r="N111" s="2910"/>
    </row>
    <row r="112" spans="2:15" s="102" customFormat="1" ht="20.100000000000001" customHeight="1" x14ac:dyDescent="0.25">
      <c r="B112" s="3594" t="s">
        <v>273</v>
      </c>
      <c r="C112" s="3594"/>
      <c r="D112" s="3594"/>
      <c r="E112" s="3594"/>
      <c r="F112" s="3594"/>
      <c r="G112" s="1069"/>
      <c r="I112" s="572"/>
      <c r="J112" s="3456" t="s">
        <v>1028</v>
      </c>
      <c r="K112" s="3456"/>
      <c r="L112" s="3456"/>
      <c r="M112" s="3561"/>
      <c r="N112" s="2908"/>
    </row>
    <row r="113" spans="2:17" s="102" customFormat="1" ht="3" customHeight="1" x14ac:dyDescent="0.25">
      <c r="B113" s="107"/>
      <c r="C113" s="107"/>
      <c r="D113" s="107"/>
      <c r="E113" s="107"/>
      <c r="F113" s="108"/>
      <c r="G113" s="107"/>
      <c r="M113" s="109"/>
    </row>
    <row r="114" spans="2:17" s="102" customFormat="1" ht="20.100000000000001" customHeight="1" x14ac:dyDescent="0.25">
      <c r="B114" s="107"/>
      <c r="C114" s="107"/>
      <c r="D114" s="107"/>
      <c r="E114" s="107"/>
      <c r="F114" s="1224"/>
      <c r="G114" s="107"/>
      <c r="J114" s="3456" t="s">
        <v>1275</v>
      </c>
      <c r="K114" s="3456"/>
      <c r="L114" s="3456"/>
      <c r="M114" s="3561"/>
      <c r="N114" s="1086"/>
    </row>
    <row r="115" spans="2:17" s="102" customFormat="1" ht="9.9" customHeight="1" x14ac:dyDescent="0.25">
      <c r="G115" s="107"/>
      <c r="M115" s="109"/>
      <c r="O115" s="111"/>
    </row>
    <row r="116" spans="2:17" s="102" customFormat="1" ht="20.100000000000001" customHeight="1" x14ac:dyDescent="0.25">
      <c r="B116" s="106" t="s">
        <v>1029</v>
      </c>
      <c r="C116" s="1075"/>
      <c r="D116" s="3572"/>
      <c r="E116" s="3573"/>
      <c r="F116" s="3574"/>
      <c r="G116" s="110"/>
      <c r="I116" s="3456" t="s">
        <v>1030</v>
      </c>
      <c r="J116" s="3684"/>
      <c r="K116" s="3572"/>
      <c r="L116" s="3673"/>
      <c r="M116" s="3673"/>
      <c r="N116" s="3674"/>
      <c r="O116" s="995"/>
    </row>
    <row r="117" spans="2:17" s="102" customFormat="1" ht="9.9" customHeight="1" x14ac:dyDescent="0.25">
      <c r="D117" s="1088"/>
      <c r="E117" s="1088"/>
      <c r="F117" s="1088"/>
      <c r="H117" s="399"/>
      <c r="O117" s="43"/>
    </row>
    <row r="118" spans="2:17" s="43" customFormat="1" ht="20.100000000000001" customHeight="1" x14ac:dyDescent="0.25">
      <c r="B118" s="400" t="s">
        <v>344</v>
      </c>
      <c r="C118" s="1071"/>
      <c r="D118" s="3411" t="s">
        <v>1025</v>
      </c>
      <c r="E118" s="3675"/>
      <c r="F118" s="1072"/>
      <c r="G118" s="1084"/>
      <c r="H118" s="1084"/>
      <c r="I118" s="400" t="s">
        <v>344</v>
      </c>
      <c r="J118" s="102"/>
      <c r="K118" s="1071"/>
      <c r="L118" s="3411" t="s">
        <v>1025</v>
      </c>
      <c r="M118" s="3675"/>
      <c r="N118" s="1076"/>
      <c r="O118" s="995"/>
    </row>
    <row r="119" spans="2:17" s="80" customFormat="1" ht="15" customHeight="1" x14ac:dyDescent="0.25">
      <c r="B119" s="102"/>
      <c r="C119" s="102"/>
      <c r="D119" s="1084"/>
      <c r="E119" s="1084"/>
      <c r="F119" s="1084"/>
      <c r="G119" s="1084"/>
      <c r="H119" s="1084"/>
      <c r="I119" s="102"/>
      <c r="J119" s="3581" t="str">
        <f>IF(AND(M129&gt;0,N118&lt;=0),"Vous avez omis le préciser le montant du capital ci-dessus"," ")</f>
        <v xml:space="preserve"> </v>
      </c>
      <c r="K119" s="3581"/>
      <c r="L119" s="3581"/>
      <c r="M119" s="3581"/>
      <c r="N119" s="3581"/>
      <c r="O119" s="1083"/>
    </row>
    <row r="120" spans="2:17" s="80" customFormat="1" ht="20.100000000000001" customHeight="1" x14ac:dyDescent="0.25">
      <c r="B120" s="3456" t="s">
        <v>647</v>
      </c>
      <c r="C120" s="3664"/>
      <c r="D120" s="3664"/>
      <c r="E120" s="43"/>
      <c r="F120" s="112"/>
      <c r="G120" s="112"/>
      <c r="H120" s="112"/>
      <c r="I120" s="3709" t="s">
        <v>648</v>
      </c>
      <c r="J120" s="3709"/>
      <c r="K120" s="3709"/>
      <c r="L120" s="3709"/>
      <c r="M120" s="995"/>
      <c r="N120" s="995"/>
      <c r="O120" s="92"/>
      <c r="Q120" s="1080"/>
    </row>
    <row r="121" spans="2:17" s="80" customFormat="1" ht="20.100000000000001" customHeight="1" x14ac:dyDescent="0.25">
      <c r="B121" s="3590" t="s">
        <v>538</v>
      </c>
      <c r="C121" s="3591"/>
      <c r="D121" s="3592" t="s">
        <v>1034</v>
      </c>
      <c r="E121" s="3593"/>
      <c r="F121" s="2933" t="s">
        <v>176</v>
      </c>
      <c r="G121" s="2934" t="s">
        <v>1</v>
      </c>
      <c r="H121" s="1082"/>
      <c r="I121" s="3590" t="s">
        <v>538</v>
      </c>
      <c r="J121" s="3591"/>
      <c r="K121" s="3592" t="s">
        <v>1034</v>
      </c>
      <c r="L121" s="3593"/>
      <c r="M121" s="2935" t="s">
        <v>176</v>
      </c>
      <c r="N121" s="2936" t="s">
        <v>1</v>
      </c>
      <c r="O121" s="92"/>
      <c r="Q121" s="1080"/>
    </row>
    <row r="122" spans="2:17" s="80" customFormat="1" ht="20.100000000000001" customHeight="1" x14ac:dyDescent="0.25">
      <c r="B122" s="3668"/>
      <c r="C122" s="3669"/>
      <c r="D122" s="3563"/>
      <c r="E122" s="3564"/>
      <c r="F122" s="1532"/>
      <c r="G122" s="2312" t="str">
        <f t="shared" ref="G122:G127" si="0">IF(ISERROR(F122/$F$118)," ",F122/$F$118)</f>
        <v xml:space="preserve"> </v>
      </c>
      <c r="H122" s="1079"/>
      <c r="I122" s="3687"/>
      <c r="J122" s="3688"/>
      <c r="K122" s="3710"/>
      <c r="L122" s="3711"/>
      <c r="M122" s="1529"/>
      <c r="N122" s="2316" t="str">
        <f t="shared" ref="N122:N127" si="1">IF(ISERROR(M122/$N$118)," ",M122/$N$118)</f>
        <v xml:space="preserve"> </v>
      </c>
      <c r="O122" s="92"/>
      <c r="Q122" s="1080"/>
    </row>
    <row r="123" spans="2:17" s="80" customFormat="1" ht="20.100000000000001" customHeight="1" x14ac:dyDescent="0.25">
      <c r="B123" s="3670"/>
      <c r="C123" s="3671"/>
      <c r="D123" s="3565"/>
      <c r="E123" s="3566"/>
      <c r="F123" s="1533"/>
      <c r="G123" s="2313" t="str">
        <f t="shared" si="0"/>
        <v xml:space="preserve"> </v>
      </c>
      <c r="H123" s="1081"/>
      <c r="I123" s="3557"/>
      <c r="J123" s="3558"/>
      <c r="K123" s="3680"/>
      <c r="L123" s="3681"/>
      <c r="M123" s="1530"/>
      <c r="N123" s="2317" t="str">
        <f t="shared" si="1"/>
        <v xml:space="preserve"> </v>
      </c>
      <c r="O123" s="92"/>
    </row>
    <row r="124" spans="2:17" s="80" customFormat="1" ht="20.100000000000001" customHeight="1" x14ac:dyDescent="0.25">
      <c r="B124" s="3670"/>
      <c r="C124" s="3671"/>
      <c r="D124" s="3565"/>
      <c r="E124" s="3566"/>
      <c r="F124" s="1533"/>
      <c r="G124" s="2313" t="str">
        <f t="shared" si="0"/>
        <v xml:space="preserve"> </v>
      </c>
      <c r="H124" s="1079"/>
      <c r="I124" s="3557"/>
      <c r="J124" s="3558"/>
      <c r="K124" s="3680"/>
      <c r="L124" s="3681"/>
      <c r="M124" s="1530"/>
      <c r="N124" s="2317" t="str">
        <f t="shared" si="1"/>
        <v xml:space="preserve"> </v>
      </c>
    </row>
    <row r="125" spans="2:17" s="80" customFormat="1" ht="20.100000000000001" customHeight="1" x14ac:dyDescent="0.25">
      <c r="B125" s="3672"/>
      <c r="C125" s="3671"/>
      <c r="D125" s="3565"/>
      <c r="E125" s="3566"/>
      <c r="F125" s="1533"/>
      <c r="G125" s="2313" t="str">
        <f t="shared" si="0"/>
        <v xml:space="preserve"> </v>
      </c>
      <c r="H125" s="1079"/>
      <c r="I125" s="3557"/>
      <c r="J125" s="3558"/>
      <c r="K125" s="3680"/>
      <c r="L125" s="3681"/>
      <c r="M125" s="1530"/>
      <c r="N125" s="2317" t="str">
        <f t="shared" si="1"/>
        <v xml:space="preserve"> </v>
      </c>
    </row>
    <row r="126" spans="2:17" s="80" customFormat="1" ht="20.100000000000001" customHeight="1" x14ac:dyDescent="0.25">
      <c r="B126" s="3672"/>
      <c r="C126" s="3671"/>
      <c r="D126" s="3565"/>
      <c r="E126" s="3566"/>
      <c r="F126" s="1533"/>
      <c r="G126" s="2313" t="str">
        <f t="shared" si="0"/>
        <v xml:space="preserve"> </v>
      </c>
      <c r="H126" s="1079"/>
      <c r="I126" s="3557"/>
      <c r="J126" s="3558"/>
      <c r="K126" s="3680"/>
      <c r="L126" s="3681"/>
      <c r="M126" s="1530"/>
      <c r="N126" s="2317" t="str">
        <f t="shared" si="1"/>
        <v xml:space="preserve"> </v>
      </c>
      <c r="O126" s="92"/>
      <c r="P126" s="31"/>
    </row>
    <row r="127" spans="2:17" s="102" customFormat="1" ht="20.100000000000001" customHeight="1" x14ac:dyDescent="0.25">
      <c r="B127" s="3666" t="s">
        <v>202</v>
      </c>
      <c r="C127" s="3667"/>
      <c r="D127" s="3676"/>
      <c r="E127" s="3677"/>
      <c r="F127" s="1534"/>
      <c r="G127" s="2314" t="str">
        <f t="shared" si="0"/>
        <v xml:space="preserve"> </v>
      </c>
      <c r="H127" s="1079"/>
      <c r="I127" s="3685" t="s">
        <v>202</v>
      </c>
      <c r="J127" s="3686"/>
      <c r="K127" s="3682"/>
      <c r="L127" s="3683"/>
      <c r="M127" s="1531"/>
      <c r="N127" s="2318" t="str">
        <f t="shared" si="1"/>
        <v xml:space="preserve"> </v>
      </c>
      <c r="O127" s="28"/>
    </row>
    <row r="128" spans="2:17" s="31" customFormat="1" ht="3" customHeight="1" x14ac:dyDescent="0.25">
      <c r="B128" s="80"/>
      <c r="C128" s="80"/>
      <c r="D128" s="80"/>
      <c r="E128" s="80"/>
      <c r="F128" s="80"/>
      <c r="G128" s="80"/>
      <c r="H128" s="1078"/>
      <c r="I128" s="1079"/>
      <c r="J128" s="88"/>
      <c r="K128" s="92"/>
      <c r="L128" s="3665"/>
      <c r="M128" s="3665"/>
      <c r="N128" s="3665"/>
      <c r="O128" s="28"/>
    </row>
    <row r="129" spans="2:19" s="28" customFormat="1" ht="21.9" customHeight="1" x14ac:dyDescent="0.25">
      <c r="B129" s="102"/>
      <c r="C129" s="121"/>
      <c r="D129" s="121"/>
      <c r="E129" s="121" t="s">
        <v>197</v>
      </c>
      <c r="F129" s="2311">
        <f>SUM(F122:F127)</f>
        <v>0</v>
      </c>
      <c r="G129" s="2315" t="str">
        <f>IF(ISERROR(F129/$F$118)," ",F129/$F$118)</f>
        <v xml:space="preserve"> </v>
      </c>
      <c r="H129" s="1077"/>
      <c r="I129" s="1077"/>
      <c r="J129" s="113"/>
      <c r="K129" s="114"/>
      <c r="L129" s="121" t="s">
        <v>197</v>
      </c>
      <c r="M129" s="2311">
        <f>SUM(M121:M127)</f>
        <v>0</v>
      </c>
      <c r="N129" s="2315" t="str">
        <f>IF(ISERROR(M129/$N$118)," ",M129/$N$118)</f>
        <v xml:space="preserve"> </v>
      </c>
      <c r="O129" s="37"/>
    </row>
    <row r="130" spans="2:19" s="28" customFormat="1" ht="6" customHeight="1" x14ac:dyDescent="0.3">
      <c r="B130" s="71"/>
      <c r="C130" s="68"/>
      <c r="D130" s="72"/>
      <c r="E130" s="32"/>
      <c r="F130" s="32"/>
      <c r="G130" s="32"/>
      <c r="H130" s="32"/>
      <c r="I130" s="35"/>
      <c r="J130" s="71"/>
      <c r="K130" s="68"/>
      <c r="L130" s="72"/>
      <c r="M130" s="70"/>
      <c r="N130" s="36"/>
      <c r="O130" s="1"/>
    </row>
    <row r="131" spans="2:19" s="37" customFormat="1" ht="20.100000000000001" customHeight="1" x14ac:dyDescent="0.3">
      <c r="B131" s="3679" t="str">
        <f>IF(F129=F118," ",IF(F129&gt;F118,"attention : total supérieur au montant du capital social de :","Attention : total inférieur au montant du capital social de :"))</f>
        <v xml:space="preserve"> </v>
      </c>
      <c r="C131" s="3679"/>
      <c r="D131" s="3679"/>
      <c r="E131" s="3679"/>
      <c r="F131" s="836">
        <f>IF(F129=F118,0,IF(F129&gt;F118,F129-F118,F118-F129))</f>
        <v>0</v>
      </c>
      <c r="G131" s="28"/>
      <c r="H131" s="28"/>
      <c r="I131" s="3678" t="str">
        <f>IF(M129=N118," ",IF(M129&gt;N118,"Attention : total &gt; au montant du capital social de :","Attention : total &lt; au montant du capital social de :"))</f>
        <v xml:space="preserve"> </v>
      </c>
      <c r="J131" s="3678"/>
      <c r="K131" s="3678"/>
      <c r="L131" s="3678"/>
      <c r="M131" s="836">
        <f>IF(M129=N118,0,IF(M129&gt;N118,M129-N118,N118-M129))</f>
        <v>0</v>
      </c>
      <c r="N131" s="36"/>
      <c r="O131" s="1"/>
    </row>
    <row r="132" spans="2:19" x14ac:dyDescent="0.3">
      <c r="B132" s="28"/>
      <c r="C132" s="28"/>
      <c r="D132" s="28"/>
      <c r="E132" s="3663"/>
      <c r="F132" s="3663"/>
      <c r="G132" s="3663"/>
      <c r="H132" s="1070"/>
      <c r="I132" s="36"/>
      <c r="J132" s="69"/>
      <c r="K132" s="69"/>
      <c r="L132" s="69"/>
      <c r="M132" s="67"/>
      <c r="N132" s="35"/>
      <c r="O132" s="1"/>
      <c r="P132" s="1"/>
      <c r="Q132" s="1"/>
      <c r="R132" s="1"/>
      <c r="S132" s="1"/>
    </row>
    <row r="133" spans="2:19" x14ac:dyDescent="0.3">
      <c r="B133" s="37"/>
      <c r="C133" s="37"/>
      <c r="D133" s="37"/>
      <c r="E133" s="37"/>
      <c r="F133" s="37"/>
      <c r="G133" s="37"/>
      <c r="H133" s="37"/>
      <c r="I133" s="37"/>
      <c r="J133" s="37"/>
      <c r="K133" s="37"/>
      <c r="L133" s="37"/>
      <c r="M133" s="37"/>
      <c r="N133" s="37"/>
      <c r="O133" s="1"/>
      <c r="P133" s="1"/>
      <c r="Q133" s="1"/>
      <c r="R133" s="1"/>
      <c r="S133" s="1"/>
    </row>
    <row r="134" spans="2:19" x14ac:dyDescent="0.3">
      <c r="O134" s="1"/>
      <c r="P134" s="1"/>
      <c r="Q134" s="1"/>
      <c r="R134" s="1"/>
      <c r="S134" s="1"/>
    </row>
    <row r="135" spans="2:19" x14ac:dyDescent="0.3">
      <c r="O135" s="144"/>
      <c r="P135" s="1"/>
      <c r="Q135" s="1"/>
      <c r="R135" s="1"/>
      <c r="S135" s="1"/>
    </row>
    <row r="136" spans="2:19" x14ac:dyDescent="0.3">
      <c r="O136" s="144"/>
      <c r="P136" s="1"/>
      <c r="Q136" s="1"/>
      <c r="R136" s="1"/>
      <c r="S136" s="1"/>
    </row>
    <row r="137" spans="2:19" s="4" customFormat="1" ht="14.4" x14ac:dyDescent="0.3">
      <c r="B137" s="1"/>
      <c r="C137" s="1"/>
      <c r="D137" s="1"/>
      <c r="E137" s="1"/>
      <c r="F137" s="1"/>
      <c r="G137" s="1"/>
      <c r="H137" s="1"/>
      <c r="I137" s="1"/>
      <c r="J137" s="1"/>
      <c r="K137" s="1"/>
      <c r="L137" s="1"/>
      <c r="M137" s="1"/>
      <c r="N137" s="1"/>
      <c r="O137" s="144"/>
      <c r="P137" s="842" t="s">
        <v>640</v>
      </c>
    </row>
    <row r="138" spans="2:19" s="4" customFormat="1" ht="14.4" x14ac:dyDescent="0.3">
      <c r="B138" s="1"/>
      <c r="C138" s="1"/>
      <c r="D138" s="1"/>
      <c r="E138" s="1"/>
      <c r="F138" s="1"/>
      <c r="G138" s="1"/>
      <c r="H138" s="1"/>
      <c r="I138" s="1"/>
      <c r="J138" s="1"/>
      <c r="K138" s="1"/>
      <c r="L138" s="1"/>
      <c r="M138" s="1"/>
      <c r="N138" s="1"/>
      <c r="O138" s="144"/>
      <c r="P138" s="842" t="s">
        <v>641</v>
      </c>
    </row>
    <row r="139" spans="2:19" s="4" customFormat="1" ht="14.4" x14ac:dyDescent="0.3">
      <c r="B139" s="143" t="s">
        <v>223</v>
      </c>
      <c r="C139" s="143" t="s">
        <v>23</v>
      </c>
      <c r="D139" s="144"/>
      <c r="E139" s="814" t="s">
        <v>12</v>
      </c>
      <c r="F139" s="144"/>
      <c r="G139" s="814" t="s">
        <v>14</v>
      </c>
      <c r="H139" s="144"/>
      <c r="I139" s="144"/>
      <c r="J139" s="145" t="s">
        <v>170</v>
      </c>
      <c r="K139" s="144"/>
      <c r="L139" s="149" t="s">
        <v>199</v>
      </c>
      <c r="M139" s="144"/>
      <c r="N139" s="144"/>
      <c r="O139" s="144"/>
      <c r="P139" s="842" t="s">
        <v>642</v>
      </c>
    </row>
    <row r="140" spans="2:19" s="4" customFormat="1" ht="14.4" x14ac:dyDescent="0.3">
      <c r="B140" s="143" t="s">
        <v>230</v>
      </c>
      <c r="C140" s="143" t="s">
        <v>228</v>
      </c>
      <c r="D140" s="144"/>
      <c r="E140" s="843" t="s">
        <v>193</v>
      </c>
      <c r="F140" s="144"/>
      <c r="G140" s="814" t="s">
        <v>15</v>
      </c>
      <c r="H140" s="144"/>
      <c r="I140" s="144"/>
      <c r="J140" s="145" t="s">
        <v>172</v>
      </c>
      <c r="K140" s="144"/>
      <c r="L140" s="149" t="s">
        <v>422</v>
      </c>
      <c r="M140" s="144"/>
      <c r="N140" s="144"/>
      <c r="O140" s="144"/>
      <c r="P140" s="845" t="s">
        <v>643</v>
      </c>
    </row>
    <row r="141" spans="2:19" s="4" customFormat="1" ht="14.4" x14ac:dyDescent="0.3">
      <c r="B141" s="143" t="s">
        <v>19</v>
      </c>
      <c r="C141" s="844" t="s">
        <v>326</v>
      </c>
      <c r="D141" s="144"/>
      <c r="E141" s="814" t="s">
        <v>194</v>
      </c>
      <c r="F141" s="144"/>
      <c r="G141" s="814" t="s">
        <v>16</v>
      </c>
      <c r="H141" s="144"/>
      <c r="I141" s="144"/>
      <c r="J141" s="145" t="s">
        <v>184</v>
      </c>
      <c r="K141" s="144"/>
      <c r="L141" s="149" t="s">
        <v>420</v>
      </c>
      <c r="M141" s="144"/>
      <c r="N141" s="144"/>
      <c r="O141" s="144"/>
      <c r="P141" s="842" t="s">
        <v>644</v>
      </c>
    </row>
    <row r="142" spans="2:19" s="4" customFormat="1" ht="14.4" x14ac:dyDescent="0.3">
      <c r="B142" s="146" t="s">
        <v>224</v>
      </c>
      <c r="C142" s="143" t="s">
        <v>229</v>
      </c>
      <c r="D142" s="144"/>
      <c r="E142" s="814" t="s">
        <v>195</v>
      </c>
      <c r="F142" s="144"/>
      <c r="G142" s="144"/>
      <c r="H142" s="144"/>
      <c r="I142" s="144"/>
      <c r="J142" s="145" t="s">
        <v>171</v>
      </c>
      <c r="K142" s="144"/>
      <c r="L142" s="149" t="s">
        <v>421</v>
      </c>
      <c r="M142" s="144"/>
      <c r="N142" s="144"/>
      <c r="O142" s="144"/>
      <c r="P142" s="842" t="s">
        <v>22</v>
      </c>
    </row>
    <row r="143" spans="2:19" s="4" customFormat="1" x14ac:dyDescent="0.3">
      <c r="B143" s="146" t="s">
        <v>225</v>
      </c>
      <c r="C143" s="146" t="s">
        <v>220</v>
      </c>
      <c r="D143" s="144"/>
      <c r="E143" s="843" t="s">
        <v>214</v>
      </c>
      <c r="F143" s="144"/>
      <c r="G143" s="144"/>
      <c r="H143" s="144"/>
      <c r="I143" s="144"/>
      <c r="J143" s="145" t="s">
        <v>185</v>
      </c>
      <c r="K143" s="144"/>
      <c r="L143" s="149" t="s">
        <v>196</v>
      </c>
      <c r="M143" s="144"/>
      <c r="N143" s="144"/>
      <c r="O143" s="144"/>
      <c r="P143" s="144"/>
    </row>
    <row r="144" spans="2:19" s="4" customFormat="1" x14ac:dyDescent="0.3">
      <c r="B144" s="146" t="s">
        <v>226</v>
      </c>
      <c r="C144" s="146" t="s">
        <v>222</v>
      </c>
      <c r="D144" s="144"/>
      <c r="E144" s="843" t="s">
        <v>215</v>
      </c>
      <c r="F144" s="144"/>
      <c r="G144" s="846" t="s">
        <v>251</v>
      </c>
      <c r="H144" s="144"/>
      <c r="I144" s="144"/>
      <c r="J144" s="145" t="s">
        <v>186</v>
      </c>
      <c r="K144" s="144"/>
      <c r="L144" s="145" t="s">
        <v>184</v>
      </c>
      <c r="M144" s="144"/>
      <c r="N144" s="144"/>
      <c r="O144" s="144"/>
      <c r="P144" s="144"/>
    </row>
    <row r="145" spans="2:15" s="144" customFormat="1" x14ac:dyDescent="0.3">
      <c r="B145" s="146" t="s">
        <v>320</v>
      </c>
      <c r="C145" s="146" t="s">
        <v>221</v>
      </c>
      <c r="G145" s="143" t="s">
        <v>252</v>
      </c>
      <c r="J145" s="147" t="s">
        <v>213</v>
      </c>
      <c r="L145" s="145" t="s">
        <v>171</v>
      </c>
    </row>
    <row r="146" spans="2:15" s="144" customFormat="1" x14ac:dyDescent="0.3">
      <c r="B146" s="146" t="s">
        <v>321</v>
      </c>
      <c r="G146" s="143" t="s">
        <v>253</v>
      </c>
      <c r="J146" s="148" t="s">
        <v>413</v>
      </c>
      <c r="L146" s="145" t="s">
        <v>185</v>
      </c>
    </row>
    <row r="147" spans="2:15" s="144" customFormat="1" x14ac:dyDescent="0.3">
      <c r="B147" s="143" t="s">
        <v>324</v>
      </c>
      <c r="J147" s="148" t="s">
        <v>414</v>
      </c>
      <c r="L147" s="148" t="s">
        <v>413</v>
      </c>
    </row>
    <row r="148" spans="2:15" s="144" customFormat="1" x14ac:dyDescent="0.3">
      <c r="B148" s="143" t="s">
        <v>325</v>
      </c>
      <c r="J148" s="148" t="s">
        <v>415</v>
      </c>
      <c r="L148" s="148" t="s">
        <v>414</v>
      </c>
      <c r="O148" s="19"/>
    </row>
    <row r="149" spans="2:15" s="144" customFormat="1" x14ac:dyDescent="0.3">
      <c r="B149" s="146" t="s">
        <v>323</v>
      </c>
      <c r="J149" s="148" t="s">
        <v>416</v>
      </c>
      <c r="L149" s="148" t="s">
        <v>415</v>
      </c>
      <c r="O149" s="19"/>
    </row>
    <row r="150" spans="2:15" x14ac:dyDescent="0.3">
      <c r="B150" s="146" t="s">
        <v>227</v>
      </c>
      <c r="C150" s="144"/>
      <c r="D150" s="144"/>
      <c r="E150" s="144"/>
      <c r="F150" s="144"/>
      <c r="G150" s="144"/>
      <c r="H150" s="144"/>
      <c r="I150" s="144"/>
      <c r="J150" s="148" t="s">
        <v>417</v>
      </c>
      <c r="K150" s="144"/>
      <c r="L150" s="148" t="s">
        <v>416</v>
      </c>
      <c r="M150" s="144"/>
      <c r="N150" s="144"/>
    </row>
    <row r="151" spans="2:15" x14ac:dyDescent="0.3">
      <c r="B151" s="146" t="s">
        <v>20</v>
      </c>
      <c r="C151" s="144"/>
      <c r="D151" s="144"/>
      <c r="E151" s="144"/>
      <c r="F151" s="144"/>
      <c r="G151" s="144"/>
      <c r="H151" s="144"/>
      <c r="I151" s="144"/>
      <c r="J151" s="144"/>
      <c r="K151" s="144"/>
      <c r="L151" s="148" t="s">
        <v>417</v>
      </c>
      <c r="M151" s="144"/>
      <c r="N151" s="144"/>
    </row>
  </sheetData>
  <sheetProtection algorithmName="SHA-512" hashValue="/dX8t0oQPd2HIDfA+ypa55NOwRxC9k0NmeDOMSd1krADjXV6/O0L3AbyWDHocc02PmZKy1yzxxIZNDYwKecWCw==" saltValue="gSGwGy4yWV5Y2IuulDAmyA==" spinCount="100000" sheet="1" objects="1" scenarios="1" formatCells="0" formatColumns="0" formatRows="0" insertColumns="0" insertRows="0" insertHyperlinks="0" deleteColumns="0" deleteRows="0" sort="0" autoFilter="0" pivotTables="0"/>
  <mergeCells count="203">
    <mergeCell ref="E79:F79"/>
    <mergeCell ref="K78:L78"/>
    <mergeCell ref="C79:D79"/>
    <mergeCell ref="B4:E4"/>
    <mergeCell ref="J17:L17"/>
    <mergeCell ref="H15:I15"/>
    <mergeCell ref="H17:I17"/>
    <mergeCell ref="H19:I19"/>
    <mergeCell ref="H21:I21"/>
    <mergeCell ref="H23:I23"/>
    <mergeCell ref="B76:B79"/>
    <mergeCell ref="B25:E25"/>
    <mergeCell ref="C29:F29"/>
    <mergeCell ref="J29:N29"/>
    <mergeCell ref="H39:I39"/>
    <mergeCell ref="H41:I41"/>
    <mergeCell ref="C31:N31"/>
    <mergeCell ref="B27:N27"/>
    <mergeCell ref="F25:G25"/>
    <mergeCell ref="J37:N37"/>
    <mergeCell ref="C39:E39"/>
    <mergeCell ref="J41:N41"/>
    <mergeCell ref="J39:L39"/>
    <mergeCell ref="B43:E43"/>
    <mergeCell ref="C41:G41"/>
    <mergeCell ref="B45:F45"/>
    <mergeCell ref="L51:N51"/>
    <mergeCell ref="J5:K5"/>
    <mergeCell ref="J15:K15"/>
    <mergeCell ref="B9:N9"/>
    <mergeCell ref="B5:C5"/>
    <mergeCell ref="J19:N19"/>
    <mergeCell ref="C23:G23"/>
    <mergeCell ref="C13:N13"/>
    <mergeCell ref="C21:E21"/>
    <mergeCell ref="C11:F11"/>
    <mergeCell ref="J11:N11"/>
    <mergeCell ref="J35:L35"/>
    <mergeCell ref="J33:K33"/>
    <mergeCell ref="J21:L21"/>
    <mergeCell ref="H25:I25"/>
    <mergeCell ref="J23:N23"/>
    <mergeCell ref="H33:I33"/>
    <mergeCell ref="H35:I35"/>
    <mergeCell ref="H37:I37"/>
    <mergeCell ref="J25:N25"/>
    <mergeCell ref="E76:F76"/>
    <mergeCell ref="B2:N2"/>
    <mergeCell ref="I75:J75"/>
    <mergeCell ref="K75:L75"/>
    <mergeCell ref="G81:H81"/>
    <mergeCell ref="C77:D77"/>
    <mergeCell ref="G80:H80"/>
    <mergeCell ref="I77:J77"/>
    <mergeCell ref="K76:L76"/>
    <mergeCell ref="F43:G43"/>
    <mergeCell ref="M81:N81"/>
    <mergeCell ref="J71:K71"/>
    <mergeCell ref="M77:N77"/>
    <mergeCell ref="K77:L77"/>
    <mergeCell ref="D5:E5"/>
    <mergeCell ref="B7:H7"/>
    <mergeCell ref="F49:N49"/>
    <mergeCell ref="G76:H76"/>
    <mergeCell ref="E75:F75"/>
    <mergeCell ref="G75:H75"/>
    <mergeCell ref="C76:D76"/>
    <mergeCell ref="E77:F77"/>
    <mergeCell ref="K80:L80"/>
    <mergeCell ref="J4:M4"/>
    <mergeCell ref="I127:J127"/>
    <mergeCell ref="I122:J122"/>
    <mergeCell ref="B126:C126"/>
    <mergeCell ref="I98:N98"/>
    <mergeCell ref="B91:N91"/>
    <mergeCell ref="I101:J101"/>
    <mergeCell ref="D100:E100"/>
    <mergeCell ref="D101:E101"/>
    <mergeCell ref="I99:J99"/>
    <mergeCell ref="J114:M114"/>
    <mergeCell ref="D105:E105"/>
    <mergeCell ref="D106:E106"/>
    <mergeCell ref="I103:M103"/>
    <mergeCell ref="I100:J100"/>
    <mergeCell ref="K100:L100"/>
    <mergeCell ref="K101:M101"/>
    <mergeCell ref="I104:M104"/>
    <mergeCell ref="I97:N97"/>
    <mergeCell ref="I120:L120"/>
    <mergeCell ref="I124:J124"/>
    <mergeCell ref="I125:J125"/>
    <mergeCell ref="I126:J126"/>
    <mergeCell ref="K122:L122"/>
    <mergeCell ref="K123:L123"/>
    <mergeCell ref="E132:G132"/>
    <mergeCell ref="B120:D120"/>
    <mergeCell ref="L128:N128"/>
    <mergeCell ref="B127:C127"/>
    <mergeCell ref="B122:C122"/>
    <mergeCell ref="B123:C123"/>
    <mergeCell ref="B124:C124"/>
    <mergeCell ref="B125:C125"/>
    <mergeCell ref="K116:N116"/>
    <mergeCell ref="D118:E118"/>
    <mergeCell ref="D126:E126"/>
    <mergeCell ref="D127:E127"/>
    <mergeCell ref="I131:L131"/>
    <mergeCell ref="B131:E131"/>
    <mergeCell ref="I121:J121"/>
    <mergeCell ref="K121:L121"/>
    <mergeCell ref="D124:E124"/>
    <mergeCell ref="D125:E125"/>
    <mergeCell ref="K124:L124"/>
    <mergeCell ref="K125:L125"/>
    <mergeCell ref="K126:L126"/>
    <mergeCell ref="K127:L127"/>
    <mergeCell ref="L118:M118"/>
    <mergeCell ref="I116:J116"/>
    <mergeCell ref="G77:H77"/>
    <mergeCell ref="I80:J80"/>
    <mergeCell ref="M79:N79"/>
    <mergeCell ref="M78:N78"/>
    <mergeCell ref="I76:J76"/>
    <mergeCell ref="I79:J79"/>
    <mergeCell ref="I78:J78"/>
    <mergeCell ref="H71:I71"/>
    <mergeCell ref="K73:L73"/>
    <mergeCell ref="L71:M71"/>
    <mergeCell ref="M75:N75"/>
    <mergeCell ref="G79:H79"/>
    <mergeCell ref="K79:L79"/>
    <mergeCell ref="G78:H78"/>
    <mergeCell ref="M76:N76"/>
    <mergeCell ref="E74:F74"/>
    <mergeCell ref="I74:J74"/>
    <mergeCell ref="K74:L74"/>
    <mergeCell ref="M74:N74"/>
    <mergeCell ref="H43:I43"/>
    <mergeCell ref="C51:G51"/>
    <mergeCell ref="F55:H55"/>
    <mergeCell ref="C53:N53"/>
    <mergeCell ref="B47:N47"/>
    <mergeCell ref="G74:H74"/>
    <mergeCell ref="B62:F62"/>
    <mergeCell ref="B61:F61"/>
    <mergeCell ref="H61:N61"/>
    <mergeCell ref="H62:N62"/>
    <mergeCell ref="J43:N43"/>
    <mergeCell ref="I65:N65"/>
    <mergeCell ref="J69:K69"/>
    <mergeCell ref="H73:I73"/>
    <mergeCell ref="M73:N73"/>
    <mergeCell ref="L69:M69"/>
    <mergeCell ref="B63:F63"/>
    <mergeCell ref="H69:I69"/>
    <mergeCell ref="H63:N63"/>
    <mergeCell ref="B112:F112"/>
    <mergeCell ref="K81:L81"/>
    <mergeCell ref="E81:F81"/>
    <mergeCell ref="I81:J81"/>
    <mergeCell ref="K99:L99"/>
    <mergeCell ref="C93:F93"/>
    <mergeCell ref="H93:M93"/>
    <mergeCell ref="B97:E97"/>
    <mergeCell ref="B95:E95"/>
    <mergeCell ref="H95:M95"/>
    <mergeCell ref="D99:F99"/>
    <mergeCell ref="B98:F98"/>
    <mergeCell ref="H87:M87"/>
    <mergeCell ref="B87:E87"/>
    <mergeCell ref="H89:L89"/>
    <mergeCell ref="B89:D89"/>
    <mergeCell ref="B83:D83"/>
    <mergeCell ref="E83:F83"/>
    <mergeCell ref="H83:M83"/>
    <mergeCell ref="B80:B81"/>
    <mergeCell ref="C81:D81"/>
    <mergeCell ref="H85:M85"/>
    <mergeCell ref="M80:N80"/>
    <mergeCell ref="I123:J123"/>
    <mergeCell ref="J110:M110"/>
    <mergeCell ref="J112:M112"/>
    <mergeCell ref="E78:F78"/>
    <mergeCell ref="D122:E122"/>
    <mergeCell ref="D123:E123"/>
    <mergeCell ref="D108:E108"/>
    <mergeCell ref="C78:D78"/>
    <mergeCell ref="D102:E102"/>
    <mergeCell ref="D103:E103"/>
    <mergeCell ref="D104:E104"/>
    <mergeCell ref="D116:F116"/>
    <mergeCell ref="B85:E85"/>
    <mergeCell ref="C80:D80"/>
    <mergeCell ref="E80:F80"/>
    <mergeCell ref="B99:C99"/>
    <mergeCell ref="I102:M102"/>
    <mergeCell ref="J119:N119"/>
    <mergeCell ref="I105:J105"/>
    <mergeCell ref="L105:M105"/>
    <mergeCell ref="I106:J106"/>
    <mergeCell ref="L106:M106"/>
    <mergeCell ref="B121:C121"/>
    <mergeCell ref="D121:E121"/>
  </mergeCells>
  <phoneticPr fontId="0" type="noConversion"/>
  <conditionalFormatting sqref="G122:G127 N122:N127">
    <cfRule type="cellIs" dxfId="1292" priority="47" stopIfTrue="1" operator="equal">
      <formula>0</formula>
    </cfRule>
  </conditionalFormatting>
  <conditionalFormatting sqref="B98:B99 I98:I99">
    <cfRule type="cellIs" dxfId="1291" priority="38" stopIfTrue="1" operator="lessThan">
      <formula>0</formula>
    </cfRule>
  </conditionalFormatting>
  <conditionalFormatting sqref="E79:N81">
    <cfRule type="cellIs" dxfId="1290" priority="49" stopIfTrue="1" operator="lessThan">
      <formula>0</formula>
    </cfRule>
  </conditionalFormatting>
  <conditionalFormatting sqref="F114">
    <cfRule type="cellIs" dxfId="1289" priority="13" operator="equal">
      <formula>"oui"</formula>
    </cfRule>
  </conditionalFormatting>
  <conditionalFormatting sqref="F131">
    <cfRule type="cellIs" dxfId="1288" priority="30" operator="notEqual">
      <formula>0</formula>
    </cfRule>
  </conditionalFormatting>
  <conditionalFormatting sqref="M131">
    <cfRule type="cellIs" dxfId="1287" priority="29" operator="notEqual">
      <formula>0</formula>
    </cfRule>
  </conditionalFormatting>
  <conditionalFormatting sqref="D99">
    <cfRule type="cellIs" dxfId="1286" priority="26" stopIfTrue="1" operator="lessThan">
      <formula>0</formula>
    </cfRule>
  </conditionalFormatting>
  <conditionalFormatting sqref="M100">
    <cfRule type="expression" dxfId="1285" priority="19">
      <formula>$K$100=0</formula>
    </cfRule>
    <cfRule type="expression" dxfId="1284" priority="20">
      <formula>$K$100="MBA"</formula>
    </cfRule>
    <cfRule type="expression" dxfId="1283" priority="21">
      <formula>$K$100="DCF-FTD"</formula>
    </cfRule>
    <cfRule type="expression" dxfId="1282" priority="22">
      <formula>$K$100="CAF"</formula>
    </cfRule>
    <cfRule type="expression" dxfId="1281" priority="23">
      <formula>$K$100="Bénéfice net"</formula>
    </cfRule>
    <cfRule type="expression" dxfId="1280" priority="24">
      <formula>$K$100="Multiple du REX"</formula>
    </cfRule>
    <cfRule type="expression" dxfId="1279" priority="25">
      <formula>$K$100="Multiple de l'EBE"</formula>
    </cfRule>
  </conditionalFormatting>
  <conditionalFormatting sqref="N104">
    <cfRule type="cellIs" dxfId="1278" priority="18" operator="lessThan">
      <formula>0</formula>
    </cfRule>
  </conditionalFormatting>
  <conditionalFormatting sqref="E77:N77">
    <cfRule type="cellIs" dxfId="1277" priority="17" operator="notEqual">
      <formula>12</formula>
    </cfRule>
  </conditionalFormatting>
  <conditionalFormatting sqref="E77:N77">
    <cfRule type="cellIs" dxfId="1276" priority="16" operator="equal">
      <formula>0</formula>
    </cfRule>
  </conditionalFormatting>
  <conditionalFormatting sqref="J119">
    <cfRule type="expression" dxfId="1275" priority="3201" stopIfTrue="1">
      <formula>$N$118&gt;0</formula>
    </cfRule>
  </conditionalFormatting>
  <conditionalFormatting sqref="I131">
    <cfRule type="expression" dxfId="1274" priority="3205">
      <formula>$M$131&lt;&gt;0</formula>
    </cfRule>
  </conditionalFormatting>
  <conditionalFormatting sqref="B131">
    <cfRule type="expression" dxfId="1273" priority="3206">
      <formula>$F$131&lt;&gt;0</formula>
    </cfRule>
  </conditionalFormatting>
  <conditionalFormatting sqref="D119:H119 G118:H118">
    <cfRule type="expression" dxfId="1272" priority="3207" stopIfTrue="1">
      <formula>$F$118&gt;0</formula>
    </cfRule>
  </conditionalFormatting>
  <conditionalFormatting sqref="N110">
    <cfRule type="cellIs" dxfId="1271" priority="12" operator="equal">
      <formula>"oui"</formula>
    </cfRule>
  </conditionalFormatting>
  <conditionalFormatting sqref="E74:F74">
    <cfRule type="cellIs" dxfId="1270" priority="10" operator="equal">
      <formula>"Durée de l'exercice ?"</formula>
    </cfRule>
  </conditionalFormatting>
  <conditionalFormatting sqref="G74:H74">
    <cfRule type="cellIs" dxfId="1269" priority="9" operator="equal">
      <formula>"Durée de l'exercice ?"</formula>
    </cfRule>
  </conditionalFormatting>
  <conditionalFormatting sqref="M74:N74">
    <cfRule type="cellIs" dxfId="1268" priority="6" operator="equal">
      <formula>"Durée de l'exercice ?"</formula>
    </cfRule>
  </conditionalFormatting>
  <conditionalFormatting sqref="I74:J74">
    <cfRule type="cellIs" dxfId="1267" priority="8" operator="equal">
      <formula>"Durée de l'exercice ?"</formula>
    </cfRule>
  </conditionalFormatting>
  <conditionalFormatting sqref="K74:L74">
    <cfRule type="cellIs" dxfId="1266" priority="7" operator="equal">
      <formula>"Durée de l'exercice ?"</formula>
    </cfRule>
  </conditionalFormatting>
  <conditionalFormatting sqref="K105">
    <cfRule type="cellIs" dxfId="1265" priority="5" operator="equal">
      <formula>0</formula>
    </cfRule>
  </conditionalFormatting>
  <conditionalFormatting sqref="K106">
    <cfRule type="cellIs" dxfId="1264" priority="4" operator="equal">
      <formula>0</formula>
    </cfRule>
  </conditionalFormatting>
  <conditionalFormatting sqref="N112">
    <cfRule type="cellIs" dxfId="1263" priority="3" operator="equal">
      <formula>"oui"</formula>
    </cfRule>
  </conditionalFormatting>
  <conditionalFormatting sqref="N102">
    <cfRule type="cellIs" dxfId="1262" priority="2" operator="equal">
      <formula>0</formula>
    </cfRule>
  </conditionalFormatting>
  <conditionalFormatting sqref="I102:M102">
    <cfRule type="expression" dxfId="1261" priority="1">
      <formula>$N$102=0</formula>
    </cfRule>
  </conditionalFormatting>
  <dataValidations xWindow="1104" yWindow="590" count="19">
    <dataValidation type="list" allowBlank="1" showInputMessage="1" showErrorMessage="1" sqref="F25 F43" xr:uid="{00000000-0002-0000-0300-000000000000}">
      <formula1>$P$137:$P$142</formula1>
    </dataValidation>
    <dataValidation type="list" allowBlank="1" showInputMessage="1" showErrorMessage="1" sqref="C93" xr:uid="{00000000-0002-0000-0300-000001000000}">
      <formula1>$L$139:$L$143</formula1>
    </dataValidation>
    <dataValidation type="list" allowBlank="1" showInputMessage="1" showErrorMessage="1" sqref="C118 K118" xr:uid="{00000000-0002-0000-0300-000002000000}">
      <formula1>$L$144:$L$151</formula1>
    </dataValidation>
    <dataValidation type="list" allowBlank="1" showInputMessage="1" showErrorMessage="1" sqref="N4 C59 K59 N95 F95 F113:F114 J73 N110 N112" xr:uid="{00000000-0002-0000-0300-000003000000}">
      <formula1>"Non,Oui"</formula1>
    </dataValidation>
    <dataValidation type="list" allowBlank="1" showInputMessage="1" showErrorMessage="1" sqref="N67 F4" xr:uid="{00000000-0002-0000-0300-000004000000}">
      <formula1>"Non, Oui"</formula1>
    </dataValidation>
    <dataValidation type="list" allowBlank="1" showInputMessage="1" showErrorMessage="1" sqref="L51:N51" xr:uid="{00000000-0002-0000-0300-000005000000}">
      <formula1>$J$139:$J$150</formula1>
    </dataValidation>
    <dataValidation allowBlank="1" showInputMessage="1" showErrorMessage="1" prompt="Il s'agit de votre fonction dans la nouvelle structure" sqref="J41:N41 J23:N23" xr:uid="{00000000-0002-0000-0300-000006000000}"/>
    <dataValidation type="list" allowBlank="1" showInputMessage="1" showErrorMessage="1" sqref="J17:L17 J35:L35" xr:uid="{00000000-0002-0000-0300-000007000000}">
      <formula1>$G$139:$G$141</formula1>
    </dataValidation>
    <dataValidation type="list" allowBlank="1" showInputMessage="1" showErrorMessage="1" sqref="J21:L21 J39:L39" xr:uid="{00000000-0002-0000-0300-000008000000}">
      <formula1>$C$139:$C$145</formula1>
    </dataValidation>
    <dataValidation allowBlank="1" showInputMessage="1" showErrorMessage="1" prompt="Précisez la superficie en m2" sqref="C67" xr:uid="{00000000-0002-0000-0300-000009000000}"/>
    <dataValidation type="list" allowBlank="1" showInputMessage="1" showErrorMessage="1" sqref="C35 C17" xr:uid="{00000000-0002-0000-0300-00000A000000}">
      <formula1>$E$139:$E$144</formula1>
    </dataValidation>
    <dataValidation type="list" allowBlank="1" showInputMessage="1" showErrorMessage="1" sqref="J69" xr:uid="{00000000-0002-0000-0300-00000B000000}">
      <formula1>$G$144:$G$146</formula1>
    </dataValidation>
    <dataValidation type="list" allowBlank="1" showInputMessage="1" showErrorMessage="1" sqref="C21:E21 C39:E39" xr:uid="{00000000-0002-0000-0300-00000C000000}">
      <formula1>$B$139:$B$151</formula1>
    </dataValidation>
    <dataValidation type="list" allowBlank="1" showInputMessage="1" showErrorMessage="1" sqref="K100" xr:uid="{00000000-0002-0000-0300-00000D000000}">
      <formula1>"Actif net comptable,Actif net réévalué,Bénéfice net,CAF,DCF-FTD,MBA,Multiple de l'EBE,Multiple du REX"</formula1>
    </dataValidation>
    <dataValidation type="list" allowBlank="1" showInputMessage="1" showErrorMessage="1" sqref="I100" xr:uid="{00000000-0002-0000-0300-00000E000000}">
      <formula1>"Capitalisation,Méhode patrimoniale,Méthode des multiples"</formula1>
    </dataValidation>
    <dataValidation type="list" allowBlank="1" showInputMessage="1" showErrorMessage="1" sqref="E83:F83" xr:uid="{00000000-0002-0000-0300-00000F000000}">
      <formula1>"Supérieur,Dans la moyenne,Inférieur,Non connu"</formula1>
    </dataValidation>
    <dataValidation type="list" allowBlank="1" showInputMessage="1" showErrorMessage="1" prompt="N/A=non applicable" sqref="N83 N85 F89" xr:uid="{00000000-0002-0000-0300-000010000000}">
      <formula1>"Oui,Non,Prévu,N/A"</formula1>
    </dataValidation>
    <dataValidation type="list" allowBlank="1" showInputMessage="1" showErrorMessage="1" prompt="N/A=non applicable" sqref="F87" xr:uid="{00000000-0002-0000-0300-000011000000}">
      <formula1>"Oui,Non,N/A"</formula1>
    </dataValidation>
    <dataValidation type="list" allowBlank="1" showInputMessage="1" showErrorMessage="1" sqref="N87" xr:uid="{00000000-0002-0000-0300-000012000000}">
      <formula1>"Nul,Positif,Négatif"</formula1>
    </dataValidation>
  </dataValidations>
  <hyperlinks>
    <hyperlink ref="B5" location="'Rachat ou reprise'!B10" display="identité du repreneur" xr:uid="{00000000-0004-0000-0300-000000000000}"/>
    <hyperlink ref="D5" location="'Rachat ou reprise'!B10" display="identité du repreneur" xr:uid="{00000000-0004-0000-0300-000001000000}"/>
    <hyperlink ref="J5" location="'Rachat ou reprise'!B47" display="identité du repreneur" xr:uid="{00000000-0004-0000-0300-000002000000}"/>
    <hyperlink ref="B5:C5" location="'Rachat ou reprise'!B9" display="identité du repreneur unique" xr:uid="{00000000-0004-0000-0300-000003000000}"/>
    <hyperlink ref="D5:E5" location="'Rachat ou reprise'!B27" display="identité du 2ème repreneur" xr:uid="{00000000-0004-0000-0300-000004000000}"/>
  </hyperlinks>
  <pageMargins left="0" right="0" top="0" bottom="0" header="0" footer="0"/>
  <pageSetup paperSize="9" scale="37" orientation="portrait" r:id="rId1"/>
  <headerFooter alignWithMargins="0"/>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tabColor indexed="32"/>
    <pageSetUpPr fitToPage="1"/>
  </sheetPr>
  <dimension ref="A1:V144"/>
  <sheetViews>
    <sheetView showGridLines="0" workbookViewId="0">
      <pane ySplit="5" topLeftCell="A6" activePane="bottomLeft" state="frozenSplit"/>
      <selection activeCell="G7" sqref="G7:G8"/>
      <selection pane="bottomLeft" activeCell="I11" sqref="I11"/>
    </sheetView>
  </sheetViews>
  <sheetFormatPr baseColWidth="10" defaultColWidth="10.77734375" defaultRowHeight="14.4" x14ac:dyDescent="0.3"/>
  <cols>
    <col min="1" max="1" width="1.77734375" style="818" customWidth="1"/>
    <col min="2" max="2" width="39.33203125" style="7" customWidth="1"/>
    <col min="3" max="3" width="6.33203125" style="7" customWidth="1"/>
    <col min="4" max="4" width="8.77734375" style="7" customWidth="1"/>
    <col min="5" max="5" width="9.77734375" style="7" customWidth="1"/>
    <col min="6" max="6" width="9.77734375" style="503" customWidth="1"/>
    <col min="7" max="7" width="1" style="2" customWidth="1"/>
    <col min="8" max="8" width="13.77734375" style="7" customWidth="1"/>
    <col min="9" max="9" width="12.77734375" style="7" customWidth="1"/>
    <col min="10" max="10" width="1" style="228" customWidth="1"/>
    <col min="11" max="11" width="13.77734375" style="254" customWidth="1"/>
    <col min="12" max="12" width="12.77734375" style="7" customWidth="1"/>
    <col min="13" max="13" width="1" style="17" customWidth="1"/>
    <col min="14" max="14" width="13.77734375" style="7" customWidth="1"/>
    <col min="15" max="15" width="12.77734375" style="7" customWidth="1"/>
    <col min="16" max="16" width="12.44140625" style="7" bestFit="1" customWidth="1"/>
    <col min="17" max="16384" width="10.77734375" style="7"/>
  </cols>
  <sheetData>
    <row r="1" spans="1:22" ht="6" customHeight="1" x14ac:dyDescent="0.3"/>
    <row r="2" spans="1:22" s="137" customFormat="1" ht="21.9" customHeight="1" x14ac:dyDescent="0.35">
      <c r="A2" s="809"/>
      <c r="B2" s="3933" t="str">
        <f>IF(ISBLANK(nom)," ",nom)</f>
        <v xml:space="preserve"> </v>
      </c>
      <c r="C2" s="3934"/>
      <c r="D2" s="3745" t="s">
        <v>1015</v>
      </c>
      <c r="E2" s="3746"/>
      <c r="F2" s="3746"/>
      <c r="G2" s="3746"/>
      <c r="H2" s="3746"/>
      <c r="I2" s="3746"/>
      <c r="J2" s="3746"/>
      <c r="K2" s="3746"/>
      <c r="L2" s="3746"/>
      <c r="M2" s="3746"/>
      <c r="N2" s="3746"/>
      <c r="O2" s="3747"/>
      <c r="P2" s="218"/>
      <c r="Q2" s="218"/>
      <c r="R2" s="218"/>
      <c r="S2" s="218"/>
      <c r="T2" s="218"/>
      <c r="U2" s="218"/>
      <c r="V2" s="218"/>
    </row>
    <row r="3" spans="1:22" s="94" customFormat="1" ht="20.100000000000001" customHeight="1" x14ac:dyDescent="0.3">
      <c r="A3" s="810"/>
      <c r="F3" s="522"/>
      <c r="G3" s="219"/>
      <c r="H3" s="2735" t="str">
        <f>IF(ISBLANK(An),"renseigner l'année du 1°exercice"," ")</f>
        <v>renseigner l'année du 1°exercice</v>
      </c>
      <c r="I3" s="160"/>
      <c r="J3" s="220"/>
      <c r="K3" s="160"/>
      <c r="L3" s="160"/>
      <c r="M3" s="160"/>
      <c r="N3" s="160"/>
      <c r="O3" s="160"/>
    </row>
    <row r="4" spans="1:22" s="1" customFormat="1" ht="20.100000000000001" customHeight="1" x14ac:dyDescent="0.3">
      <c r="A4" s="811"/>
      <c r="B4" s="3836" t="s">
        <v>1276</v>
      </c>
      <c r="C4" s="3921"/>
      <c r="D4" s="3922"/>
      <c r="E4" s="3816" t="s">
        <v>76</v>
      </c>
      <c r="F4" s="3817"/>
      <c r="G4" s="219"/>
      <c r="H4" s="3765"/>
      <c r="I4" s="3766"/>
      <c r="J4" s="225"/>
      <c r="K4" s="3762">
        <f>IF(ISBLANK(An),0,An+1)</f>
        <v>0</v>
      </c>
      <c r="L4" s="3763"/>
      <c r="M4" s="226"/>
      <c r="N4" s="3762">
        <f>IF(ISBLANK(An),0,An+2)</f>
        <v>0</v>
      </c>
      <c r="O4" s="3763"/>
    </row>
    <row r="5" spans="1:22" s="1" customFormat="1" ht="20.100000000000001" customHeight="1" x14ac:dyDescent="0.3">
      <c r="A5" s="811"/>
      <c r="B5" s="3837"/>
      <c r="C5" s="3921"/>
      <c r="D5" s="3922"/>
      <c r="E5" s="3810" t="s">
        <v>163</v>
      </c>
      <c r="F5" s="3811"/>
      <c r="G5" s="227"/>
      <c r="H5" s="3760"/>
      <c r="I5" s="3761"/>
      <c r="J5" s="996"/>
      <c r="K5" s="3760"/>
      <c r="L5" s="3761"/>
      <c r="M5" s="418"/>
      <c r="N5" s="3760"/>
      <c r="O5" s="3761"/>
    </row>
    <row r="6" spans="1:22" s="1" customFormat="1" ht="6" customHeight="1" x14ac:dyDescent="0.3">
      <c r="A6" s="814"/>
      <c r="F6" s="523"/>
      <c r="G6" s="153"/>
      <c r="H6" s="224"/>
      <c r="I6" s="224"/>
      <c r="J6" s="221"/>
      <c r="K6" s="222"/>
      <c r="L6" s="224"/>
      <c r="M6" s="223"/>
      <c r="O6" s="224"/>
    </row>
    <row r="7" spans="1:22" s="236" customFormat="1" ht="20.100000000000001" customHeight="1" x14ac:dyDescent="0.3">
      <c r="A7" s="812"/>
      <c r="B7" s="3839" t="s">
        <v>1277</v>
      </c>
      <c r="C7" s="3839"/>
      <c r="D7" s="3839"/>
      <c r="E7" s="3839"/>
      <c r="F7" s="3839"/>
      <c r="G7" s="234"/>
      <c r="H7" s="3764" t="str">
        <f>IF(AND(ca_5&gt;0,durée_5=0),"Durée de l'exercice ?"," ")</f>
        <v xml:space="preserve"> </v>
      </c>
      <c r="I7" s="3764"/>
      <c r="J7" s="679"/>
      <c r="K7" s="3764" t="str">
        <f>IF(AND(ca_6&gt;0,durée_6=0),"Durée de l'exercice ?"," ")</f>
        <v xml:space="preserve"> </v>
      </c>
      <c r="L7" s="3764"/>
      <c r="M7" s="679"/>
      <c r="N7" s="3764" t="str">
        <f>IF(AND(ca_7&gt;0,durée_7=0),"Durée de l'exercice ?"," ")</f>
        <v xml:space="preserve"> </v>
      </c>
      <c r="O7" s="3764"/>
    </row>
    <row r="8" spans="1:22" s="1" customFormat="1" ht="3" customHeight="1" x14ac:dyDescent="0.3">
      <c r="A8" s="814"/>
      <c r="F8" s="523"/>
      <c r="G8" s="153"/>
      <c r="H8" s="224"/>
      <c r="I8" s="224"/>
      <c r="J8" s="221"/>
      <c r="K8" s="222"/>
      <c r="L8" s="224"/>
      <c r="M8" s="223"/>
      <c r="O8" s="224"/>
    </row>
    <row r="9" spans="1:22" ht="21.9" customHeight="1" x14ac:dyDescent="0.3">
      <c r="A9" s="813"/>
      <c r="B9" s="3831" t="str">
        <f>IF(AND(pr_5&gt;0,activité=0),"Vous avez omis de préciser le type d'activité ci-dessus"," ")</f>
        <v xml:space="preserve"> </v>
      </c>
      <c r="C9" s="3832"/>
      <c r="D9" s="3832"/>
      <c r="E9" s="3832"/>
      <c r="F9" s="3833"/>
      <c r="G9" s="595"/>
      <c r="H9" s="1547" t="s">
        <v>176</v>
      </c>
      <c r="I9" s="1549" t="s">
        <v>1</v>
      </c>
      <c r="J9" s="596"/>
      <c r="K9" s="1547" t="s">
        <v>176</v>
      </c>
      <c r="L9" s="1549" t="s">
        <v>1</v>
      </c>
      <c r="M9" s="596"/>
      <c r="N9" s="1548" t="s">
        <v>176</v>
      </c>
      <c r="O9" s="1549" t="s">
        <v>1</v>
      </c>
    </row>
    <row r="10" spans="1:22" s="1" customFormat="1" ht="6" customHeight="1" x14ac:dyDescent="0.3">
      <c r="A10" s="814"/>
      <c r="F10" s="523"/>
      <c r="G10" s="153"/>
      <c r="H10" s="224"/>
      <c r="I10" s="224"/>
      <c r="J10" s="221"/>
      <c r="K10" s="222"/>
      <c r="L10" s="224"/>
      <c r="M10" s="223"/>
      <c r="O10" s="224"/>
    </row>
    <row r="11" spans="1:22" s="1" customFormat="1" ht="20.100000000000001" customHeight="1" x14ac:dyDescent="0.3">
      <c r="A11" s="814"/>
      <c r="B11" s="3806" t="s">
        <v>50</v>
      </c>
      <c r="C11" s="3807"/>
      <c r="D11" s="3808"/>
      <c r="E11" s="3808"/>
      <c r="F11" s="3809"/>
      <c r="G11" s="234"/>
      <c r="H11" s="1562"/>
      <c r="I11" s="2410" t="str">
        <f>IF(ISBLANK(H11)," ",H11/$H$15)</f>
        <v xml:space="preserve"> </v>
      </c>
      <c r="J11" s="230"/>
      <c r="K11" s="1562"/>
      <c r="L11" s="2410" t="str">
        <f>IF(ISBLANK(K11)," ",K11/$K$15)</f>
        <v xml:space="preserve"> </v>
      </c>
      <c r="M11" s="230"/>
      <c r="N11" s="1562"/>
      <c r="O11" s="2410" t="str">
        <f>IF(ISBLANK(N11)," ",N11/$N$15)</f>
        <v xml:space="preserve"> </v>
      </c>
    </row>
    <row r="12" spans="1:22" s="1" customFormat="1" ht="20.100000000000001" customHeight="1" x14ac:dyDescent="0.3">
      <c r="A12" s="814"/>
      <c r="B12" s="3782" t="s">
        <v>510</v>
      </c>
      <c r="C12" s="3783"/>
      <c r="D12" s="3784"/>
      <c r="E12" s="3784"/>
      <c r="F12" s="3785"/>
      <c r="G12" s="234"/>
      <c r="H12" s="1563"/>
      <c r="I12" s="2411" t="str">
        <f t="shared" ref="I12:I14" si="0">IF(ISBLANK(H12)," ",H12/$H$15)</f>
        <v xml:space="preserve"> </v>
      </c>
      <c r="J12" s="232"/>
      <c r="K12" s="1563"/>
      <c r="L12" s="2411" t="str">
        <f t="shared" ref="L12:L14" si="1">IF(ISBLANK(K12)," ",K12/$K$15)</f>
        <v xml:space="preserve"> </v>
      </c>
      <c r="M12" s="232"/>
      <c r="N12" s="1563"/>
      <c r="O12" s="2411" t="str">
        <f t="shared" ref="O12:O14" si="2">IF(ISBLANK(N12)," ",N12/$N$15)</f>
        <v xml:space="preserve"> </v>
      </c>
    </row>
    <row r="13" spans="1:22" s="1" customFormat="1" ht="20.100000000000001" customHeight="1" x14ac:dyDescent="0.3">
      <c r="A13" s="814"/>
      <c r="B13" s="3782" t="s">
        <v>52</v>
      </c>
      <c r="C13" s="3783"/>
      <c r="D13" s="3784"/>
      <c r="E13" s="3784"/>
      <c r="F13" s="3785"/>
      <c r="G13" s="234"/>
      <c r="H13" s="1563"/>
      <c r="I13" s="2411" t="str">
        <f t="shared" si="0"/>
        <v xml:space="preserve"> </v>
      </c>
      <c r="J13" s="232"/>
      <c r="K13" s="1563"/>
      <c r="L13" s="2411" t="str">
        <f t="shared" si="1"/>
        <v xml:space="preserve"> </v>
      </c>
      <c r="M13" s="232"/>
      <c r="N13" s="1563"/>
      <c r="O13" s="2411" t="str">
        <f t="shared" si="2"/>
        <v xml:space="preserve"> </v>
      </c>
    </row>
    <row r="14" spans="1:22" s="1" customFormat="1" ht="20.100000000000001" customHeight="1" x14ac:dyDescent="0.3">
      <c r="A14" s="814"/>
      <c r="B14" s="3827" t="s">
        <v>270</v>
      </c>
      <c r="C14" s="3828"/>
      <c r="D14" s="3834"/>
      <c r="E14" s="3834"/>
      <c r="F14" s="3835"/>
      <c r="G14" s="234"/>
      <c r="H14" s="1564"/>
      <c r="I14" s="2412" t="str">
        <f t="shared" si="0"/>
        <v xml:space="preserve"> </v>
      </c>
      <c r="J14" s="231"/>
      <c r="K14" s="1564"/>
      <c r="L14" s="2412" t="str">
        <f t="shared" si="1"/>
        <v xml:space="preserve"> </v>
      </c>
      <c r="M14" s="231"/>
      <c r="N14" s="1564"/>
      <c r="O14" s="2412" t="str">
        <f t="shared" si="2"/>
        <v xml:space="preserve"> </v>
      </c>
      <c r="P14" s="203"/>
    </row>
    <row r="15" spans="1:22" s="1" customFormat="1" ht="21.9" customHeight="1" x14ac:dyDescent="0.3">
      <c r="A15" s="814"/>
      <c r="B15" s="3767" t="s">
        <v>550</v>
      </c>
      <c r="C15" s="3768"/>
      <c r="D15" s="3769"/>
      <c r="E15" s="3769"/>
      <c r="F15" s="3770"/>
      <c r="G15" s="187"/>
      <c r="H15" s="1591">
        <f>SUM(H11:H14)</f>
        <v>0</v>
      </c>
      <c r="I15" s="1609" t="str">
        <f>IF(ISERROR(ca_5/pr_5)," ",ca_5/pr_5)</f>
        <v xml:space="preserve"> </v>
      </c>
      <c r="J15" s="233"/>
      <c r="K15" s="1591">
        <f>SUM(K11:K14)</f>
        <v>0</v>
      </c>
      <c r="L15" s="1609" t="str">
        <f>IF(ISERROR(ca_6/pr_6)," ",ca_6/pr_6)</f>
        <v xml:space="preserve"> </v>
      </c>
      <c r="M15" s="233"/>
      <c r="N15" s="1591">
        <f>SUM(N11:N14)</f>
        <v>0</v>
      </c>
      <c r="O15" s="1609" t="str">
        <f>IF(ISERROR(ca_7/pr_7)," ",ca_7/pr_7)</f>
        <v xml:space="preserve"> </v>
      </c>
    </row>
    <row r="16" spans="1:22" ht="20.100000000000001" customHeight="1" x14ac:dyDescent="0.3">
      <c r="A16" s="813"/>
      <c r="B16" s="3789" t="s">
        <v>263</v>
      </c>
      <c r="C16" s="3790"/>
      <c r="D16" s="3791"/>
      <c r="E16" s="3791"/>
      <c r="F16" s="3792"/>
      <c r="G16" s="234"/>
      <c r="H16" s="1566"/>
      <c r="I16" s="1607"/>
      <c r="J16" s="232"/>
      <c r="K16" s="1566"/>
      <c r="L16" s="1607"/>
      <c r="M16" s="232"/>
      <c r="N16" s="1566"/>
      <c r="O16" s="1607"/>
    </row>
    <row r="17" spans="1:17" s="1" customFormat="1" ht="20.100000000000001" customHeight="1" x14ac:dyDescent="0.3">
      <c r="A17" s="814"/>
      <c r="B17" s="3827" t="s">
        <v>47</v>
      </c>
      <c r="C17" s="3828"/>
      <c r="D17" s="3834"/>
      <c r="E17" s="3834"/>
      <c r="F17" s="3835"/>
      <c r="G17" s="234"/>
      <c r="H17" s="1564"/>
      <c r="I17" s="1608"/>
      <c r="J17" s="232"/>
      <c r="K17" s="1564"/>
      <c r="L17" s="1608"/>
      <c r="M17" s="232"/>
      <c r="N17" s="1564"/>
      <c r="O17" s="1608"/>
    </row>
    <row r="18" spans="1:17" s="235" customFormat="1" ht="21.9" customHeight="1" x14ac:dyDescent="0.25">
      <c r="A18" s="815"/>
      <c r="B18" s="3767" t="s">
        <v>168</v>
      </c>
      <c r="C18" s="3768"/>
      <c r="D18" s="3769"/>
      <c r="E18" s="3769"/>
      <c r="F18" s="3770"/>
      <c r="G18" s="187"/>
      <c r="H18" s="1591">
        <f>H15+H16+H17</f>
        <v>0</v>
      </c>
      <c r="I18" s="1609" t="str">
        <f>IF(ISERROR(pr_5/pr_5)," ",pr_5/pr_5)</f>
        <v xml:space="preserve"> </v>
      </c>
      <c r="J18" s="233"/>
      <c r="K18" s="1591">
        <f>K15+K16+K17</f>
        <v>0</v>
      </c>
      <c r="L18" s="1609" t="str">
        <f>IF(ISERROR(pr_6/pr_6)," ",pr_6/pr_6)</f>
        <v xml:space="preserve"> </v>
      </c>
      <c r="M18" s="233"/>
      <c r="N18" s="1591">
        <f>N15+N16+N17</f>
        <v>0</v>
      </c>
      <c r="O18" s="1609" t="str">
        <f>IF(ISERROR(pr_7/pr_7)," ",pr_7/pr_7)</f>
        <v xml:space="preserve"> </v>
      </c>
    </row>
    <row r="19" spans="1:17" s="236" customFormat="1" ht="20.100000000000001" customHeight="1" x14ac:dyDescent="0.3">
      <c r="A19" s="816"/>
      <c r="B19" s="3789" t="s">
        <v>54</v>
      </c>
      <c r="C19" s="3790"/>
      <c r="D19" s="3791"/>
      <c r="E19" s="3791"/>
      <c r="F19" s="3792"/>
      <c r="G19" s="234"/>
      <c r="H19" s="1566"/>
      <c r="I19" s="1607"/>
      <c r="J19" s="232"/>
      <c r="K19" s="1566"/>
      <c r="L19" s="1607"/>
      <c r="M19" s="232"/>
      <c r="N19" s="1566"/>
      <c r="O19" s="1607"/>
    </row>
    <row r="20" spans="1:17" ht="20.100000000000001" customHeight="1" x14ac:dyDescent="0.3">
      <c r="A20" s="813"/>
      <c r="B20" s="3782" t="s">
        <v>264</v>
      </c>
      <c r="C20" s="3783"/>
      <c r="D20" s="3784"/>
      <c r="E20" s="3784"/>
      <c r="F20" s="3785"/>
      <c r="G20" s="234"/>
      <c r="H20" s="1563"/>
      <c r="I20" s="1610"/>
      <c r="J20" s="232"/>
      <c r="K20" s="1563"/>
      <c r="L20" s="1610"/>
      <c r="M20" s="232"/>
      <c r="N20" s="1563"/>
      <c r="O20" s="1610"/>
    </row>
    <row r="21" spans="1:17" ht="20.100000000000001" customHeight="1" x14ac:dyDescent="0.3">
      <c r="A21" s="813"/>
      <c r="B21" s="3782" t="s">
        <v>617</v>
      </c>
      <c r="C21" s="3783"/>
      <c r="D21" s="3784"/>
      <c r="E21" s="3784"/>
      <c r="F21" s="3785"/>
      <c r="G21" s="234"/>
      <c r="H21" s="1563"/>
      <c r="I21" s="1610"/>
      <c r="J21" s="232"/>
      <c r="K21" s="1563"/>
      <c r="L21" s="1610"/>
      <c r="M21" s="232"/>
      <c r="N21" s="1563"/>
      <c r="O21" s="1610"/>
    </row>
    <row r="22" spans="1:17" s="1" customFormat="1" ht="20.100000000000001" customHeight="1" x14ac:dyDescent="0.3">
      <c r="A22" s="814"/>
      <c r="B22" s="3827" t="s">
        <v>393</v>
      </c>
      <c r="C22" s="3828"/>
      <c r="D22" s="3834"/>
      <c r="E22" s="3834"/>
      <c r="F22" s="3835"/>
      <c r="G22" s="234"/>
      <c r="H22" s="1566"/>
      <c r="I22" s="1607"/>
      <c r="J22" s="232"/>
      <c r="K22" s="1566"/>
      <c r="L22" s="1607"/>
      <c r="M22" s="232"/>
      <c r="N22" s="1566"/>
      <c r="O22" s="1607"/>
    </row>
    <row r="23" spans="1:17" s="1" customFormat="1" ht="21.9" customHeight="1" x14ac:dyDescent="0.3">
      <c r="A23" s="1550" t="s">
        <v>608</v>
      </c>
      <c r="B23" s="3771" t="s">
        <v>389</v>
      </c>
      <c r="C23" s="3772"/>
      <c r="D23" s="3773"/>
      <c r="E23" s="3773"/>
      <c r="F23" s="3430"/>
      <c r="G23" s="234"/>
      <c r="H23" s="1592">
        <f>SUM(H19:H22)</f>
        <v>0</v>
      </c>
      <c r="I23" s="1611" t="str">
        <f>IF(ISERROR(H23/H11)," ",H23/H11)</f>
        <v xml:space="preserve"> </v>
      </c>
      <c r="J23" s="232"/>
      <c r="K23" s="1592">
        <f>SUM(K19:K22)</f>
        <v>0</v>
      </c>
      <c r="L23" s="1611" t="str">
        <f>IF(ISERROR(K23/K11)," ",K23/K11)</f>
        <v xml:space="preserve"> </v>
      </c>
      <c r="M23" s="232"/>
      <c r="N23" s="1592">
        <f>SUM(N19:N22)</f>
        <v>0</v>
      </c>
      <c r="O23" s="1611" t="str">
        <f>IF(ISERROR(N23/N11)," ",N23/N11)</f>
        <v xml:space="preserve"> </v>
      </c>
    </row>
    <row r="24" spans="1:17" s="1" customFormat="1" ht="21.9" customHeight="1" x14ac:dyDescent="0.3">
      <c r="A24" s="814"/>
      <c r="B24" s="3786" t="s">
        <v>162</v>
      </c>
      <c r="C24" s="3787"/>
      <c r="D24" s="3369"/>
      <c r="E24" s="3369"/>
      <c r="F24" s="3788"/>
      <c r="G24" s="187"/>
      <c r="H24" s="1565" t="str">
        <f>IF(H11=0," ",H11-H23)</f>
        <v xml:space="preserve"> </v>
      </c>
      <c r="I24" s="1612" t="str">
        <f>IF(ISERROR(H24/H11)," ",H24/H11)</f>
        <v xml:space="preserve"> </v>
      </c>
      <c r="J24" s="233"/>
      <c r="K24" s="1565" t="str">
        <f>IF(K11=0," ",K11-K23)</f>
        <v xml:space="preserve"> </v>
      </c>
      <c r="L24" s="1612" t="str">
        <f>IF(ISERROR(K24/K11)," ",K24/K11)</f>
        <v xml:space="preserve"> </v>
      </c>
      <c r="M24" s="233"/>
      <c r="N24" s="1565" t="str">
        <f>IF(N11=0," ",N11-N23)</f>
        <v xml:space="preserve"> </v>
      </c>
      <c r="O24" s="1612" t="str">
        <f>IF(ISERROR(N24/N11)," ",N24/N11)</f>
        <v xml:space="preserve"> </v>
      </c>
      <c r="Q24" s="673"/>
    </row>
    <row r="25" spans="1:17" s="1" customFormat="1" ht="20.100000000000001" customHeight="1" x14ac:dyDescent="0.3">
      <c r="A25" s="814"/>
      <c r="B25" s="3789" t="s">
        <v>548</v>
      </c>
      <c r="C25" s="3790"/>
      <c r="D25" s="3791"/>
      <c r="E25" s="3791"/>
      <c r="F25" s="3792"/>
      <c r="G25" s="234"/>
      <c r="H25" s="1566"/>
      <c r="I25" s="1607"/>
      <c r="J25" s="232"/>
      <c r="K25" s="1566"/>
      <c r="L25" s="1607"/>
      <c r="M25" s="237"/>
      <c r="N25" s="1566"/>
      <c r="O25" s="1607"/>
    </row>
    <row r="26" spans="1:17" s="1" customFormat="1" ht="20.100000000000001" customHeight="1" x14ac:dyDescent="0.3">
      <c r="A26" s="814"/>
      <c r="B26" s="3782" t="s">
        <v>265</v>
      </c>
      <c r="C26" s="3783"/>
      <c r="D26" s="3784"/>
      <c r="E26" s="3784"/>
      <c r="F26" s="3785"/>
      <c r="G26" s="234"/>
      <c r="H26" s="1563"/>
      <c r="I26" s="1610"/>
      <c r="J26" s="232"/>
      <c r="K26" s="1563"/>
      <c r="L26" s="1610"/>
      <c r="M26" s="237"/>
      <c r="N26" s="1563"/>
      <c r="O26" s="1610"/>
    </row>
    <row r="27" spans="1:17" s="1" customFormat="1" ht="20.100000000000001" customHeight="1" x14ac:dyDescent="0.3">
      <c r="A27" s="814"/>
      <c r="B27" s="3782" t="s">
        <v>616</v>
      </c>
      <c r="C27" s="3783"/>
      <c r="D27" s="3784"/>
      <c r="E27" s="3784"/>
      <c r="F27" s="3785"/>
      <c r="G27" s="234"/>
      <c r="H27" s="1563"/>
      <c r="I27" s="1610"/>
      <c r="J27" s="232"/>
      <c r="K27" s="1563"/>
      <c r="L27" s="1610"/>
      <c r="M27" s="237"/>
      <c r="N27" s="1563"/>
      <c r="O27" s="1610"/>
    </row>
    <row r="28" spans="1:17" s="1" customFormat="1" ht="20.100000000000001" customHeight="1" x14ac:dyDescent="0.3">
      <c r="A28" s="814"/>
      <c r="B28" s="3782" t="s">
        <v>617</v>
      </c>
      <c r="C28" s="3783"/>
      <c r="D28" s="3784"/>
      <c r="E28" s="3784"/>
      <c r="F28" s="3785"/>
      <c r="G28" s="234"/>
      <c r="H28" s="1563"/>
      <c r="I28" s="1610"/>
      <c r="J28" s="232"/>
      <c r="K28" s="1563"/>
      <c r="L28" s="1610"/>
      <c r="M28" s="237"/>
      <c r="N28" s="1563"/>
      <c r="O28" s="1610"/>
    </row>
    <row r="29" spans="1:17" s="1" customFormat="1" ht="20.100000000000001" customHeight="1" x14ac:dyDescent="0.3">
      <c r="A29" s="814"/>
      <c r="B29" s="3827" t="s">
        <v>393</v>
      </c>
      <c r="C29" s="3828"/>
      <c r="D29" s="3834"/>
      <c r="E29" s="3834"/>
      <c r="F29" s="3835"/>
      <c r="G29" s="234"/>
      <c r="H29" s="1566"/>
      <c r="I29" s="1607"/>
      <c r="J29" s="232"/>
      <c r="K29" s="1566"/>
      <c r="L29" s="1607"/>
      <c r="M29" s="237"/>
      <c r="N29" s="1566"/>
      <c r="O29" s="1607"/>
    </row>
    <row r="30" spans="1:17" s="1" customFormat="1" ht="21.9" customHeight="1" x14ac:dyDescent="0.3">
      <c r="A30" s="1550" t="s">
        <v>608</v>
      </c>
      <c r="B30" s="3771" t="s">
        <v>355</v>
      </c>
      <c r="C30" s="3772"/>
      <c r="D30" s="3773"/>
      <c r="E30" s="3773"/>
      <c r="F30" s="3430"/>
      <c r="G30" s="234"/>
      <c r="H30" s="1592">
        <f>SUM(H25:H29)</f>
        <v>0</v>
      </c>
      <c r="I30" s="1611" t="str">
        <f>IF(ISERROR(IF(activité="PB",H30/(H12+H16+H17),IF(activité="Ps",H30/(H13+H16+H17)," ")))," ",IF(activité="PB",H30/(H12+H16+H17),IF(activité="Ps",H30/(H13+H16+H17)," ")))</f>
        <v xml:space="preserve"> </v>
      </c>
      <c r="J30" s="232"/>
      <c r="K30" s="1592">
        <f>SUM(K25:K29)</f>
        <v>0</v>
      </c>
      <c r="L30" s="1611" t="str">
        <f>IF(ISERROR(IF(activité="PB",K30/(K12+K16+K17),IF(activité="Ps",K30/(K13+K16+K17)," ")))," ",IF(activité="PB",K30/(K12+K16+K17),IF(activité="Ps",K30/(K13+K16+K17)," ")))</f>
        <v xml:space="preserve"> </v>
      </c>
      <c r="M30" s="232"/>
      <c r="N30" s="1592">
        <f>SUM(N25:N29)</f>
        <v>0</v>
      </c>
      <c r="O30" s="1611" t="str">
        <f>IF(ISERROR(IF(activité="PB",N30/(N12+N16+N17),IF(activité="Ps",N30/(N13+N16+N17)," ")))," ",IF(activité="PB",N30/(N12+N16+N17),IF(activité="Ps",N30/(N13+N16+N17)," ")))</f>
        <v xml:space="preserve"> </v>
      </c>
    </row>
    <row r="31" spans="1:17" s="1" customFormat="1" ht="21.9" customHeight="1" x14ac:dyDescent="0.3">
      <c r="A31" s="814"/>
      <c r="B31" s="3793" t="s">
        <v>396</v>
      </c>
      <c r="C31" s="3794"/>
      <c r="D31" s="3795"/>
      <c r="E31" s="3795"/>
      <c r="F31" s="3796"/>
      <c r="G31" s="187"/>
      <c r="H31" s="1567" t="str">
        <f>IF(activité="Production de biens",H12+H16+H17-H30,IF(activité="Production de services",H13+H16+H17-H30," "))</f>
        <v xml:space="preserve"> </v>
      </c>
      <c r="I31" s="1613" t="str">
        <f>IF(ISERROR(IF(activité="Production de biens",H31/(H12+H16+H17),IF(activité="Production de services",H31/(H13+H16+H17)," ")))," ",IF(activité="Production de biens",H31/(H12+H16+H17),IF(activité="Production de services",H31/(H13+H16+H17)," ")))</f>
        <v xml:space="preserve"> </v>
      </c>
      <c r="J31" s="233"/>
      <c r="K31" s="1567" t="str">
        <f>IF(activité="Production de biens",K12+K16+K17-K30,IF(activité="Production de services",K13+K16+K17-K30," "))</f>
        <v xml:space="preserve"> </v>
      </c>
      <c r="L31" s="1613" t="str">
        <f>IF(ISERROR(IF(activité="Production de biens",K31/(K12+K16+K17),IF(activité="Production de services",K31/(K13+K16+K17)," ")))," ",IF(activité="Production de biens",K31/(K12+K16+K17),IF(activité="Production de services",K31/(K13+K16+K17)," ")))</f>
        <v xml:space="preserve"> </v>
      </c>
      <c r="M31" s="233"/>
      <c r="N31" s="1567" t="str">
        <f>IF(activité="Production de biens",N12+N16+N17-N30,IF(activité="Production de services",N13+N16+N17-N30," "))</f>
        <v xml:space="preserve"> </v>
      </c>
      <c r="O31" s="1613" t="str">
        <f>IF(ISERROR(IF(activité="Production de biens",N31/(N12+N16+N17),IF(activité="Production de services",N31/(N13+N16+N17)," ")))," ",IF(activité="Production de biens",N31/(N12+N16+N17),IF(activité="Production de services",N31/(N13+N16+N17)," ")))</f>
        <v xml:space="preserve"> </v>
      </c>
    </row>
    <row r="32" spans="1:17" s="1" customFormat="1" ht="21.9" customHeight="1" x14ac:dyDescent="0.3">
      <c r="A32" s="814"/>
      <c r="B32" s="3778" t="s">
        <v>360</v>
      </c>
      <c r="C32" s="3779"/>
      <c r="D32" s="3780"/>
      <c r="E32" s="3780"/>
      <c r="F32" s="3781"/>
      <c r="G32" s="187"/>
      <c r="H32" s="1568">
        <f>pr_5-H23-H30</f>
        <v>0</v>
      </c>
      <c r="I32" s="1614" t="str">
        <f>IF(ISERROR(H32/pr_5)," ",H32/pr_5)</f>
        <v xml:space="preserve"> </v>
      </c>
      <c r="J32" s="233"/>
      <c r="K32" s="1568">
        <f>pr_6-K23-K30</f>
        <v>0</v>
      </c>
      <c r="L32" s="1614" t="str">
        <f>IF(ISERROR(K32/pr_6)," ",K32/pr_6)</f>
        <v xml:space="preserve"> </v>
      </c>
      <c r="M32" s="233"/>
      <c r="N32" s="1568">
        <f>pr_7-N23-N30</f>
        <v>0</v>
      </c>
      <c r="O32" s="1614" t="str">
        <f>IF(ISERROR(N32/pr_7)," ",N32/pr_7)</f>
        <v xml:space="preserve"> </v>
      </c>
    </row>
    <row r="33" spans="1:18" s="1" customFormat="1" ht="30" customHeight="1" x14ac:dyDescent="0.3">
      <c r="A33" s="814"/>
      <c r="B33" s="3863" t="s">
        <v>854</v>
      </c>
      <c r="C33" s="3864"/>
      <c r="D33" s="3865"/>
      <c r="E33" s="3865"/>
      <c r="F33" s="3866"/>
      <c r="G33" s="234"/>
      <c r="H33" s="1569"/>
      <c r="I33" s="1615"/>
      <c r="J33" s="232"/>
      <c r="K33" s="1569"/>
      <c r="L33" s="1615"/>
      <c r="M33" s="237"/>
      <c r="N33" s="1569"/>
      <c r="O33" s="1615"/>
    </row>
    <row r="34" spans="1:18" s="1" customFormat="1" ht="20.100000000000001" customHeight="1" x14ac:dyDescent="0.3">
      <c r="A34" s="217" t="s">
        <v>608</v>
      </c>
      <c r="B34" s="3774" t="s">
        <v>618</v>
      </c>
      <c r="C34" s="3775"/>
      <c r="D34" s="3776"/>
      <c r="E34" s="3776"/>
      <c r="F34" s="3777"/>
      <c r="G34" s="234"/>
      <c r="H34" s="1570"/>
      <c r="I34" s="1616"/>
      <c r="J34" s="238"/>
      <c r="K34" s="1587"/>
      <c r="L34" s="1616"/>
      <c r="M34" s="239"/>
      <c r="N34" s="1587"/>
      <c r="O34" s="1616"/>
    </row>
    <row r="35" spans="1:18" s="1" customFormat="1" ht="20.100000000000001" customHeight="1" x14ac:dyDescent="0.3">
      <c r="A35" s="814"/>
      <c r="B35" s="3826" t="s">
        <v>401</v>
      </c>
      <c r="C35" s="3813"/>
      <c r="D35" s="3814"/>
      <c r="E35" s="3814"/>
      <c r="F35" s="3815"/>
      <c r="G35" s="234"/>
      <c r="H35" s="1571"/>
      <c r="I35" s="1617"/>
      <c r="J35" s="238"/>
      <c r="K35" s="1588"/>
      <c r="L35" s="1617"/>
      <c r="M35" s="239"/>
      <c r="N35" s="1588"/>
      <c r="O35" s="1617"/>
    </row>
    <row r="36" spans="1:18" s="1" customFormat="1" ht="20.100000000000001" customHeight="1" x14ac:dyDescent="0.3">
      <c r="A36" s="814"/>
      <c r="B36" s="3812" t="s">
        <v>772</v>
      </c>
      <c r="C36" s="3838"/>
      <c r="D36" s="3784"/>
      <c r="E36" s="3784"/>
      <c r="F36" s="3785"/>
      <c r="G36" s="234"/>
      <c r="H36" s="1571"/>
      <c r="I36" s="1617"/>
      <c r="J36" s="238"/>
      <c r="K36" s="1588"/>
      <c r="L36" s="1617"/>
      <c r="M36" s="239"/>
      <c r="N36" s="1588"/>
      <c r="O36" s="1617"/>
    </row>
    <row r="37" spans="1:18" s="1" customFormat="1" ht="20.100000000000001" customHeight="1" x14ac:dyDescent="0.3">
      <c r="A37" s="814"/>
      <c r="B37" s="3812" t="s">
        <v>773</v>
      </c>
      <c r="C37" s="3838"/>
      <c r="D37" s="3784"/>
      <c r="E37" s="3784"/>
      <c r="F37" s="3785"/>
      <c r="G37" s="234"/>
      <c r="H37" s="1571"/>
      <c r="I37" s="1617"/>
      <c r="J37" s="238"/>
      <c r="K37" s="1588"/>
      <c r="L37" s="1617"/>
      <c r="M37" s="239"/>
      <c r="N37" s="1588"/>
      <c r="O37" s="1617"/>
    </row>
    <row r="38" spans="1:18" s="1" customFormat="1" ht="20.100000000000001" customHeight="1" x14ac:dyDescent="0.3">
      <c r="A38" s="814"/>
      <c r="B38" s="3867" t="s">
        <v>395</v>
      </c>
      <c r="C38" s="3868"/>
      <c r="D38" s="3834"/>
      <c r="E38" s="3834"/>
      <c r="F38" s="3835"/>
      <c r="G38" s="1551"/>
      <c r="H38" s="1572"/>
      <c r="I38" s="1618"/>
      <c r="J38" s="238"/>
      <c r="K38" s="1572"/>
      <c r="L38" s="1618"/>
      <c r="M38" s="239"/>
      <c r="N38" s="1572"/>
      <c r="O38" s="1618"/>
    </row>
    <row r="39" spans="1:18" s="1" customFormat="1" ht="21.9" customHeight="1" x14ac:dyDescent="0.3">
      <c r="A39" s="814"/>
      <c r="B39" s="3771" t="s">
        <v>776</v>
      </c>
      <c r="C39" s="3772"/>
      <c r="D39" s="3773"/>
      <c r="E39" s="3773"/>
      <c r="F39" s="3430"/>
      <c r="G39" s="234"/>
      <c r="H39" s="1592">
        <f>fw_5-H36-H37-H38</f>
        <v>0</v>
      </c>
      <c r="I39" s="1611" t="str">
        <f>IF(ISERROR(H39/pr_5)," ",H39/pr_5)</f>
        <v xml:space="preserve"> </v>
      </c>
      <c r="J39" s="232"/>
      <c r="K39" s="1592">
        <f>fw_6-K36-K37-K38</f>
        <v>0</v>
      </c>
      <c r="L39" s="1611" t="str">
        <f>IF(ISERROR(K39/pr_6)," ",K39/pr_6)</f>
        <v xml:space="preserve"> </v>
      </c>
      <c r="M39" s="232"/>
      <c r="N39" s="1592">
        <f>fw_7-N36-N37-N38</f>
        <v>0</v>
      </c>
      <c r="O39" s="1611" t="str">
        <f>IF(ISERROR(N39/pr_7)," ",N39/pr_7)</f>
        <v xml:space="preserve"> </v>
      </c>
    </row>
    <row r="40" spans="1:18" ht="21.9" customHeight="1" x14ac:dyDescent="0.3">
      <c r="A40" s="814"/>
      <c r="B40" s="3786" t="s">
        <v>37</v>
      </c>
      <c r="C40" s="3787"/>
      <c r="D40" s="3369"/>
      <c r="E40" s="3369"/>
      <c r="F40" s="3788"/>
      <c r="G40" s="187"/>
      <c r="H40" s="1565">
        <f>pr_5-H23-H30-H39</f>
        <v>0</v>
      </c>
      <c r="I40" s="1612" t="str">
        <f>IF(ISERROR(H40/pr_5)," ",H40/pr_5)</f>
        <v xml:space="preserve"> </v>
      </c>
      <c r="J40" s="233"/>
      <c r="K40" s="1565">
        <f>pr_6-K23-K30-K39</f>
        <v>0</v>
      </c>
      <c r="L40" s="1612" t="str">
        <f>IF(ISERROR(K40/pr_6)," ",K40/pr_6)</f>
        <v xml:space="preserve"> </v>
      </c>
      <c r="M40" s="233"/>
      <c r="N40" s="1565">
        <f>pr_7-N23-N30-N39</f>
        <v>0</v>
      </c>
      <c r="O40" s="1612" t="str">
        <f>IF(ISERROR(N40/pr_7)," ",N40/pr_7)</f>
        <v xml:space="preserve"> </v>
      </c>
    </row>
    <row r="41" spans="1:18" s="1" customFormat="1" ht="3" hidden="1" customHeight="1" x14ac:dyDescent="0.3">
      <c r="A41" s="817" t="s">
        <v>607</v>
      </c>
      <c r="B41" s="1555"/>
      <c r="C41" s="4"/>
      <c r="D41" s="4"/>
      <c r="E41" s="4"/>
      <c r="F41" s="1556"/>
      <c r="G41" s="234"/>
      <c r="H41" s="1573">
        <f>H39-H34</f>
        <v>0</v>
      </c>
      <c r="I41" s="1619"/>
      <c r="J41" s="538"/>
      <c r="K41" s="1573">
        <f>K39-K34</f>
        <v>0</v>
      </c>
      <c r="L41" s="1619"/>
      <c r="M41" s="539"/>
      <c r="N41" s="1573">
        <f>N39-N34</f>
        <v>0</v>
      </c>
      <c r="O41" s="1607"/>
    </row>
    <row r="42" spans="1:18" ht="20.100000000000001" customHeight="1" x14ac:dyDescent="0.3">
      <c r="A42" s="815"/>
      <c r="B42" s="3806" t="s">
        <v>44</v>
      </c>
      <c r="C42" s="3807"/>
      <c r="D42" s="3808"/>
      <c r="E42" s="3808"/>
      <c r="F42" s="3809"/>
      <c r="G42" s="234"/>
      <c r="H42" s="1594"/>
      <c r="I42" s="1620"/>
      <c r="J42" s="232"/>
      <c r="K42" s="1579"/>
      <c r="L42" s="1620"/>
      <c r="M42" s="237"/>
      <c r="N42" s="1579"/>
      <c r="O42" s="1620"/>
    </row>
    <row r="43" spans="1:18" s="236" customFormat="1" ht="20.100000000000001" customHeight="1" x14ac:dyDescent="0.3">
      <c r="A43" s="817" t="s">
        <v>607</v>
      </c>
      <c r="B43" s="3782" t="s">
        <v>45</v>
      </c>
      <c r="C43" s="3783"/>
      <c r="D43" s="3784"/>
      <c r="E43" s="3784"/>
      <c r="F43" s="3785"/>
      <c r="G43" s="234"/>
      <c r="H43" s="1563"/>
      <c r="I43" s="1610"/>
      <c r="J43" s="232"/>
      <c r="K43" s="1563"/>
      <c r="L43" s="1610"/>
      <c r="M43" s="237"/>
      <c r="N43" s="1563"/>
      <c r="O43" s="1610"/>
    </row>
    <row r="44" spans="1:18" s="1" customFormat="1" ht="20.100000000000001" customHeight="1" x14ac:dyDescent="0.3">
      <c r="A44" s="817" t="s">
        <v>607</v>
      </c>
      <c r="B44" s="3782" t="s">
        <v>293</v>
      </c>
      <c r="C44" s="3783"/>
      <c r="D44" s="3784"/>
      <c r="E44" s="3784"/>
      <c r="F44" s="3785"/>
      <c r="G44" s="234"/>
      <c r="H44" s="1563"/>
      <c r="I44" s="1610"/>
      <c r="J44" s="232"/>
      <c r="K44" s="1563"/>
      <c r="L44" s="1610"/>
      <c r="M44" s="237"/>
      <c r="N44" s="1563"/>
      <c r="O44" s="1610"/>
      <c r="P44" s="203"/>
      <c r="Q44" s="236"/>
    </row>
    <row r="45" spans="1:18" s="243" customFormat="1" ht="20.100000000000001" customHeight="1" x14ac:dyDescent="0.3">
      <c r="A45" s="817" t="s">
        <v>608</v>
      </c>
      <c r="B45" s="3803" t="s">
        <v>58</v>
      </c>
      <c r="C45" s="3804"/>
      <c r="D45" s="3363"/>
      <c r="E45" s="3363"/>
      <c r="F45" s="3805"/>
      <c r="G45" s="1552"/>
      <c r="H45" s="1574">
        <f>H38</f>
        <v>0</v>
      </c>
      <c r="I45" s="1621"/>
      <c r="J45" s="241"/>
      <c r="K45" s="1574">
        <f>K38</f>
        <v>0</v>
      </c>
      <c r="L45" s="1621"/>
      <c r="M45" s="242"/>
      <c r="N45" s="1574">
        <f>N38</f>
        <v>0</v>
      </c>
      <c r="O45" s="1621"/>
    </row>
    <row r="46" spans="1:18" s="1" customFormat="1" ht="20.100000000000001" customHeight="1" x14ac:dyDescent="0.3">
      <c r="A46" s="813"/>
      <c r="B46" s="3882" t="s">
        <v>169</v>
      </c>
      <c r="C46" s="3883"/>
      <c r="D46" s="3859"/>
      <c r="E46" s="3859"/>
      <c r="F46" s="3884"/>
      <c r="G46" s="1553"/>
      <c r="H46" s="1593">
        <f>SUM(H44:H45)</f>
        <v>0</v>
      </c>
      <c r="I46" s="1622" t="str">
        <f>IF(ISERROR(H46/pr_5)," ",H46/pr_5)</f>
        <v xml:space="preserve"> </v>
      </c>
      <c r="J46" s="232"/>
      <c r="K46" s="1593">
        <f>SUM(K44:K45)</f>
        <v>0</v>
      </c>
      <c r="L46" s="1622" t="str">
        <f>IF(ISERROR(K46/pr_6)," ",K46/pr_6)</f>
        <v xml:space="preserve"> </v>
      </c>
      <c r="M46" s="232"/>
      <c r="N46" s="1593">
        <f>SUM(N44:N45)</f>
        <v>0</v>
      </c>
      <c r="O46" s="1622" t="str">
        <f>IF(ISERROR(N46/pr_7)," ",N46/pr_7)</f>
        <v xml:space="preserve"> </v>
      </c>
      <c r="P46" s="659"/>
      <c r="Q46" s="659"/>
      <c r="R46" s="659"/>
    </row>
    <row r="47" spans="1:18" s="1" customFormat="1" ht="20.100000000000001" customHeight="1" x14ac:dyDescent="0.3">
      <c r="A47" s="813"/>
      <c r="B47" s="3789" t="s">
        <v>190</v>
      </c>
      <c r="C47" s="3790"/>
      <c r="D47" s="3791"/>
      <c r="E47" s="3791"/>
      <c r="F47" s="3792"/>
      <c r="G47" s="234"/>
      <c r="H47" s="1575"/>
      <c r="I47" s="1623"/>
      <c r="J47" s="232"/>
      <c r="K47" s="1575"/>
      <c r="L47" s="1623"/>
      <c r="M47" s="237"/>
      <c r="N47" s="1575"/>
      <c r="O47" s="1623"/>
    </row>
    <row r="48" spans="1:18" ht="20.100000000000001" customHeight="1" x14ac:dyDescent="0.3">
      <c r="A48" s="814"/>
      <c r="B48" s="3827" t="s">
        <v>63</v>
      </c>
      <c r="C48" s="3828"/>
      <c r="D48" s="3834"/>
      <c r="E48" s="3834"/>
      <c r="F48" s="3835"/>
      <c r="G48" s="234"/>
      <c r="H48" s="1564"/>
      <c r="I48" s="1608"/>
      <c r="J48" s="232"/>
      <c r="K48" s="1564"/>
      <c r="L48" s="1608"/>
      <c r="M48" s="237"/>
      <c r="N48" s="1564"/>
      <c r="O48" s="1608"/>
    </row>
    <row r="49" spans="1:15" ht="20.100000000000001" customHeight="1" x14ac:dyDescent="0.3">
      <c r="A49" s="814"/>
      <c r="B49" s="3827" t="s">
        <v>64</v>
      </c>
      <c r="C49" s="3828"/>
      <c r="D49" s="3834"/>
      <c r="E49" s="3834"/>
      <c r="F49" s="3835"/>
      <c r="G49" s="234"/>
      <c r="H49" s="1564"/>
      <c r="I49" s="1608"/>
      <c r="J49" s="232"/>
      <c r="K49" s="1564"/>
      <c r="L49" s="1608"/>
      <c r="M49" s="237"/>
      <c r="N49" s="1564"/>
      <c r="O49" s="1608"/>
    </row>
    <row r="50" spans="1:15" ht="20.100000000000001" customHeight="1" x14ac:dyDescent="0.3">
      <c r="A50" s="815"/>
      <c r="B50" s="3876" t="s">
        <v>62</v>
      </c>
      <c r="C50" s="3877"/>
      <c r="D50" s="3967"/>
      <c r="E50" s="3967"/>
      <c r="F50" s="3968"/>
      <c r="G50" s="234"/>
      <c r="H50" s="1595"/>
      <c r="I50" s="1624"/>
      <c r="J50" s="232"/>
      <c r="K50" s="1595"/>
      <c r="L50" s="1624"/>
      <c r="M50" s="237"/>
      <c r="N50" s="1595"/>
      <c r="O50" s="1624"/>
    </row>
    <row r="51" spans="1:15" ht="20.100000000000001" customHeight="1" x14ac:dyDescent="0.3">
      <c r="A51" s="815"/>
      <c r="B51" s="3812" t="s">
        <v>871</v>
      </c>
      <c r="C51" s="3838"/>
      <c r="D51" s="3784"/>
      <c r="E51" s="3784"/>
      <c r="F51" s="3785"/>
      <c r="G51" s="234"/>
      <c r="H51" s="1571"/>
      <c r="I51" s="1617"/>
      <c r="J51" s="238"/>
      <c r="K51" s="1588"/>
      <c r="L51" s="1617"/>
      <c r="M51" s="239"/>
      <c r="N51" s="1588"/>
      <c r="O51" s="1617"/>
    </row>
    <row r="52" spans="1:15" s="235" customFormat="1" ht="20.100000000000001" customHeight="1" x14ac:dyDescent="0.3">
      <c r="A52" s="813"/>
      <c r="B52" s="3827" t="s">
        <v>65</v>
      </c>
      <c r="C52" s="3828"/>
      <c r="D52" s="3834"/>
      <c r="E52" s="3834"/>
      <c r="F52" s="3835"/>
      <c r="G52" s="234"/>
      <c r="H52" s="1566"/>
      <c r="I52" s="1607"/>
      <c r="J52" s="232"/>
      <c r="K52" s="1566"/>
      <c r="L52" s="1607"/>
      <c r="M52" s="237"/>
      <c r="N52" s="1566"/>
      <c r="O52" s="1607"/>
    </row>
    <row r="53" spans="1:15" s="1" customFormat="1" ht="21.9" customHeight="1" x14ac:dyDescent="0.3">
      <c r="A53" s="814"/>
      <c r="B53" s="3885" t="s">
        <v>43</v>
      </c>
      <c r="C53" s="3886"/>
      <c r="D53" s="3887"/>
      <c r="E53" s="3887"/>
      <c r="F53" s="3888"/>
      <c r="G53" s="187"/>
      <c r="H53" s="1576">
        <f>H40+H42-H43-H46+H47+H48+H49-H50+H51-H52</f>
        <v>0</v>
      </c>
      <c r="I53" s="1625" t="str">
        <f>IF(ISERROR(H53/pr_5)," ",H53/pr_5)</f>
        <v xml:space="preserve"> </v>
      </c>
      <c r="J53" s="233"/>
      <c r="K53" s="1576">
        <f>K40+K42-K43-K46+K47+K48+K49-K50+K51-K52</f>
        <v>0</v>
      </c>
      <c r="L53" s="1625" t="str">
        <f>IF(ISERROR(K53/pr_6)," ",K53/pr_6)</f>
        <v xml:space="preserve"> </v>
      </c>
      <c r="M53" s="233"/>
      <c r="N53" s="1576">
        <f>N40+N42-N43-N46+N47+N48+N49-N50+N51-N52</f>
        <v>0</v>
      </c>
      <c r="O53" s="1625" t="str">
        <f>IF(ISERROR(N53/pr_7)," ",N53/pr_7)</f>
        <v xml:space="preserve"> </v>
      </c>
    </row>
    <row r="54" spans="1:15" s="235" customFormat="1" ht="20.100000000000001" customHeight="1" x14ac:dyDescent="0.3">
      <c r="A54" s="814"/>
      <c r="B54" s="3806" t="s">
        <v>60</v>
      </c>
      <c r="C54" s="3807"/>
      <c r="D54" s="3808"/>
      <c r="E54" s="3808"/>
      <c r="F54" s="3809"/>
      <c r="G54" s="234"/>
      <c r="H54" s="1594"/>
      <c r="I54" s="1620"/>
      <c r="J54" s="232"/>
      <c r="K54" s="1594"/>
      <c r="L54" s="1620"/>
      <c r="M54" s="237"/>
      <c r="N54" s="1594"/>
      <c r="O54" s="1620"/>
    </row>
    <row r="55" spans="1:15" s="235" customFormat="1" ht="20.100000000000001" customHeight="1" x14ac:dyDescent="0.3">
      <c r="A55" s="814"/>
      <c r="B55" s="3950" t="s">
        <v>61</v>
      </c>
      <c r="C55" s="3951"/>
      <c r="D55" s="3784"/>
      <c r="E55" s="3784"/>
      <c r="F55" s="3785"/>
      <c r="G55" s="234"/>
      <c r="H55" s="1577">
        <f>ROUND((hp_5*0.75)+(hq_5*0.6),0)</f>
        <v>0</v>
      </c>
      <c r="I55" s="1610"/>
      <c r="J55" s="232"/>
      <c r="K55" s="1577">
        <f>ROUND((hp_6*0.75)+(hq_6*0.6),0)</f>
        <v>0</v>
      </c>
      <c r="L55" s="1610"/>
      <c r="M55" s="237"/>
      <c r="N55" s="1577">
        <f>ROUND((hp_7*0.75)+(hq_7*0.6),0)</f>
        <v>0</v>
      </c>
      <c r="O55" s="1610"/>
    </row>
    <row r="56" spans="1:15" s="235" customFormat="1" ht="20.100000000000001" customHeight="1" x14ac:dyDescent="0.3">
      <c r="A56" s="814"/>
      <c r="B56" s="1557" t="s">
        <v>873</v>
      </c>
      <c r="C56" s="2460"/>
      <c r="D56" s="856"/>
      <c r="E56" s="856"/>
      <c r="F56" s="1558"/>
      <c r="G56" s="234"/>
      <c r="H56" s="1578">
        <f>H51</f>
        <v>0</v>
      </c>
      <c r="I56" s="1626"/>
      <c r="J56" s="48"/>
      <c r="K56" s="1578">
        <f>K51</f>
        <v>0</v>
      </c>
      <c r="L56" s="1626"/>
      <c r="M56" s="48"/>
      <c r="N56" s="1578">
        <f>N51</f>
        <v>0</v>
      </c>
      <c r="O56" s="1626"/>
    </row>
    <row r="57" spans="1:15" s="1" customFormat="1" ht="21.9" customHeight="1" x14ac:dyDescent="0.3">
      <c r="A57" s="813"/>
      <c r="B57" s="3786" t="s">
        <v>38</v>
      </c>
      <c r="C57" s="3787"/>
      <c r="D57" s="3369"/>
      <c r="E57" s="3369"/>
      <c r="F57" s="3788"/>
      <c r="G57" s="187"/>
      <c r="H57" s="1565">
        <f>H53-H54-H55-H56</f>
        <v>0</v>
      </c>
      <c r="I57" s="1612" t="str">
        <f>IF(ISERROR(H57/pr_5)," ",H57/pr_5)</f>
        <v xml:space="preserve"> </v>
      </c>
      <c r="J57" s="233"/>
      <c r="K57" s="1565">
        <f>K53-K54-K55-K56</f>
        <v>0</v>
      </c>
      <c r="L57" s="1612" t="str">
        <f>IF(ISERROR(K57/pr_6)," ",K57/pr_6)</f>
        <v xml:space="preserve"> </v>
      </c>
      <c r="M57" s="233"/>
      <c r="N57" s="1565">
        <f>N53-N54-N55-N56</f>
        <v>0</v>
      </c>
      <c r="O57" s="1612" t="str">
        <f>IF(ISERROR(N57/pr_7)," ",N57/pr_7)</f>
        <v xml:space="preserve"> </v>
      </c>
    </row>
    <row r="58" spans="1:15" s="542" customFormat="1" ht="20.25" hidden="1" customHeight="1" x14ac:dyDescent="0.3">
      <c r="A58" s="817" t="s">
        <v>607</v>
      </c>
      <c r="B58" s="1559"/>
      <c r="C58" s="540"/>
      <c r="D58" s="540"/>
      <c r="E58" s="540"/>
      <c r="F58" s="1560"/>
      <c r="G58" s="537"/>
      <c r="H58" s="1582">
        <f>ga_5+H55+H50+H52-H47-H48-H49</f>
        <v>0</v>
      </c>
      <c r="I58" s="1619"/>
      <c r="J58" s="538"/>
      <c r="K58" s="1582">
        <f>ga_6+K55+K50+K52-K47-K48-K49</f>
        <v>0</v>
      </c>
      <c r="L58" s="1619"/>
      <c r="M58" s="539"/>
      <c r="N58" s="1582">
        <f>ga_7+N55+N50+N52-N47-N48-N49</f>
        <v>0</v>
      </c>
      <c r="O58" s="1619"/>
    </row>
    <row r="59" spans="1:15" ht="20.100000000000001" customHeight="1" x14ac:dyDescent="0.3">
      <c r="A59" s="814"/>
      <c r="B59" s="3806" t="s">
        <v>774</v>
      </c>
      <c r="C59" s="3807"/>
      <c r="D59" s="3840"/>
      <c r="E59" s="3840"/>
      <c r="F59" s="3841"/>
      <c r="G59" s="234"/>
      <c r="H59" s="1579"/>
      <c r="I59" s="1620"/>
      <c r="J59" s="232"/>
      <c r="K59" s="1579"/>
      <c r="L59" s="1620"/>
      <c r="M59" s="237"/>
      <c r="N59" s="1579"/>
      <c r="O59" s="1620"/>
    </row>
    <row r="60" spans="1:15" ht="20.100000000000001" customHeight="1" x14ac:dyDescent="0.3">
      <c r="A60" s="814"/>
      <c r="B60" s="3782" t="s">
        <v>775</v>
      </c>
      <c r="C60" s="3783"/>
      <c r="D60" s="3784"/>
      <c r="E60" s="3784"/>
      <c r="F60" s="3785"/>
      <c r="G60" s="234"/>
      <c r="H60" s="1563"/>
      <c r="I60" s="1610"/>
      <c r="J60" s="232"/>
      <c r="K60" s="1563"/>
      <c r="L60" s="1610"/>
      <c r="M60" s="237"/>
      <c r="N60" s="1563"/>
      <c r="O60" s="1610"/>
    </row>
    <row r="61" spans="1:15" s="1" customFormat="1" ht="20.100000000000001" customHeight="1" x14ac:dyDescent="0.3">
      <c r="A61" s="813"/>
      <c r="B61" s="3827" t="s">
        <v>260</v>
      </c>
      <c r="C61" s="3828"/>
      <c r="D61" s="3829"/>
      <c r="E61" s="3829"/>
      <c r="F61" s="3830"/>
      <c r="G61" s="234"/>
      <c r="H61" s="1564"/>
      <c r="I61" s="1608"/>
      <c r="J61" s="232"/>
      <c r="K61" s="1564"/>
      <c r="L61" s="1608"/>
      <c r="M61" s="237"/>
      <c r="N61" s="1564"/>
      <c r="O61" s="1608"/>
    </row>
    <row r="62" spans="1:15" s="235" customFormat="1" ht="20.100000000000001" customHeight="1" x14ac:dyDescent="0.3">
      <c r="A62" s="814"/>
      <c r="B62" s="3876" t="s">
        <v>70</v>
      </c>
      <c r="C62" s="3877"/>
      <c r="D62" s="3878"/>
      <c r="E62" s="3878"/>
      <c r="F62" s="3879"/>
      <c r="G62" s="234"/>
      <c r="H62" s="1595"/>
      <c r="I62" s="1624"/>
      <c r="J62" s="232"/>
      <c r="K62" s="1595"/>
      <c r="L62" s="1624"/>
      <c r="M62" s="237"/>
      <c r="N62" s="1595"/>
      <c r="O62" s="1624"/>
    </row>
    <row r="63" spans="1:15" s="235" customFormat="1" ht="20.100000000000001" customHeight="1" x14ac:dyDescent="0.3">
      <c r="A63" s="814"/>
      <c r="B63" s="3952" t="s">
        <v>71</v>
      </c>
      <c r="C63" s="3953"/>
      <c r="D63" s="3834"/>
      <c r="E63" s="3834"/>
      <c r="F63" s="3835"/>
      <c r="G63" s="234"/>
      <c r="H63" s="1580">
        <f>H36+H37-H55</f>
        <v>0</v>
      </c>
      <c r="I63" s="1608"/>
      <c r="J63" s="232"/>
      <c r="K63" s="1580">
        <f>K36+K37-K55</f>
        <v>0</v>
      </c>
      <c r="L63" s="1608"/>
      <c r="M63" s="237"/>
      <c r="N63" s="1580">
        <f>N36+N37-N55</f>
        <v>0</v>
      </c>
      <c r="O63" s="1608"/>
    </row>
    <row r="64" spans="1:15" s="235" customFormat="1" ht="20.100000000000001" customHeight="1" x14ac:dyDescent="0.3">
      <c r="A64" s="814"/>
      <c r="B64" s="3954" t="s">
        <v>361</v>
      </c>
      <c r="C64" s="3955"/>
      <c r="D64" s="3956"/>
      <c r="E64" s="3859"/>
      <c r="F64" s="3884"/>
      <c r="G64" s="234"/>
      <c r="H64" s="1596">
        <f>H63+H62-H60</f>
        <v>0</v>
      </c>
      <c r="I64" s="1627"/>
      <c r="J64" s="58"/>
      <c r="K64" s="1596">
        <f>K63+K62-K60</f>
        <v>0</v>
      </c>
      <c r="L64" s="1627"/>
      <c r="M64" s="66"/>
      <c r="N64" s="1596">
        <f>N63+N62-N60</f>
        <v>0</v>
      </c>
      <c r="O64" s="1627"/>
    </row>
    <row r="65" spans="1:16" ht="20.100000000000001" customHeight="1" x14ac:dyDescent="0.3">
      <c r="A65" s="815"/>
      <c r="B65" s="3758" t="s">
        <v>68</v>
      </c>
      <c r="C65" s="3759"/>
      <c r="D65" s="3880"/>
      <c r="E65" s="3880"/>
      <c r="F65" s="3881"/>
      <c r="G65" s="234"/>
      <c r="H65" s="1566"/>
      <c r="I65" s="1607"/>
      <c r="J65" s="232"/>
      <c r="K65" s="1566"/>
      <c r="L65" s="1607"/>
      <c r="M65" s="237"/>
      <c r="N65" s="1566"/>
      <c r="O65" s="1607"/>
    </row>
    <row r="66" spans="1:16" ht="21.9" customHeight="1" x14ac:dyDescent="0.3">
      <c r="A66" s="815"/>
      <c r="B66" s="3822" t="s">
        <v>384</v>
      </c>
      <c r="C66" s="3823"/>
      <c r="D66" s="3824"/>
      <c r="E66" s="3824"/>
      <c r="F66" s="3825"/>
      <c r="G66" s="234"/>
      <c r="H66" s="1581">
        <f>H59+H60+H61-H62-H63-H65</f>
        <v>0</v>
      </c>
      <c r="I66" s="1628" t="str">
        <f>IF(ISERROR(H66/pr_5)," ",H66/pr_5)</f>
        <v xml:space="preserve"> </v>
      </c>
      <c r="J66" s="233"/>
      <c r="K66" s="1581">
        <f>K59+K60+K61-K62-K63-K65</f>
        <v>0</v>
      </c>
      <c r="L66" s="1628" t="str">
        <f>IF(ISERROR(K66/pr_6)," ",K66/pr_6)</f>
        <v xml:space="preserve"> </v>
      </c>
      <c r="M66" s="233"/>
      <c r="N66" s="1581">
        <f>N59+N60+N61-N62-N63-N65</f>
        <v>0</v>
      </c>
      <c r="O66" s="1628" t="str">
        <f>IF(ISERROR(N66/pr_7)," ",N66/pr_7)</f>
        <v xml:space="preserve"> </v>
      </c>
    </row>
    <row r="67" spans="1:16" s="542" customFormat="1" ht="21.9" hidden="1" customHeight="1" x14ac:dyDescent="0.3">
      <c r="A67" s="817" t="s">
        <v>607</v>
      </c>
      <c r="B67" s="1561"/>
      <c r="C67" s="2461"/>
      <c r="D67" s="543"/>
      <c r="E67" s="543"/>
      <c r="F67" s="1560"/>
      <c r="G67" s="537"/>
      <c r="H67" s="1582">
        <f>H66/-1</f>
        <v>0</v>
      </c>
      <c r="I67" s="1619"/>
      <c r="J67" s="538"/>
      <c r="K67" s="1582">
        <f>K66/-1</f>
        <v>0</v>
      </c>
      <c r="L67" s="1619"/>
      <c r="M67" s="539"/>
      <c r="N67" s="1582">
        <f>N66/-1</f>
        <v>0</v>
      </c>
      <c r="O67" s="1619"/>
    </row>
    <row r="68" spans="1:16" s="1" customFormat="1" ht="21.9" customHeight="1" x14ac:dyDescent="0.3">
      <c r="A68" s="815"/>
      <c r="B68" s="3889" t="s">
        <v>42</v>
      </c>
      <c r="C68" s="3890"/>
      <c r="D68" s="3891"/>
      <c r="E68" s="3891"/>
      <c r="F68" s="3892"/>
      <c r="G68" s="187"/>
      <c r="H68" s="1604">
        <f>H57+H66</f>
        <v>0</v>
      </c>
      <c r="I68" s="1629" t="str">
        <f>IF(ISERROR(H68/pr_5)," ",H68/pr_5)</f>
        <v xml:space="preserve"> </v>
      </c>
      <c r="J68" s="233"/>
      <c r="K68" s="1604">
        <f>K57+K66</f>
        <v>0</v>
      </c>
      <c r="L68" s="1629" t="str">
        <f>IF(ISERROR(K68/pr_6)," ",K68/pr_6)</f>
        <v xml:space="preserve"> </v>
      </c>
      <c r="M68" s="233"/>
      <c r="N68" s="1604">
        <f>N57+N66</f>
        <v>0</v>
      </c>
      <c r="O68" s="1629" t="str">
        <f>IF(ISERROR(N68/pr_7)," ",N68/pr_7)</f>
        <v xml:space="preserve"> </v>
      </c>
    </row>
    <row r="69" spans="1:16" ht="20.100000000000001" customHeight="1" x14ac:dyDescent="0.3">
      <c r="A69" s="814"/>
      <c r="B69" s="3789" t="s">
        <v>291</v>
      </c>
      <c r="C69" s="3790"/>
      <c r="D69" s="3874"/>
      <c r="E69" s="3874"/>
      <c r="F69" s="3875"/>
      <c r="G69" s="234"/>
      <c r="H69" s="1566"/>
      <c r="I69" s="1607"/>
      <c r="J69" s="232"/>
      <c r="K69" s="1566"/>
      <c r="L69" s="1607"/>
      <c r="M69" s="237"/>
      <c r="N69" s="1566"/>
      <c r="O69" s="1607"/>
    </row>
    <row r="70" spans="1:16" s="1" customFormat="1" ht="20.100000000000001" customHeight="1" x14ac:dyDescent="0.3">
      <c r="A70" s="813"/>
      <c r="B70" s="3782" t="s">
        <v>292</v>
      </c>
      <c r="C70" s="3783"/>
      <c r="D70" s="3814"/>
      <c r="E70" s="3814"/>
      <c r="F70" s="3815"/>
      <c r="G70" s="234"/>
      <c r="H70" s="1563"/>
      <c r="I70" s="1610"/>
      <c r="J70" s="232"/>
      <c r="K70" s="1563"/>
      <c r="L70" s="1610"/>
      <c r="M70" s="237"/>
      <c r="N70" s="1563"/>
      <c r="O70" s="1610"/>
    </row>
    <row r="71" spans="1:16" s="1" customFormat="1" ht="20.100000000000001" customHeight="1" x14ac:dyDescent="0.3">
      <c r="A71" s="813"/>
      <c r="B71" s="3812" t="s">
        <v>1284</v>
      </c>
      <c r="C71" s="3813"/>
      <c r="D71" s="3814"/>
      <c r="E71" s="3814"/>
      <c r="F71" s="3815"/>
      <c r="G71" s="234"/>
      <c r="H71" s="1571"/>
      <c r="I71" s="1610"/>
      <c r="J71" s="232"/>
      <c r="K71" s="1571"/>
      <c r="L71" s="1610"/>
      <c r="M71" s="237"/>
      <c r="N71" s="1571"/>
      <c r="O71" s="1610"/>
      <c r="P71" s="12"/>
    </row>
    <row r="72" spans="1:16" s="1" customFormat="1" ht="20.100000000000001" customHeight="1" x14ac:dyDescent="0.3">
      <c r="A72" s="813"/>
      <c r="B72" s="3812" t="s">
        <v>1023</v>
      </c>
      <c r="C72" s="3838"/>
      <c r="D72" s="3814"/>
      <c r="E72" s="3814"/>
      <c r="F72" s="3815"/>
      <c r="G72" s="234"/>
      <c r="H72" s="1571"/>
      <c r="I72" s="1610"/>
      <c r="J72" s="232"/>
      <c r="K72" s="1571"/>
      <c r="L72" s="1610"/>
      <c r="M72" s="237"/>
      <c r="N72" s="1571"/>
      <c r="O72" s="1610"/>
      <c r="P72" s="12"/>
    </row>
    <row r="73" spans="1:16" s="1" customFormat="1" ht="20.100000000000001" customHeight="1" x14ac:dyDescent="0.3">
      <c r="A73" s="813"/>
      <c r="B73" s="3826" t="s">
        <v>449</v>
      </c>
      <c r="C73" s="3813"/>
      <c r="D73" s="3814"/>
      <c r="E73" s="3814"/>
      <c r="F73" s="3815"/>
      <c r="G73" s="234"/>
      <c r="H73" s="1571"/>
      <c r="I73" s="1610"/>
      <c r="J73" s="232"/>
      <c r="K73" s="1571"/>
      <c r="L73" s="1610"/>
      <c r="M73" s="237"/>
      <c r="N73" s="1571"/>
      <c r="O73" s="1610"/>
      <c r="P73" s="12"/>
    </row>
    <row r="74" spans="1:16" s="1" customFormat="1" ht="20.100000000000001" customHeight="1" x14ac:dyDescent="0.3">
      <c r="A74" s="813"/>
      <c r="B74" s="3812" t="s">
        <v>816</v>
      </c>
      <c r="C74" s="3838"/>
      <c r="D74" s="3814"/>
      <c r="E74" s="3814"/>
      <c r="F74" s="3815"/>
      <c r="G74" s="234"/>
      <c r="H74" s="1571"/>
      <c r="I74" s="1610"/>
      <c r="J74" s="232"/>
      <c r="K74" s="1571"/>
      <c r="L74" s="1610"/>
      <c r="M74" s="237"/>
      <c r="N74" s="1571"/>
      <c r="O74" s="1610"/>
      <c r="P74" s="12"/>
    </row>
    <row r="75" spans="1:16" s="1" customFormat="1" ht="20.100000000000001" customHeight="1" x14ac:dyDescent="0.3">
      <c r="A75" s="814"/>
      <c r="B75" s="3782" t="s">
        <v>74</v>
      </c>
      <c r="C75" s="3783"/>
      <c r="D75" s="3814"/>
      <c r="E75" s="3814"/>
      <c r="F75" s="3815"/>
      <c r="G75" s="234"/>
      <c r="H75" s="1563"/>
      <c r="I75" s="1610"/>
      <c r="J75" s="232"/>
      <c r="K75" s="1563"/>
      <c r="L75" s="1610"/>
      <c r="M75" s="237"/>
      <c r="N75" s="1563"/>
      <c r="O75" s="1610"/>
    </row>
    <row r="76" spans="1:16" s="1" customFormat="1" ht="20.100000000000001" customHeight="1" x14ac:dyDescent="0.3">
      <c r="A76" s="814"/>
      <c r="B76" s="3961" t="s">
        <v>75</v>
      </c>
      <c r="C76" s="3962"/>
      <c r="D76" s="3965"/>
      <c r="E76" s="3965"/>
      <c r="F76" s="3966"/>
      <c r="G76" s="234"/>
      <c r="H76" s="1583"/>
      <c r="I76" s="1607"/>
      <c r="J76" s="232"/>
      <c r="K76" s="1583"/>
      <c r="L76" s="1607"/>
      <c r="M76" s="237"/>
      <c r="N76" s="1583"/>
      <c r="O76" s="1607"/>
    </row>
    <row r="77" spans="1:16" ht="21.9" customHeight="1" x14ac:dyDescent="0.3">
      <c r="A77" s="813"/>
      <c r="B77" s="3941" t="s">
        <v>439</v>
      </c>
      <c r="C77" s="3942"/>
      <c r="D77" s="3943"/>
      <c r="E77" s="3943"/>
      <c r="F77" s="3944"/>
      <c r="G77" s="187"/>
      <c r="H77" s="1584">
        <f>H68+H69+H70-H75-H76</f>
        <v>0</v>
      </c>
      <c r="I77" s="1605" t="str">
        <f>IF(ISERROR(H77/pr_5)," ",H77/pr_5)</f>
        <v xml:space="preserve"> </v>
      </c>
      <c r="J77" s="233"/>
      <c r="K77" s="1589">
        <f>K68+K69+K70-K75-K76</f>
        <v>0</v>
      </c>
      <c r="L77" s="1605" t="str">
        <f>IF(ISERROR(K77/pr_6)," ",K77/pr_6)</f>
        <v xml:space="preserve"> </v>
      </c>
      <c r="M77" s="233"/>
      <c r="N77" s="1584">
        <f>N68+N69+N70-N75-N76</f>
        <v>0</v>
      </c>
      <c r="O77" s="1605" t="str">
        <f>IF(ISERROR(N77/pr_7)," ",N77/pr_7)</f>
        <v xml:space="preserve"> </v>
      </c>
    </row>
    <row r="78" spans="1:16" ht="21.9" customHeight="1" x14ac:dyDescent="0.3">
      <c r="A78" s="813"/>
      <c r="B78" s="3818" t="s">
        <v>440</v>
      </c>
      <c r="C78" s="3819"/>
      <c r="D78" s="3820"/>
      <c r="E78" s="3820"/>
      <c r="F78" s="3821"/>
      <c r="G78" s="1554"/>
      <c r="H78" s="1585">
        <f>H77+H54+H50-H47-H61+H65-H70+H72+H74</f>
        <v>0</v>
      </c>
      <c r="I78" s="1606" t="str">
        <f>IF(ISERROR(H78/pr_5)," ",H78/pr_5)</f>
        <v xml:space="preserve"> </v>
      </c>
      <c r="J78" s="72"/>
      <c r="K78" s="1590">
        <f>K77+K54+K50-K47-K61+K65-K70+K72+K74</f>
        <v>0</v>
      </c>
      <c r="L78" s="1606" t="str">
        <f>IF(ISERROR(K78/pr_6)," ",K78/pr_6)</f>
        <v xml:space="preserve"> </v>
      </c>
      <c r="M78" s="72"/>
      <c r="N78" s="1590">
        <f>N77+N54+N50-N47-N61+N65-N70+N72+N74</f>
        <v>0</v>
      </c>
      <c r="O78" s="1606" t="str">
        <f>IF(ISERROR(N78/pr_7)," ",N78/pr_7)</f>
        <v xml:space="preserve"> </v>
      </c>
    </row>
    <row r="79" spans="1:16" ht="21.9" customHeight="1" x14ac:dyDescent="0.3">
      <c r="A79" s="813"/>
      <c r="B79" s="3945" t="s">
        <v>679</v>
      </c>
      <c r="C79" s="3946"/>
      <c r="D79" s="3947"/>
      <c r="E79" s="3948"/>
      <c r="F79" s="3949"/>
      <c r="H79" s="1586">
        <f>H78+H55</f>
        <v>0</v>
      </c>
      <c r="I79" s="1630" t="str">
        <f>IF(ISERROR(H79/pr_5)," ",H79/pr_5)</f>
        <v xml:space="preserve"> </v>
      </c>
      <c r="J79" s="229"/>
      <c r="K79" s="1586">
        <f>K78+K55</f>
        <v>0</v>
      </c>
      <c r="L79" s="1630" t="str">
        <f>IF(ISERROR(K79/pr_6)," ",K79/pr_6)</f>
        <v xml:space="preserve"> </v>
      </c>
      <c r="M79" s="2"/>
      <c r="N79" s="1586">
        <f>N78+N55</f>
        <v>0</v>
      </c>
      <c r="O79" s="1630" t="str">
        <f>IF(ISERROR(N79/pr_7)," ",N79/pr_7)</f>
        <v xml:space="preserve"> </v>
      </c>
    </row>
    <row r="80" spans="1:16" ht="6" customHeight="1" x14ac:dyDescent="0.3">
      <c r="A80" s="813"/>
      <c r="B80" s="346"/>
      <c r="C80" s="346"/>
      <c r="D80" s="346"/>
      <c r="E80" s="346"/>
      <c r="F80" s="524"/>
      <c r="H80" s="203"/>
      <c r="I80" s="203"/>
      <c r="J80" s="229"/>
      <c r="K80" s="203"/>
      <c r="L80" s="203"/>
      <c r="M80" s="2"/>
      <c r="N80" s="203"/>
      <c r="O80" s="203"/>
    </row>
    <row r="81" spans="1:18" s="1" customFormat="1" ht="20.100000000000001" customHeight="1" x14ac:dyDescent="0.3">
      <c r="A81" s="217" t="s">
        <v>607</v>
      </c>
      <c r="B81" s="3957" t="s">
        <v>614</v>
      </c>
      <c r="C81" s="3958"/>
      <c r="D81" s="3959"/>
      <c r="E81" s="3959"/>
      <c r="F81" s="3960"/>
      <c r="G81" s="2"/>
      <c r="H81" s="1597">
        <f>SUMIF($A$11:$A$76,"="&amp;A81,$H$11:$H$78)</f>
        <v>0</v>
      </c>
      <c r="I81" s="1631" t="str">
        <f>IF(ISERROR(H81/pr_5)," ",H81/pr_5)</f>
        <v xml:space="preserve"> </v>
      </c>
      <c r="J81" s="246"/>
      <c r="K81" s="1597">
        <f>SUMIF($A$11:$A$76,"="&amp;A81,$K$11:$K$78)</f>
        <v>0</v>
      </c>
      <c r="L81" s="1598" t="str">
        <f>IF(ISERROR(K81/pr_6)," ",K81/pr_6)</f>
        <v xml:space="preserve"> </v>
      </c>
      <c r="M81" s="140"/>
      <c r="N81" s="1597">
        <f>SUMIF($A$11:$A$76,"="&amp;A81,$N$11:$N$78)</f>
        <v>0</v>
      </c>
      <c r="O81" s="1598" t="str">
        <f>IF(ISERROR(N81/pr_7)," ",N81/pr_7)</f>
        <v xml:space="preserve"> </v>
      </c>
    </row>
    <row r="82" spans="1:18" s="1" customFormat="1" ht="20.100000000000001" customHeight="1" x14ac:dyDescent="0.3">
      <c r="A82" s="217" t="s">
        <v>608</v>
      </c>
      <c r="B82" s="3961" t="s">
        <v>615</v>
      </c>
      <c r="C82" s="3962"/>
      <c r="D82" s="3963"/>
      <c r="E82" s="3963"/>
      <c r="F82" s="3964"/>
      <c r="G82" s="2"/>
      <c r="H82" s="1599">
        <f>SUMIF($A$11:$A$76,"="&amp;A82,$H$11:$H$78)</f>
        <v>0</v>
      </c>
      <c r="I82" s="1632" t="str">
        <f>IF(ISERROR(H82/pr_5)," ",H82/pr_5)</f>
        <v xml:space="preserve"> </v>
      </c>
      <c r="J82" s="246"/>
      <c r="K82" s="1599">
        <f>SUMIF($A$11:$A$76,"="&amp;A82,$K$11:$K$78)</f>
        <v>0</v>
      </c>
      <c r="L82" s="1600" t="str">
        <f>IF(ISERROR(K82/pr_6)," ",K82/pr_6)</f>
        <v xml:space="preserve"> </v>
      </c>
      <c r="M82" s="140"/>
      <c r="N82" s="1599">
        <f>SUMIF($A$11:$A$76,"="&amp;A82,$N$11:$N$78)</f>
        <v>0</v>
      </c>
      <c r="O82" s="1600" t="str">
        <f>IF(ISERROR(N82/pr_7)," ",N82/pr_7)</f>
        <v xml:space="preserve"> </v>
      </c>
    </row>
    <row r="83" spans="1:18" s="1" customFormat="1" ht="3" customHeight="1" x14ac:dyDescent="0.3">
      <c r="A83" s="811"/>
      <c r="B83" s="511"/>
      <c r="C83" s="511"/>
      <c r="D83" s="372"/>
      <c r="E83" s="372"/>
      <c r="F83" s="535"/>
      <c r="G83" s="2"/>
      <c r="H83" s="65"/>
      <c r="I83" s="536"/>
      <c r="J83" s="246"/>
      <c r="K83" s="65"/>
      <c r="L83" s="536"/>
      <c r="M83" s="140"/>
      <c r="N83" s="65"/>
      <c r="O83" s="536"/>
    </row>
    <row r="84" spans="1:18" s="1" customFormat="1" ht="20.100000000000001" customHeight="1" x14ac:dyDescent="0.3">
      <c r="A84" s="811"/>
      <c r="B84" s="3957" t="s">
        <v>620</v>
      </c>
      <c r="C84" s="3958"/>
      <c r="D84" s="3959"/>
      <c r="E84" s="3959"/>
      <c r="F84" s="3960"/>
      <c r="G84" s="2"/>
      <c r="H84" s="1597">
        <f>pr_5-H81-H82</f>
        <v>0</v>
      </c>
      <c r="I84" s="1631" t="str">
        <f>IF(ISERROR(H84/pr_5)," ",H84/pr_5)</f>
        <v xml:space="preserve"> </v>
      </c>
      <c r="J84" s="246"/>
      <c r="K84" s="1597">
        <f>pr_6-K81-K82</f>
        <v>0</v>
      </c>
      <c r="L84" s="1598" t="str">
        <f>IF(ISERROR(K84/pr_6)," ",K84/pr_6)</f>
        <v xml:space="preserve"> </v>
      </c>
      <c r="M84" s="140"/>
      <c r="N84" s="1597">
        <f>pr_7-N81-N82</f>
        <v>0</v>
      </c>
      <c r="O84" s="1598" t="str">
        <f>IF(ISERROR(N84/pr_7)," ",N84/pr_7)</f>
        <v xml:space="preserve"> </v>
      </c>
    </row>
    <row r="85" spans="1:18" s="1" customFormat="1" ht="20.100000000000001" customHeight="1" x14ac:dyDescent="0.3">
      <c r="A85" s="811"/>
      <c r="B85" s="3893" t="s">
        <v>44</v>
      </c>
      <c r="C85" s="3894"/>
      <c r="D85" s="3829"/>
      <c r="E85" s="3829"/>
      <c r="F85" s="3830"/>
      <c r="G85" s="2"/>
      <c r="H85" s="1601">
        <f>H42</f>
        <v>0</v>
      </c>
      <c r="I85" s="1633"/>
      <c r="J85" s="246"/>
      <c r="K85" s="1601">
        <f>K42</f>
        <v>0</v>
      </c>
      <c r="L85" s="1602"/>
      <c r="M85" s="140"/>
      <c r="N85" s="1601">
        <f>N42</f>
        <v>0</v>
      </c>
      <c r="O85" s="1602"/>
    </row>
    <row r="86" spans="1:18" s="1" customFormat="1" ht="21.9" customHeight="1" x14ac:dyDescent="0.3">
      <c r="A86" s="811"/>
      <c r="B86" s="3786" t="s">
        <v>42</v>
      </c>
      <c r="C86" s="3787"/>
      <c r="D86" s="3369"/>
      <c r="E86" s="3369"/>
      <c r="F86" s="3788"/>
      <c r="G86" s="2"/>
      <c r="H86" s="1565">
        <f>H85+H84</f>
        <v>0</v>
      </c>
      <c r="I86" s="1612" t="str">
        <f>IF(ISERROR(H86/pr_5)," ",H86/pr_5)</f>
        <v xml:space="preserve"> </v>
      </c>
      <c r="J86" s="233"/>
      <c r="K86" s="1565">
        <f>K85+K84</f>
        <v>0</v>
      </c>
      <c r="L86" s="1603" t="str">
        <f>IF(ISERROR(K86/pr_6)," ",K86/pr_6)</f>
        <v xml:space="preserve"> </v>
      </c>
      <c r="M86" s="233"/>
      <c r="N86" s="1565">
        <f>N85+N84</f>
        <v>0</v>
      </c>
      <c r="O86" s="1603" t="str">
        <f>IF(ISERROR(N86/pr_7)," ",N86/pr_7)</f>
        <v xml:space="preserve"> </v>
      </c>
      <c r="P86" s="203"/>
      <c r="Q86" s="203"/>
      <c r="R86" s="203"/>
    </row>
    <row r="87" spans="1:18" s="1" customFormat="1" ht="6" customHeight="1" x14ac:dyDescent="0.3">
      <c r="A87" s="811"/>
      <c r="B87" s="511"/>
      <c r="C87" s="511"/>
      <c r="D87" s="372"/>
      <c r="E87" s="372"/>
      <c r="F87" s="535"/>
      <c r="G87" s="2"/>
      <c r="H87" s="65"/>
      <c r="I87" s="536"/>
      <c r="J87" s="246"/>
      <c r="K87" s="65"/>
      <c r="L87" s="536"/>
      <c r="M87" s="140"/>
      <c r="N87" s="65"/>
      <c r="O87" s="536"/>
    </row>
    <row r="88" spans="1:18" s="1" customFormat="1" ht="21.9" customHeight="1" x14ac:dyDescent="0.3">
      <c r="A88" s="811"/>
      <c r="B88" s="3909" t="s">
        <v>619</v>
      </c>
      <c r="C88" s="3910"/>
      <c r="D88" s="3911"/>
      <c r="E88" s="3911"/>
      <c r="F88" s="3912"/>
      <c r="G88" s="2"/>
      <c r="H88" s="1638">
        <f>pr_5-H82</f>
        <v>0</v>
      </c>
      <c r="I88" s="1639" t="str">
        <f>IF(ISERROR(H88/pr_5)," ",H88/pr_5)</f>
        <v xml:space="preserve"> </v>
      </c>
      <c r="J88" s="246"/>
      <c r="K88" s="1638">
        <f>pr_6-K82</f>
        <v>0</v>
      </c>
      <c r="L88" s="1639" t="str">
        <f>IF(ISERROR(K88/pr_6)," ",K88/pr_6)</f>
        <v xml:space="preserve"> </v>
      </c>
      <c r="M88" s="140"/>
      <c r="N88" s="1638">
        <f>pr_7-N82</f>
        <v>0</v>
      </c>
      <c r="O88" s="1639" t="str">
        <f>IF(ISERROR(N88/pr_7)," ",N88/pr_7)</f>
        <v xml:space="preserve"> </v>
      </c>
    </row>
    <row r="89" spans="1:18" s="1" customFormat="1" ht="21.9" customHeight="1" x14ac:dyDescent="0.3">
      <c r="A89" s="811"/>
      <c r="B89" s="3904" t="s">
        <v>750</v>
      </c>
      <c r="C89" s="3905"/>
      <c r="D89" s="3905"/>
      <c r="E89" s="1634"/>
      <c r="F89" s="1635" t="s">
        <v>483</v>
      </c>
      <c r="G89" s="2"/>
      <c r="H89" s="1636" t="str">
        <f>IF(pr_5=0," ",H81/I88)</f>
        <v xml:space="preserve"> </v>
      </c>
      <c r="I89" s="1637" t="str">
        <f>IF(ISERROR(H89/pr_5)," ",H89/pr_5)</f>
        <v xml:space="preserve"> </v>
      </c>
      <c r="J89" s="246"/>
      <c r="K89" s="1636" t="str">
        <f>IF(pr_6=0," ",K81/L88)</f>
        <v xml:space="preserve"> </v>
      </c>
      <c r="L89" s="1637" t="str">
        <f>IF(ISERROR(K89/pr_6)," ",K89/pr_6)</f>
        <v xml:space="preserve"> </v>
      </c>
      <c r="M89" s="140"/>
      <c r="N89" s="1636" t="str">
        <f>IF(pr_7=0," ",N81/O88)</f>
        <v xml:space="preserve"> </v>
      </c>
      <c r="O89" s="1637" t="str">
        <f>IF(ISERROR(N89/pr_7)," ",N89/pr_7)</f>
        <v xml:space="preserve"> </v>
      </c>
    </row>
    <row r="90" spans="1:18" ht="15" customHeight="1" x14ac:dyDescent="0.3">
      <c r="B90" s="346"/>
      <c r="C90" s="346"/>
      <c r="D90" s="346"/>
      <c r="E90" s="346"/>
      <c r="F90" s="7"/>
      <c r="G90" s="548"/>
      <c r="H90" s="203"/>
      <c r="I90" s="203"/>
      <c r="J90" s="229"/>
      <c r="K90" s="203"/>
      <c r="L90" s="203"/>
      <c r="M90" s="2"/>
      <c r="N90" s="203"/>
      <c r="O90" s="203"/>
    </row>
    <row r="91" spans="1:18" ht="24.9" customHeight="1" x14ac:dyDescent="0.3">
      <c r="B91" s="3913" t="s">
        <v>610</v>
      </c>
      <c r="C91" s="3914"/>
      <c r="D91" s="3914"/>
      <c r="E91" s="3914"/>
      <c r="F91" s="3915"/>
      <c r="H91" s="2464" t="s">
        <v>208</v>
      </c>
      <c r="I91" s="2465" t="s">
        <v>431</v>
      </c>
      <c r="J91" s="229"/>
      <c r="K91" s="2464" t="s">
        <v>208</v>
      </c>
      <c r="L91" s="2465" t="s">
        <v>431</v>
      </c>
      <c r="M91" s="2"/>
      <c r="N91" s="1645" t="s">
        <v>208</v>
      </c>
      <c r="O91" s="1646" t="s">
        <v>431</v>
      </c>
    </row>
    <row r="92" spans="1:18" ht="20.100000000000001" customHeight="1" x14ac:dyDescent="0.3">
      <c r="B92" s="3923" t="s">
        <v>612</v>
      </c>
      <c r="C92" s="3924"/>
      <c r="D92" s="3906" t="s">
        <v>611</v>
      </c>
      <c r="E92" s="3363"/>
      <c r="F92" s="3805"/>
      <c r="G92" s="406"/>
      <c r="H92" s="1640"/>
      <c r="I92" s="2466" t="str">
        <f>IF(ISERROR(IF(ISBLANK(H92)," ",(H92/effectif_1)-1))," ",IF(ISBLANK(H92)," ",(H92/effectif_1)-1))</f>
        <v xml:space="preserve"> </v>
      </c>
      <c r="J92" s="527"/>
      <c r="K92" s="1640"/>
      <c r="L92" s="2466" t="str">
        <f>IF(ISERROR(IF(ISBLANK(K92)," ",(K92/H92)-1))," ",IF(ISBLANK(K92)," ",(K92/H92)-1))</f>
        <v xml:space="preserve"> </v>
      </c>
      <c r="M92" s="406"/>
      <c r="N92" s="1640"/>
      <c r="O92" s="1644" t="str">
        <f>IF(ISERROR(IF(ISBLANK(N92)," ",(N92/K92)-1))," ",IF(ISBLANK(N92)," ",(N92/K92)-1))</f>
        <v xml:space="preserve"> </v>
      </c>
    </row>
    <row r="93" spans="1:18" ht="20.100000000000001" customHeight="1" x14ac:dyDescent="0.3">
      <c r="B93" s="3925"/>
      <c r="C93" s="3926"/>
      <c r="D93" s="3907" t="s">
        <v>609</v>
      </c>
      <c r="E93" s="3751"/>
      <c r="F93" s="3908"/>
      <c r="H93" s="1641"/>
      <c r="I93" s="2467"/>
      <c r="J93" s="229"/>
      <c r="K93" s="1642"/>
      <c r="L93" s="2468" t="str">
        <f>IF(ISERROR(IF(ISBLANK(K93)," ",(K93/H93)-1))," ",IF(ISBLANK(K93)," ",(K93/H93)-1))</f>
        <v xml:space="preserve"> </v>
      </c>
      <c r="M93" s="2"/>
      <c r="N93" s="1642"/>
      <c r="O93" s="1643" t="str">
        <f>IF(ISERROR(IF(ISBLANK(N93)," ",(N93/K93)-1))," ",IF(ISBLANK(N93)," ",(N93/K93)-1))</f>
        <v xml:space="preserve"> </v>
      </c>
    </row>
    <row r="94" spans="1:18" ht="21.9" customHeight="1" x14ac:dyDescent="0.3">
      <c r="B94" s="3927" t="s">
        <v>613</v>
      </c>
      <c r="C94" s="3928"/>
      <c r="D94" s="3901" t="s">
        <v>609</v>
      </c>
      <c r="E94" s="3902"/>
      <c r="F94" s="3903"/>
      <c r="H94" s="2469"/>
      <c r="I94" s="2470" t="str">
        <f>IF(ISERROR(IF(ISBLANK(H94)," ",(H94/interim_1)-1))," ",IF(ISBLANK(H94)," ",(H94/interim_1)-1))</f>
        <v xml:space="preserve"> </v>
      </c>
      <c r="J94" s="229"/>
      <c r="K94" s="2469"/>
      <c r="L94" s="2470" t="str">
        <f>IF(ISERROR(IF(ISBLANK(K94)," ",(K94/H94)-1))," ",IF(ISBLANK(K94)," ",(K94/H94)-1))</f>
        <v xml:space="preserve"> </v>
      </c>
      <c r="M94" s="2"/>
      <c r="N94" s="2469"/>
      <c r="O94" s="2473" t="str">
        <f>IF(ISERROR(IF(ISBLANK(N94)," ",(N94/K94)-1))," ",IF(ISBLANK(N94)," ",(N94/K94)-1))</f>
        <v xml:space="preserve"> </v>
      </c>
    </row>
    <row r="95" spans="1:18" ht="21.9" customHeight="1" x14ac:dyDescent="0.3">
      <c r="B95" s="3898" t="s">
        <v>751</v>
      </c>
      <c r="C95" s="3899"/>
      <c r="D95" s="3899"/>
      <c r="E95" s="3899"/>
      <c r="F95" s="3900"/>
      <c r="H95" s="2471">
        <f>SUM(H93:H94)</f>
        <v>0</v>
      </c>
      <c r="I95" s="2472" t="str">
        <f>IF(ISERROR((s_5/s_1)-1)," ",(s_5/s_1)-1)</f>
        <v xml:space="preserve"> </v>
      </c>
      <c r="J95" s="229"/>
      <c r="K95" s="2471">
        <f>SUM(K93:K94)</f>
        <v>0</v>
      </c>
      <c r="L95" s="2472" t="str">
        <f>IF(ISERROR((s_6/s_5)-1)," ",(s_6/s_5)-1)</f>
        <v xml:space="preserve"> </v>
      </c>
      <c r="M95" s="2"/>
      <c r="N95" s="2471">
        <f>SUM(N93:N94)</f>
        <v>0</v>
      </c>
      <c r="O95" s="2474" t="str">
        <f>IF(ISERROR((s_7/s_6)-1)," ",(s_7/s_6)-1)</f>
        <v xml:space="preserve"> </v>
      </c>
    </row>
    <row r="96" spans="1:18" ht="15" customHeight="1" x14ac:dyDescent="0.3">
      <c r="H96" s="244"/>
      <c r="I96" s="245"/>
      <c r="J96" s="229"/>
      <c r="K96" s="244"/>
      <c r="L96" s="245"/>
      <c r="M96" s="2"/>
      <c r="N96" s="244"/>
      <c r="O96" s="245"/>
    </row>
    <row r="97" spans="1:18" s="236" customFormat="1" ht="24.9" customHeight="1" x14ac:dyDescent="0.3">
      <c r="A97" s="812"/>
      <c r="B97" s="3895" t="s">
        <v>1278</v>
      </c>
      <c r="C97" s="3895"/>
      <c r="D97" s="3603"/>
      <c r="E97" s="3603"/>
      <c r="F97" s="3603"/>
      <c r="G97" s="3603"/>
      <c r="H97" s="3603"/>
      <c r="I97" s="3603"/>
      <c r="J97" s="3603"/>
      <c r="K97" s="3603"/>
      <c r="L97" s="3603"/>
      <c r="M97" s="3603"/>
      <c r="N97" s="3603"/>
      <c r="O97" s="3603"/>
    </row>
    <row r="98" spans="1:18" ht="21.9" customHeight="1" x14ac:dyDescent="0.3">
      <c r="B98" s="3929" t="s">
        <v>752</v>
      </c>
      <c r="C98" s="3930"/>
      <c r="D98" s="3896" t="s">
        <v>755</v>
      </c>
      <c r="E98" s="3896"/>
      <c r="F98" s="1647" t="s">
        <v>242</v>
      </c>
      <c r="H98" s="1649"/>
      <c r="I98" s="1650">
        <f>IF(ca_5=0,0,H98*durée_5*30/ca_5)</f>
        <v>0</v>
      </c>
      <c r="J98" s="339"/>
      <c r="K98" s="1653"/>
      <c r="L98" s="1650">
        <f>IF(ca_6=0,0,K98*durée_6*30/ca_6)</f>
        <v>0</v>
      </c>
      <c r="M98" s="340"/>
      <c r="N98" s="1649"/>
      <c r="O98" s="1650">
        <f>IF(ca_7=0,0,N98*durée_7*30/ca_7)</f>
        <v>0</v>
      </c>
      <c r="R98" s="859"/>
    </row>
    <row r="99" spans="1:18" ht="21.9" customHeight="1" x14ac:dyDescent="0.3">
      <c r="B99" s="3931" t="s">
        <v>753</v>
      </c>
      <c r="C99" s="3932"/>
      <c r="D99" s="3897" t="s">
        <v>755</v>
      </c>
      <c r="E99" s="3897"/>
      <c r="F99" s="1648" t="s">
        <v>450</v>
      </c>
      <c r="G99" s="7"/>
      <c r="H99" s="1651"/>
      <c r="I99" s="1652">
        <f>IF(ca_5=0,0,H99*durée_5*30/ca_5)</f>
        <v>0</v>
      </c>
      <c r="J99" s="682"/>
      <c r="K99" s="1651"/>
      <c r="L99" s="1652">
        <f>IF(ca_6=0,0,K99*durée_6*30/ca_6)</f>
        <v>0</v>
      </c>
      <c r="M99" s="340"/>
      <c r="N99" s="1651"/>
      <c r="O99" s="1652">
        <f>IF(ca_7=0,0,N99*durée_7*30/ca_7)</f>
        <v>0</v>
      </c>
    </row>
    <row r="100" spans="1:18" s="17" customFormat="1" ht="12" customHeight="1" x14ac:dyDescent="0.3">
      <c r="A100" s="819"/>
      <c r="B100" s="252"/>
      <c r="C100" s="252"/>
      <c r="D100" s="252"/>
      <c r="E100" s="252"/>
      <c r="F100" s="525"/>
      <c r="G100" s="388" t="str">
        <f>IF(AND(bfr_5&gt;0,dfr_5&gt;0),1," ")</f>
        <v xml:space="preserve"> </v>
      </c>
      <c r="H100" s="3861" t="str">
        <f>IF(AND(bfr_5&gt;0,dfr_5&gt;0),"Erreur : ou BFR ou DFR, pas les 2"," ")</f>
        <v xml:space="preserve"> </v>
      </c>
      <c r="I100" s="3862"/>
      <c r="J100" s="388" t="str">
        <f t="shared" ref="J100:J103" si="3">IF(AND(bfr_6&gt;0,dfr_6&gt;0),1," ")</f>
        <v xml:space="preserve"> </v>
      </c>
      <c r="K100" s="3861" t="str">
        <f>IF(AND(bfr_6&gt;0,dfr_6&gt;0),"Erreur : ou BFR ou DFR, pas les 2"," ")</f>
        <v xml:space="preserve"> </v>
      </c>
      <c r="L100" s="3862"/>
      <c r="M100" s="388" t="str">
        <f>IF(AND(bfr_7&gt;0,dfr_7&gt;0),1," ")</f>
        <v xml:space="preserve"> </v>
      </c>
      <c r="N100" s="3861" t="str">
        <f>IF(AND(bfr_7&gt;0,dfr_7&gt;0),"Erreur :ou BFR ou DFR, pas les 2"," ")</f>
        <v xml:space="preserve"> </v>
      </c>
      <c r="O100" s="3862"/>
    </row>
    <row r="101" spans="1:18" s="17" customFormat="1" ht="20.100000000000001" customHeight="1" x14ac:dyDescent="0.3">
      <c r="A101" s="819"/>
      <c r="B101" s="252"/>
      <c r="C101" s="252"/>
      <c r="D101" s="252"/>
      <c r="E101" s="252"/>
      <c r="F101" s="525"/>
      <c r="G101" s="388"/>
      <c r="H101" s="1654" t="str">
        <f>IF(I101=" "," ","Rappel")</f>
        <v xml:space="preserve"> </v>
      </c>
      <c r="I101" s="1655" t="str">
        <f>IF(ISBLANK(An)," ",An-1)</f>
        <v xml:space="preserve"> </v>
      </c>
      <c r="J101" s="3919" t="str">
        <f>IF(ISBLANK(An)," ","Moyenne 3 dernières années")</f>
        <v xml:space="preserve"> </v>
      </c>
      <c r="K101" s="3920"/>
      <c r="L101" s="3920"/>
      <c r="M101" s="3920"/>
      <c r="N101" s="683"/>
      <c r="O101" s="684"/>
    </row>
    <row r="102" spans="1:18" ht="20.100000000000001" customHeight="1" x14ac:dyDescent="0.3">
      <c r="B102" s="3916" t="str">
        <f>IF(AND(ca_1&gt;0,tvac_1=0,'Analyse bilan'!C126=0)," La tva/ventes n'a pas été renseignée dans l'onglet Analyse bilan !"," ")</f>
        <v xml:space="preserve"> </v>
      </c>
      <c r="C102" s="3916"/>
      <c r="D102" s="3916"/>
      <c r="E102" s="3917"/>
      <c r="F102" s="1656" t="s">
        <v>242</v>
      </c>
      <c r="H102" s="1658">
        <f>IF(ca_1=0,0,bfr_1)</f>
        <v>0</v>
      </c>
      <c r="I102" s="1650">
        <f>IF(ca_1=0,0,bfr_1*durée_1*30/ca_1)</f>
        <v>0</v>
      </c>
      <c r="J102" s="388" t="str">
        <f t="shared" si="3"/>
        <v xml:space="preserve"> </v>
      </c>
      <c r="K102" s="1658">
        <f>IF(ca_1=0,0,BFR_moyen)</f>
        <v>0</v>
      </c>
      <c r="L102" s="1650">
        <f>IF(ISERROR(IF(ca_1=0,0,BFR_moyen*durée_moyenne*30/ca_moyen)),0,IF(ca_1=0,0,BFR_moyen*durée_moyenne*30/ca_moyen))</f>
        <v>0</v>
      </c>
      <c r="M102" s="2722" t="str">
        <f>IF(AND(ca_1&gt;0,tvac_1=0,'Analyse bilan'!N126=0),1," ")</f>
        <v xml:space="preserve"> </v>
      </c>
      <c r="N102" s="3918" t="str">
        <f>IF(AND(ca_1&gt;0,tvac_1=0,'Analyse bilan'!O126=0)," Renseigner la tva/ventes dans l'onglet Analyse bilan !"," ")</f>
        <v xml:space="preserve"> </v>
      </c>
      <c r="O102" s="3918"/>
      <c r="P102" s="3918"/>
      <c r="Q102" s="3918"/>
    </row>
    <row r="103" spans="1:18" ht="20.100000000000001" customHeight="1" x14ac:dyDescent="0.3">
      <c r="B103" s="3916" t="str">
        <f>IF(AND(ca_1&gt;0,tvad_1=0,'Analyse bilan'!C128=0)," La tva/achats n'a pas été renseignée dans l'onglet Analyse bilan !"," ")</f>
        <v xml:space="preserve"> </v>
      </c>
      <c r="C103" s="3916"/>
      <c r="D103" s="3916"/>
      <c r="E103" s="3917"/>
      <c r="F103" s="1657" t="s">
        <v>450</v>
      </c>
      <c r="G103" s="253"/>
      <c r="H103" s="1659">
        <f>IF(ca_1=0,0,dfr_1)</f>
        <v>0</v>
      </c>
      <c r="I103" s="1652">
        <f>IF(ca_1=0,0,dfr_1*durée_1*30/ca_1)</f>
        <v>0</v>
      </c>
      <c r="J103" s="388" t="str">
        <f t="shared" si="3"/>
        <v xml:space="preserve"> </v>
      </c>
      <c r="K103" s="1659">
        <f>IF(ca_1=0,0,DFR_moyen)</f>
        <v>0</v>
      </c>
      <c r="L103" s="1652">
        <f>IF(ISERROR(IF(ca_1=0,0,DFR_moyen*durée_moyenne*30/ca_moyen)),0,IF(ca_1=0,0,DFR_moyen*durée_moyenne*30/ca_moyen))</f>
        <v>0</v>
      </c>
      <c r="M103" s="2722" t="str">
        <f>IF(AND(ca_1&gt;0,tvad_1=0,'Analyse bilan'!N128=0),1," ")</f>
        <v xml:space="preserve"> </v>
      </c>
      <c r="N103" s="3918" t="str">
        <f>IF(AND(ca_1&gt;0,tvad_1=0,'Analyse bilan'!O128=0)," Renseigner la tva/achats dans l'onglet Analyse bilan !"," ")</f>
        <v xml:space="preserve"> </v>
      </c>
      <c r="O103" s="3918"/>
      <c r="P103" s="3918"/>
      <c r="Q103" s="3918"/>
    </row>
    <row r="104" spans="1:18" x14ac:dyDescent="0.3">
      <c r="F104" s="526"/>
    </row>
    <row r="105" spans="1:18" ht="15" customHeight="1" x14ac:dyDescent="0.3">
      <c r="B105" s="3852" t="s">
        <v>529</v>
      </c>
      <c r="C105" s="3853"/>
      <c r="D105" s="3853"/>
      <c r="E105" s="3854"/>
      <c r="F105" s="1660" t="str">
        <f>IF(F106=" "," ","Rappel")</f>
        <v xml:space="preserve"> </v>
      </c>
      <c r="H105" s="3754" t="s">
        <v>533</v>
      </c>
      <c r="I105" s="3756" t="s">
        <v>431</v>
      </c>
      <c r="J105" s="246"/>
      <c r="K105" s="3754" t="s">
        <v>533</v>
      </c>
      <c r="L105" s="3756" t="s">
        <v>431</v>
      </c>
      <c r="M105" s="140"/>
      <c r="N105" s="3754" t="s">
        <v>533</v>
      </c>
      <c r="O105" s="3756" t="s">
        <v>431</v>
      </c>
    </row>
    <row r="106" spans="1:18" ht="15" customHeight="1" x14ac:dyDescent="0.3">
      <c r="B106" s="3855"/>
      <c r="C106" s="3856"/>
      <c r="D106" s="3856"/>
      <c r="E106" s="3856"/>
      <c r="F106" s="1684" t="str">
        <f>IF(ISBLANK(An)," ",An-1)</f>
        <v xml:space="preserve"> </v>
      </c>
      <c r="H106" s="3755"/>
      <c r="I106" s="3757"/>
      <c r="J106" s="246"/>
      <c r="K106" s="3755"/>
      <c r="L106" s="3757"/>
      <c r="M106" s="140"/>
      <c r="N106" s="3755"/>
      <c r="O106" s="3757"/>
    </row>
    <row r="107" spans="1:18" s="250" customFormat="1" ht="24.9" customHeight="1" x14ac:dyDescent="0.3">
      <c r="A107" s="811"/>
      <c r="B107" s="3935" t="s">
        <v>758</v>
      </c>
      <c r="C107" s="3924"/>
      <c r="D107" s="3748" t="s">
        <v>756</v>
      </c>
      <c r="E107" s="3749"/>
      <c r="F107" s="2440" t="str">
        <f>IF(ISERROR((bl_1*(durée_1*30))/fu_1)," ",(bl_1*(durée_1*30))/fu_1)</f>
        <v xml:space="preserve"> </v>
      </c>
      <c r="G107" s="247"/>
      <c r="H107" s="1665"/>
      <c r="I107" s="1666" t="str">
        <f>IF(ISERROR(H107-F107)," ",H107-F107)</f>
        <v xml:space="preserve"> </v>
      </c>
      <c r="J107" s="248"/>
      <c r="K107" s="1665"/>
      <c r="L107" s="1666">
        <f t="shared" ref="L107:L119" si="4">IF(ISERROR(K107-H107)," ",K107-H107)</f>
        <v>0</v>
      </c>
      <c r="M107" s="249"/>
      <c r="N107" s="1665"/>
      <c r="O107" s="1666">
        <f t="shared" ref="O107:O119" si="5">IF(ISERROR(N107-K107)," ",N107-K107)</f>
        <v>0</v>
      </c>
    </row>
    <row r="108" spans="1:18" s="1" customFormat="1" ht="24.9" hidden="1" customHeight="1" x14ac:dyDescent="0.3">
      <c r="A108" s="811"/>
      <c r="B108" s="3936"/>
      <c r="C108" s="3937"/>
      <c r="D108" s="685"/>
      <c r="E108" s="754"/>
      <c r="F108" s="2441"/>
      <c r="G108" s="247"/>
      <c r="H108" s="1662" t="str">
        <f>IF(ISERROR(H107*fu_5/(durée_5*30))," ",H107*fu_5/(durée_5*30))</f>
        <v xml:space="preserve"> </v>
      </c>
      <c r="I108" s="1663"/>
      <c r="J108" s="249"/>
      <c r="K108" s="1662" t="str">
        <f>IF(ISERROR(K107*fu_6/(durée_6*30))," ",K107*fu_6/(durée_6*30))</f>
        <v xml:space="preserve"> </v>
      </c>
      <c r="L108" s="1677"/>
      <c r="M108" s="249"/>
      <c r="N108" s="1662" t="str">
        <f>IF(ISERROR(N107*fu_7/(durée_7*30))," ",N107*fu_7/(durée_7*30))</f>
        <v xml:space="preserve"> </v>
      </c>
      <c r="O108" s="1677"/>
    </row>
    <row r="109" spans="1:18" s="250" customFormat="1" ht="24.9" customHeight="1" x14ac:dyDescent="0.3">
      <c r="A109" s="811"/>
      <c r="B109" s="3936"/>
      <c r="C109" s="3937"/>
      <c r="D109" s="3750" t="s">
        <v>757</v>
      </c>
      <c r="E109" s="3751"/>
      <c r="F109" s="2442" t="str">
        <f>IF(ISERROR((bt_1*(durée_1*30))/fs_1)," ",(bt_1*(durée_1*30))/fs_1)</f>
        <v xml:space="preserve"> </v>
      </c>
      <c r="G109" s="247"/>
      <c r="H109" s="2416"/>
      <c r="I109" s="2417" t="str">
        <f>IF(ISERROR(H109-F109)," ",H109-F109)</f>
        <v xml:space="preserve"> </v>
      </c>
      <c r="J109" s="248"/>
      <c r="K109" s="2416"/>
      <c r="L109" s="2417">
        <f t="shared" si="4"/>
        <v>0</v>
      </c>
      <c r="M109" s="249"/>
      <c r="N109" s="2416"/>
      <c r="O109" s="2417">
        <f t="shared" si="5"/>
        <v>0</v>
      </c>
    </row>
    <row r="110" spans="1:18" s="1" customFormat="1" ht="20.100000000000001" hidden="1" customHeight="1" x14ac:dyDescent="0.3">
      <c r="A110" s="811"/>
      <c r="B110" s="3938"/>
      <c r="C110" s="3926"/>
      <c r="D110" s="2427"/>
      <c r="E110" s="2428"/>
      <c r="F110" s="2453"/>
      <c r="G110" s="247"/>
      <c r="H110" s="2454" t="str">
        <f>IF(ISERROR(H109*fs_5/(durée_5*30))," ",H109*fs_5/(durée_5*30))</f>
        <v xml:space="preserve"> </v>
      </c>
      <c r="I110" s="2455"/>
      <c r="J110" s="390"/>
      <c r="K110" s="2454" t="str">
        <f>IF(ISERROR(K109*fs_6/(durée_6*30))," ",K109*fs_6/(durée_6*30))</f>
        <v xml:space="preserve"> </v>
      </c>
      <c r="L110" s="2456"/>
      <c r="M110" s="249"/>
      <c r="N110" s="2454" t="str">
        <f>IF(ISERROR(N109*fs_7/(durée_7*30))," ",N109*fs_7/(durée_7*30))</f>
        <v xml:space="preserve"> </v>
      </c>
      <c r="O110" s="2455"/>
      <c r="Q110" s="250"/>
    </row>
    <row r="111" spans="1:18" s="250" customFormat="1" ht="24.9" customHeight="1" x14ac:dyDescent="0.3">
      <c r="A111" s="811"/>
      <c r="B111" s="3939" t="s">
        <v>791</v>
      </c>
      <c r="C111" s="3928"/>
      <c r="D111" s="3752" t="s">
        <v>759</v>
      </c>
      <c r="E111" s="3753"/>
      <c r="F111" s="2457" t="str">
        <f>IF(ISERROR((bn_1*(durée_1*30))/ca_1)," ",(bn_1*(durée_1*30))/ca_1)</f>
        <v xml:space="preserve"> </v>
      </c>
      <c r="G111" s="247"/>
      <c r="H111" s="2458"/>
      <c r="I111" s="2459" t="str">
        <f>IF(ISERROR(H111-F111)," ",H111-F111)</f>
        <v xml:space="preserve"> </v>
      </c>
      <c r="J111" s="248"/>
      <c r="K111" s="2458"/>
      <c r="L111" s="2459">
        <f t="shared" si="4"/>
        <v>0</v>
      </c>
      <c r="M111" s="249"/>
      <c r="N111" s="2458"/>
      <c r="O111" s="2459">
        <f t="shared" si="5"/>
        <v>0</v>
      </c>
    </row>
    <row r="112" spans="1:18" s="1" customFormat="1" ht="20.100000000000001" hidden="1" customHeight="1" x14ac:dyDescent="0.3">
      <c r="A112" s="811"/>
      <c r="B112" s="3940"/>
      <c r="C112" s="3937"/>
      <c r="D112" s="685"/>
      <c r="E112" s="754"/>
      <c r="F112" s="2441"/>
      <c r="G112" s="247"/>
      <c r="H112" s="1662" t="str">
        <f>IF(ISERROR(H111*ca_5/(durée_5*30))," ",H111*ca_5/(durée_5*30))</f>
        <v xml:space="preserve"> </v>
      </c>
      <c r="I112" s="1664"/>
      <c r="J112" s="390"/>
      <c r="K112" s="1662" t="str">
        <f>IF(ISERROR(K111*ca_6/(durée_6*30))," ",K111*ca_6/(durée_6*30))</f>
        <v xml:space="preserve"> </v>
      </c>
      <c r="L112" s="1677"/>
      <c r="M112" s="249"/>
      <c r="N112" s="1662" t="str">
        <f>IF(ISERROR(N111*ca_7/(durée_7*30))," ",N111*ca_7/(durée_7*30))</f>
        <v xml:space="preserve"> </v>
      </c>
      <c r="O112" s="1664"/>
      <c r="Q112" s="250"/>
    </row>
    <row r="113" spans="1:17" s="250" customFormat="1" ht="24.9" customHeight="1" x14ac:dyDescent="0.3">
      <c r="A113" s="811"/>
      <c r="B113" s="3940"/>
      <c r="C113" s="3937"/>
      <c r="D113" s="3750" t="s">
        <v>760</v>
      </c>
      <c r="E113" s="3751"/>
      <c r="F113" s="2442" t="str">
        <f>IF(ISERROR((bp_1*(durée_1*30))/ca_1)," ",(bp_1*(durée_1*30))/ca_1)</f>
        <v xml:space="preserve"> </v>
      </c>
      <c r="G113" s="247"/>
      <c r="H113" s="2416"/>
      <c r="I113" s="2417" t="str">
        <f>IF(ISERROR(H113-F113)," ",H113-F113)</f>
        <v xml:space="preserve"> </v>
      </c>
      <c r="J113" s="248"/>
      <c r="K113" s="2416"/>
      <c r="L113" s="2417">
        <f>IF(ISERROR(K113-H113)," ",K113-H113)</f>
        <v>0</v>
      </c>
      <c r="M113" s="249"/>
      <c r="N113" s="2416"/>
      <c r="O113" s="2417">
        <f>IF(ISERROR(N113-K113)," ",N113-K113)</f>
        <v>0</v>
      </c>
    </row>
    <row r="114" spans="1:17" s="1" customFormat="1" ht="20.100000000000001" hidden="1" customHeight="1" x14ac:dyDescent="0.3">
      <c r="A114" s="811"/>
      <c r="B114" s="3925"/>
      <c r="C114" s="3926"/>
      <c r="D114" s="2427"/>
      <c r="E114" s="2428"/>
      <c r="F114" s="2443"/>
      <c r="G114" s="247"/>
      <c r="H114" s="2422" t="str">
        <f>IF(ISERROR(H113*ca_5/(durée_5*30))," ",H113*ca_5/(durée_5*30))</f>
        <v xml:space="preserve"> </v>
      </c>
      <c r="I114" s="2423"/>
      <c r="J114" s="390"/>
      <c r="K114" s="2422" t="str">
        <f>IF(ISERROR(K113*ca_6/(durée_6*30))," ",K113*ca_6/(durée_6*30))</f>
        <v xml:space="preserve"> </v>
      </c>
      <c r="L114" s="2424"/>
      <c r="M114" s="249"/>
      <c r="N114" s="2422" t="str">
        <f>IF(ISERROR(N113*ca_7/(durée_7*30))," ",N113*ca_7/(durée_7*30))</f>
        <v xml:space="preserve"> </v>
      </c>
      <c r="O114" s="2423"/>
      <c r="Q114" s="250"/>
    </row>
    <row r="115" spans="1:17" s="250" customFormat="1" ht="30" customHeight="1" x14ac:dyDescent="0.3">
      <c r="A115" s="811"/>
      <c r="B115" s="3857" t="s">
        <v>792</v>
      </c>
      <c r="C115" s="3858"/>
      <c r="D115" s="3859"/>
      <c r="E115" s="3860"/>
      <c r="F115" s="2451" t="str">
        <f>IF(ISERROR((br_1*(durée_1*30))/ca_1)," ",(br_1*(durée_1*30))/ca_1)</f>
        <v xml:space="preserve"> </v>
      </c>
      <c r="G115" s="247"/>
      <c r="H115" s="2414"/>
      <c r="I115" s="2415" t="str">
        <f>IF(ISERROR(H115-F115)," ",H115-F115)</f>
        <v xml:space="preserve"> </v>
      </c>
      <c r="J115" s="248"/>
      <c r="K115" s="2414"/>
      <c r="L115" s="2415">
        <f t="shared" si="4"/>
        <v>0</v>
      </c>
      <c r="M115" s="249"/>
      <c r="N115" s="2414"/>
      <c r="O115" s="2415">
        <f t="shared" si="5"/>
        <v>0</v>
      </c>
    </row>
    <row r="116" spans="1:17" s="1" customFormat="1" ht="20.100000000000001" hidden="1" customHeight="1" x14ac:dyDescent="0.3">
      <c r="A116" s="811"/>
      <c r="B116" s="2425"/>
      <c r="C116" s="2421"/>
      <c r="D116" s="2420"/>
      <c r="E116" s="2421"/>
      <c r="F116" s="2443"/>
      <c r="G116" s="247"/>
      <c r="H116" s="2422" t="str">
        <f>IF(ISERROR(H115*ca_5/(durée_5*30))," ",H115*ca_5/(durée_5*30))</f>
        <v xml:space="preserve"> </v>
      </c>
      <c r="I116" s="2423"/>
      <c r="J116" s="390"/>
      <c r="K116" s="2426" t="str">
        <f>IF(ISERROR(K115*ca_6/(durée_6*30))," ",K115*ca_6/(durée_6*30))</f>
        <v xml:space="preserve"> </v>
      </c>
      <c r="L116" s="2423"/>
      <c r="M116" s="390"/>
      <c r="N116" s="2426" t="str">
        <f>IF(ISERROR(N115*ca_7/(durée_7*30))," ",N115*ca_7/(durée_7*30))</f>
        <v xml:space="preserve"> </v>
      </c>
      <c r="O116" s="2423"/>
    </row>
    <row r="117" spans="1:17" s="250" customFormat="1" ht="24.9" customHeight="1" x14ac:dyDescent="0.3">
      <c r="A117" s="811"/>
      <c r="B117" s="3758" t="s">
        <v>192</v>
      </c>
      <c r="C117" s="3759"/>
      <c r="D117" s="3363"/>
      <c r="E117" s="3363"/>
      <c r="F117" s="2444" t="str">
        <f>IF(ISERROR((clt_brut_1*(durée_1*30))/(ca_1+tvac_1+tvac_1b))," ",(clt_brut_1*(durée_1*30))/(ca_1+tvac_1+tvac_1b))</f>
        <v xml:space="preserve"> </v>
      </c>
      <c r="G117" s="247"/>
      <c r="H117" s="1667"/>
      <c r="I117" s="1668" t="str">
        <f>IF(ISERROR(H117-F117)," ",H117-F117)</f>
        <v xml:space="preserve"> </v>
      </c>
      <c r="J117" s="248"/>
      <c r="K117" s="1667"/>
      <c r="L117" s="1668">
        <f t="shared" si="4"/>
        <v>0</v>
      </c>
      <c r="M117" s="249"/>
      <c r="N117" s="1667"/>
      <c r="O117" s="1668">
        <f t="shared" si="5"/>
        <v>0</v>
      </c>
    </row>
    <row r="118" spans="1:17" s="1" customFormat="1" ht="20.100000000000001" hidden="1" customHeight="1" x14ac:dyDescent="0.3">
      <c r="A118" s="811"/>
      <c r="B118" s="2425"/>
      <c r="C118" s="2421"/>
      <c r="D118" s="2420"/>
      <c r="E118" s="2421"/>
      <c r="F118" s="2443"/>
      <c r="G118" s="247"/>
      <c r="H118" s="2422">
        <f>IF(ISERROR(IF(ISBLANK(H117),0,(ca_5*(1+(tauxtvac1+tauxtvac2))*H117/(durée_5*30))))," ",IF(ISBLANK(H117),0,(ca_5*(1+(tauxtvac1+tauxtvac2))*H117/(durée_5*30))))</f>
        <v>0</v>
      </c>
      <c r="I118" s="2423"/>
      <c r="J118" s="390"/>
      <c r="K118" s="2422">
        <f>IF(ISERROR(IF(ISBLANK(K117),0,(ca_6*(1+(tauxtvac1+tauxtvac2))*K117/(durée_6*30))))," ",IF(ISBLANK(K117),0,(ca_6*(1+(tauxtvac1+tauxtvac2))*K117/(durée_6*30))))</f>
        <v>0</v>
      </c>
      <c r="L118" s="2424"/>
      <c r="M118" s="249"/>
      <c r="N118" s="2422">
        <f>IF(ISERROR(IF(ISBLANK(N117),0,(ca_7*(1+(tauxtvac1+tauxtvac2))*N117/(durée_7*30))))," ",IF(ISBLANK(N117),0,(ca_7*(1+(tauxtvac1+tauxtvac2))*N117/(durée_7*30))))</f>
        <v>0</v>
      </c>
      <c r="O118" s="2423"/>
    </row>
    <row r="119" spans="1:17" s="250" customFormat="1" ht="24.9" customHeight="1" x14ac:dyDescent="0.3">
      <c r="A119" s="811"/>
      <c r="B119" s="3869" t="s">
        <v>532</v>
      </c>
      <c r="C119" s="3870"/>
      <c r="D119" s="3859"/>
      <c r="E119" s="3859"/>
      <c r="F119" s="2451" t="str">
        <f>IF(ISERROR(fournisseurs_1*(durée_1*30)/(fs_1+fu_1+fw_1-hp_1-hq_1+tvad_1+tvad_1b))," ",fournisseurs_1*(durée_1*30)/(fs_1+fu_1+fw_1+tvad_1+tvad_1b))</f>
        <v xml:space="preserve"> </v>
      </c>
      <c r="G119" s="251"/>
      <c r="H119" s="2414"/>
      <c r="I119" s="2415" t="str">
        <f>IF(ISERROR(H119-F119)," ",H119-F119)</f>
        <v xml:space="preserve"> </v>
      </c>
      <c r="J119" s="248"/>
      <c r="K119" s="2414"/>
      <c r="L119" s="2415">
        <f t="shared" si="4"/>
        <v>0</v>
      </c>
      <c r="M119" s="249"/>
      <c r="N119" s="2414"/>
      <c r="O119" s="2415">
        <f t="shared" si="5"/>
        <v>0</v>
      </c>
    </row>
    <row r="120" spans="1:17" s="1" customFormat="1" ht="20.100000000000001" hidden="1" customHeight="1" x14ac:dyDescent="0.3">
      <c r="A120" s="811"/>
      <c r="B120" s="2425"/>
      <c r="C120" s="2421"/>
      <c r="D120" s="2420"/>
      <c r="E120" s="2421"/>
      <c r="F120" s="2443"/>
      <c r="G120" s="247"/>
      <c r="H120" s="2422">
        <f>IF(ISERROR(IF(ISBLANK(H119),0,((H19+H21+H25+H27+H28+H33)*(1+(tauxtvad1+tauxtvad2))*H119/(durée_5*30)))),0,IF(ISBLANK(H119),0,((H19+H21+H25+H27+H28+H33)*(1+(tauxtvad1+tauxtvad2))*H119/(durée_5*30))))</f>
        <v>0</v>
      </c>
      <c r="I120" s="2423"/>
      <c r="J120" s="390"/>
      <c r="K120" s="2422">
        <f>IF(ISERROR(IF(ISBLANK(K119),0,((K19+K21+K25+K27+K28+K33)*(1+(tauxtvad1+tauxtvad2))*K119/(durée_6*30)))),0,IF(ISBLANK(K119),0,((K19+K21+K25+K27+K28+K33)*(1+(tauxtvad1+tauxtvad2))*K119/(durée_6*30))))</f>
        <v>0</v>
      </c>
      <c r="L120" s="2424"/>
      <c r="M120" s="249"/>
      <c r="N120" s="2422">
        <f>IF(ISERROR(IF(ISBLANK(N119),0,((N19+N21+N25+N27+N28+N33)*(1+(tauxtvad1+tauxtvad2))*N119/(durée_7*30)))),0,IF(ISBLANK(N119),0,((N19+N21+N25+N27+N28+N33)*(1+(tauxtvad1+tauxtvad2))*N119/(durée_7*30))))</f>
        <v>0</v>
      </c>
      <c r="O120" s="2423"/>
    </row>
    <row r="121" spans="1:17" s="1" customFormat="1" ht="24.9" customHeight="1" x14ac:dyDescent="0.3">
      <c r="A121" s="811"/>
      <c r="B121" s="3871" t="s">
        <v>761</v>
      </c>
      <c r="C121" s="3872"/>
      <c r="D121" s="3873"/>
      <c r="E121" s="3873"/>
      <c r="F121" s="2445" t="str">
        <f>IF(ISERROR((créances_nettes_expl_1-clt_net_1)*durée_1*30/ca_1)," ",(créances_nettes_expl_1-clt_net_1)*durée_1*30/ca_1)</f>
        <v xml:space="preserve"> </v>
      </c>
      <c r="G121" s="686"/>
      <c r="H121" s="2418"/>
      <c r="I121" s="2419" t="str">
        <f>IF(ISERROR(H121-F121)," ",H121-F121)</f>
        <v xml:space="preserve"> </v>
      </c>
      <c r="J121" s="687"/>
      <c r="K121" s="2418"/>
      <c r="L121" s="2419">
        <f>IF(ISERROR(K121-H121)," ",K121-H121)</f>
        <v>0</v>
      </c>
      <c r="M121" s="687"/>
      <c r="N121" s="2418"/>
      <c r="O121" s="2419">
        <f>IF(ISERROR(N121-K121)," ",N121-K121)</f>
        <v>0</v>
      </c>
    </row>
    <row r="122" spans="1:17" s="1" customFormat="1" ht="20.100000000000001" hidden="1" customHeight="1" x14ac:dyDescent="0.3">
      <c r="A122" s="811"/>
      <c r="B122" s="1661"/>
      <c r="C122" s="2462"/>
      <c r="D122" s="688"/>
      <c r="E122" s="688"/>
      <c r="F122" s="2446"/>
      <c r="G122" s="689"/>
      <c r="H122" s="1669">
        <f>IF(ISERROR(ca_5*H121/(durée_5*30)),0,ca_5*H121/(durée_5*30))</f>
        <v>0</v>
      </c>
      <c r="I122" s="1670"/>
      <c r="J122" s="690"/>
      <c r="K122" s="1669">
        <f>IF(ISERROR(ca_6*K121/(durée_6*30)),0,ca_6*K121/(durée_6*30))</f>
        <v>0</v>
      </c>
      <c r="L122" s="1678"/>
      <c r="M122" s="687"/>
      <c r="N122" s="1669">
        <f>IF(ISERROR(ca_7*N121/(durée_7*30)),0,ca_7*N121/(durée_7*30))</f>
        <v>0</v>
      </c>
      <c r="O122" s="1670"/>
    </row>
    <row r="123" spans="1:17" s="1" customFormat="1" ht="24.9" customHeight="1" x14ac:dyDescent="0.3">
      <c r="A123" s="811"/>
      <c r="B123" s="3797" t="s">
        <v>762</v>
      </c>
      <c r="C123" s="3798"/>
      <c r="D123" s="3799"/>
      <c r="E123" s="3799"/>
      <c r="F123" s="2447" t="str">
        <f>IF(ISERROR((dy_1-e8_1)*durée_1*30/ca_1)," ",(dy_1-e8_1)*durée_1*30/ca_1)</f>
        <v xml:space="preserve"> </v>
      </c>
      <c r="G123" s="686"/>
      <c r="H123" s="1671"/>
      <c r="I123" s="1672" t="str">
        <f>IF(ISERROR(H123-F123)," ",H123-F123)</f>
        <v xml:space="preserve"> </v>
      </c>
      <c r="J123" s="687"/>
      <c r="K123" s="1671"/>
      <c r="L123" s="1672">
        <f>IF(ISERROR(K123-H123)," ",K123-H123)</f>
        <v>0</v>
      </c>
      <c r="M123" s="687"/>
      <c r="N123" s="1671"/>
      <c r="O123" s="1672">
        <f>IF(ISERROR(N123-K123)," ",N123-K123)</f>
        <v>0</v>
      </c>
    </row>
    <row r="124" spans="1:17" s="1" customFormat="1" ht="20.100000000000001" hidden="1" customHeight="1" x14ac:dyDescent="0.3">
      <c r="A124" s="811"/>
      <c r="B124" s="1661"/>
      <c r="C124" s="2462"/>
      <c r="D124" s="688"/>
      <c r="E124" s="688"/>
      <c r="F124" s="2448"/>
      <c r="G124" s="689"/>
      <c r="H124" s="1673" t="str">
        <f>IF(ISERROR(ca_5*H123/(durée_5*30))," ",ca_5*H123/(durée_5*30))</f>
        <v xml:space="preserve"> </v>
      </c>
      <c r="I124" s="1674"/>
      <c r="J124" s="690"/>
      <c r="K124" s="1673" t="str">
        <f>IF(ISERROR(ca_6*K123/(durée_6*30))," ",ca_6*K123/(durée_6*30))</f>
        <v xml:space="preserve"> </v>
      </c>
      <c r="L124" s="1679"/>
      <c r="M124" s="687"/>
      <c r="N124" s="1673" t="str">
        <f>IF(ISERROR(ca_7*N123/(durée_7*30))," ",ca_7*N123/(durée_7*30))</f>
        <v xml:space="preserve"> </v>
      </c>
      <c r="O124" s="1674"/>
    </row>
    <row r="125" spans="1:17" s="1" customFormat="1" ht="24.9" customHeight="1" x14ac:dyDescent="0.3">
      <c r="A125" s="811"/>
      <c r="B125" s="3800" t="s">
        <v>763</v>
      </c>
      <c r="C125" s="3801"/>
      <c r="D125" s="3802"/>
      <c r="E125" s="3802"/>
      <c r="F125" s="2449" t="str">
        <f>IF(ISERROR((dw_1+eb_1)*durée_1*30/ca_1)," ",(dw_1+eb_1)*durée_1*30/ca_1)</f>
        <v xml:space="preserve"> </v>
      </c>
      <c r="G125" s="686"/>
      <c r="H125" s="1675"/>
      <c r="I125" s="1676" t="str">
        <f>IF(ISERROR(H125-F125)," ",H125-F125)</f>
        <v xml:space="preserve"> </v>
      </c>
      <c r="J125" s="687"/>
      <c r="K125" s="1675"/>
      <c r="L125" s="1676">
        <f>IF(ISERROR(K125-H125)," ",K125-H125)</f>
        <v>0</v>
      </c>
      <c r="M125" s="687"/>
      <c r="N125" s="1675"/>
      <c r="O125" s="1676">
        <f>IF(ISERROR(N125-K125)," ",N125-K125)</f>
        <v>0</v>
      </c>
    </row>
    <row r="126" spans="1:17" s="1" customFormat="1" ht="20.100000000000001" hidden="1" customHeight="1" x14ac:dyDescent="0.3">
      <c r="A126" s="811"/>
      <c r="B126" s="2429"/>
      <c r="C126" s="2463"/>
      <c r="D126" s="2430"/>
      <c r="E126" s="2431"/>
      <c r="F126" s="2432"/>
      <c r="G126" s="247"/>
      <c r="H126" s="2433">
        <f>IF(ISERROR(ca_5*H125/(durée_5*30)),0,ca_5*H125/(durée_5*30))</f>
        <v>0</v>
      </c>
      <c r="I126" s="2434"/>
      <c r="J126" s="390"/>
      <c r="K126" s="2433">
        <f>IF(ISERROR(ca_6*K125/(durée_6*30)),0,ca_6*K125/(durée_6*30))</f>
        <v>0</v>
      </c>
      <c r="L126" s="2434"/>
      <c r="M126" s="390"/>
      <c r="N126" s="2433">
        <f>IF(ISERROR(ca_7*N125/(durée_7*30)),0,ca_7*N125/(durée_7*30))</f>
        <v>0</v>
      </c>
      <c r="O126" s="2434"/>
    </row>
    <row r="127" spans="1:17" s="405" customFormat="1" ht="24.9" customHeight="1" x14ac:dyDescent="0.3">
      <c r="A127" s="820"/>
      <c r="B127" s="3849" t="s">
        <v>764</v>
      </c>
      <c r="C127" s="3850"/>
      <c r="D127" s="3850"/>
      <c r="E127" s="3850"/>
      <c r="F127" s="3851"/>
      <c r="G127" s="406"/>
      <c r="H127" s="1681" t="str">
        <f>IF(ISERROR(H108+H110+H112+H114+H116+H118-H120+H122-H124-H126)," ",H108+H110+H112+H114+H116+H118-H120+H122-H124-H126)</f>
        <v xml:space="preserve"> </v>
      </c>
      <c r="I127" s="1682">
        <f>IF(ISERROR(IF(ca_5=0,0,H127*durée_5*30/ca_5)),0,IF(ca_5=0,0,H127*durée_5*30/ca_5))</f>
        <v>0</v>
      </c>
      <c r="J127" s="390"/>
      <c r="K127" s="1683" t="str">
        <f>IF(ISERROR(K108+K110+K112+K114+K116+K118-K120+K122-K124-K126)," ",K108+K110+K112+K114+K116+K118-K120+K122-K124-K126)</f>
        <v xml:space="preserve"> </v>
      </c>
      <c r="L127" s="1682">
        <f>IF(ISERROR(IF(ca_6=0,0,K127*durée_6*30/ca_6)),0,IF(ca_6=0,0,K127*durée_6*30/ca_6))</f>
        <v>0</v>
      </c>
      <c r="M127" s="390"/>
      <c r="N127" s="1683" t="str">
        <f>IF(ISERROR(N108+N110+N112+N114+N116+N118-N120+N122-N124-N126)," ",N108+N110+N112+N114+N116+N118-N120+N122-N124-N126)</f>
        <v xml:space="preserve"> </v>
      </c>
      <c r="O127" s="1682">
        <f>IF(ISERROR(IF(ca_7=0,0,N127*durée_7*30/ca_7)),0,IF(ca_7=0,0,N127*durée_7*30/ca_7))</f>
        <v>0</v>
      </c>
    </row>
    <row r="128" spans="1:17" s="343" customFormat="1" ht="24.9" customHeight="1" x14ac:dyDescent="0.3">
      <c r="A128" s="821"/>
      <c r="B128" s="3842" t="s">
        <v>765</v>
      </c>
      <c r="C128" s="3843"/>
      <c r="D128" s="3844"/>
      <c r="E128" s="3844"/>
      <c r="F128" s="2450" t="str">
        <f>IF(ISERROR(bfrhe_1*durée_1*30/ca_1)," ",bfrhe_1*durée_1*30/ca_1)</f>
        <v xml:space="preserve"> </v>
      </c>
      <c r="G128" s="251"/>
      <c r="H128" s="1680"/>
      <c r="I128" s="1668" t="str">
        <f>IF(ISERROR(H128-F128)," ",H128-F128)</f>
        <v xml:space="preserve"> </v>
      </c>
      <c r="J128" s="249"/>
      <c r="K128" s="1680"/>
      <c r="L128" s="1668">
        <f>IF(ISERROR(K128-H128)," ",K128-H128)</f>
        <v>0</v>
      </c>
      <c r="M128" s="249"/>
      <c r="N128" s="1680"/>
      <c r="O128" s="1668">
        <f>IF(ISERROR(N128-K128)," ",N128-K128)</f>
        <v>0</v>
      </c>
    </row>
    <row r="129" spans="1:15" s="342" customFormat="1" ht="20.100000000000001" hidden="1" customHeight="1" x14ac:dyDescent="0.25">
      <c r="A129" s="822"/>
      <c r="B129" s="2435"/>
      <c r="C129" s="2436"/>
      <c r="D129" s="2436"/>
      <c r="E129" s="2437"/>
      <c r="F129" s="2438"/>
      <c r="G129" s="691"/>
      <c r="H129" s="2426" t="str">
        <f>IF(ISERROR(ca_5*H128/(durée_5*30))," ",ca_5*H128/(durée_5*30))</f>
        <v xml:space="preserve"> </v>
      </c>
      <c r="I129" s="2439"/>
      <c r="J129" s="389"/>
      <c r="K129" s="2426" t="str">
        <f>IF(ISERROR(ca_6*K128/(durée_6*30))," ",ca_6*K128/(durée_6*30))</f>
        <v xml:space="preserve"> </v>
      </c>
      <c r="L129" s="2423"/>
      <c r="M129" s="389"/>
      <c r="N129" s="2426" t="str">
        <f>IF(ISERROR(ca_7*N128/(durée_7*30))," ",ca_7*N128/(durée_7*30))</f>
        <v xml:space="preserve"> </v>
      </c>
      <c r="O129" s="2423"/>
    </row>
    <row r="130" spans="1:15" s="405" customFormat="1" ht="24.9" customHeight="1" x14ac:dyDescent="0.3">
      <c r="A130" s="820"/>
      <c r="B130" s="3845" t="s">
        <v>874</v>
      </c>
      <c r="C130" s="3846"/>
      <c r="D130" s="3847"/>
      <c r="E130" s="3847"/>
      <c r="F130" s="3848"/>
      <c r="G130" s="406"/>
      <c r="H130" s="3172" t="str">
        <f>IF(ISERROR(H127+H129)," ",H127+H129)</f>
        <v xml:space="preserve"> </v>
      </c>
      <c r="I130" s="2452">
        <f>IF(ISERROR(IF(ca_5=0,0,H130*durée_5*30/ca_5)),0,IF(ca_5=0,0,H130*durée_5*30/ca_5))</f>
        <v>0</v>
      </c>
      <c r="J130" s="692"/>
      <c r="K130" s="3173" t="str">
        <f>IF(ISERROR(K127+K129)," ",K127+K129)</f>
        <v xml:space="preserve"> </v>
      </c>
      <c r="L130" s="2452">
        <f>IF(ISERROR(IF(ca_6=0,0,K130*durée_6*30/ca_6)),0,IF(ca_6=0,0,K130*durée_6*30/ca_6))</f>
        <v>0</v>
      </c>
      <c r="M130" s="693"/>
      <c r="N130" s="3172" t="str">
        <f>IF(ISERROR(N127+N129)," ",N127+N129)</f>
        <v xml:space="preserve"> </v>
      </c>
      <c r="O130" s="2452">
        <f>IF(ISERROR(IF(ca_7=0,0,N130*durée_7*30/ca_7)),0,IF(ca_7=0,0,N130*durée_7*30/ca_7))</f>
        <v>0</v>
      </c>
    </row>
    <row r="131" spans="1:15" ht="20.100000000000001" customHeight="1" x14ac:dyDescent="0.3">
      <c r="A131" s="890"/>
      <c r="B131" s="891"/>
      <c r="C131" s="891"/>
      <c r="H131" s="892"/>
      <c r="I131" s="203"/>
      <c r="J131" s="893"/>
      <c r="K131" s="894"/>
      <c r="L131" s="203"/>
      <c r="M131" s="893"/>
      <c r="N131" s="894"/>
      <c r="O131" s="203"/>
    </row>
    <row r="132" spans="1:15" s="1" customFormat="1" ht="15" customHeight="1" x14ac:dyDescent="0.3">
      <c r="A132" s="895"/>
      <c r="E132" s="1089" t="s">
        <v>178</v>
      </c>
      <c r="F132" s="1090"/>
      <c r="G132" s="1091"/>
      <c r="H132" s="1092">
        <f>IF(ISERROR(H108+H109+H112+H114+H116),0,H108+H109+H112+H114+H116)</f>
        <v>0</v>
      </c>
      <c r="I132" s="1092"/>
      <c r="J132" s="1093"/>
      <c r="K132" s="1092">
        <f>IF(ISERROR(K108+K109+K112+K114+K116),0,K108+K109+K112+K114+K116)</f>
        <v>0</v>
      </c>
      <c r="L132" s="1092"/>
      <c r="M132" s="1094"/>
      <c r="N132" s="1092">
        <f>IF(ISERROR(N108+N109+N112+N114+N116),0,N108+N109+N112+N114+N116)</f>
        <v>0</v>
      </c>
      <c r="O132" s="285"/>
    </row>
    <row r="133" spans="1:15" s="1" customFormat="1" ht="13.8" x14ac:dyDescent="0.3">
      <c r="A133" s="895"/>
      <c r="E133" s="1089" t="s">
        <v>786</v>
      </c>
      <c r="F133" s="1090"/>
      <c r="G133" s="1091"/>
      <c r="H133" s="1092">
        <f>clt_5</f>
        <v>0</v>
      </c>
      <c r="I133" s="1092"/>
      <c r="J133" s="1093"/>
      <c r="K133" s="1095">
        <f>clt_6</f>
        <v>0</v>
      </c>
      <c r="L133" s="1092"/>
      <c r="M133" s="1094"/>
      <c r="N133" s="1095">
        <f>clt_7</f>
        <v>0</v>
      </c>
      <c r="O133" s="285"/>
    </row>
    <row r="134" spans="1:15" s="1" customFormat="1" ht="13.8" hidden="1" x14ac:dyDescent="0.3">
      <c r="A134" s="895"/>
      <c r="E134" s="814" t="s">
        <v>787</v>
      </c>
      <c r="F134" s="1090"/>
      <c r="G134" s="1091"/>
      <c r="H134" s="1092">
        <f>H122</f>
        <v>0</v>
      </c>
      <c r="I134" s="1092"/>
      <c r="J134" s="1093"/>
      <c r="K134" s="1092">
        <f>K122</f>
        <v>0</v>
      </c>
      <c r="L134" s="1092"/>
      <c r="M134" s="1094"/>
      <c r="N134" s="1092">
        <f>N122</f>
        <v>0</v>
      </c>
      <c r="O134" s="285"/>
    </row>
    <row r="135" spans="1:15" s="1" customFormat="1" ht="13.8" x14ac:dyDescent="0.3">
      <c r="A135" s="895"/>
      <c r="E135" s="814" t="s">
        <v>788</v>
      </c>
      <c r="F135" s="1090"/>
      <c r="G135" s="1091"/>
      <c r="H135" s="1092">
        <f>SUM(H132:H134)</f>
        <v>0</v>
      </c>
      <c r="I135" s="1092"/>
      <c r="J135" s="1093"/>
      <c r="K135" s="1092">
        <f>SUM(K132:K134)</f>
        <v>0</v>
      </c>
      <c r="L135" s="1092"/>
      <c r="M135" s="1094"/>
      <c r="N135" s="1092">
        <f>SUM(N132:N134)</f>
        <v>0</v>
      </c>
      <c r="O135" s="285"/>
    </row>
    <row r="136" spans="1:15" s="1" customFormat="1" ht="13.8" x14ac:dyDescent="0.3">
      <c r="A136" s="895"/>
      <c r="E136" s="814" t="s">
        <v>817</v>
      </c>
      <c r="F136" s="1090"/>
      <c r="G136" s="1091"/>
      <c r="H136" s="1092">
        <f>H54+H55+H74</f>
        <v>0</v>
      </c>
      <c r="I136" s="1092"/>
      <c r="J136" s="1093"/>
      <c r="K136" s="1092">
        <f>K54+K55+K74</f>
        <v>0</v>
      </c>
      <c r="L136" s="1092"/>
      <c r="M136" s="1094"/>
      <c r="N136" s="1092">
        <f>N54+N55+N74</f>
        <v>0</v>
      </c>
      <c r="O136" s="285"/>
    </row>
    <row r="137" spans="1:15" s="1" customFormat="1" ht="13.8" x14ac:dyDescent="0.3">
      <c r="A137" s="895"/>
      <c r="E137" s="814" t="s">
        <v>1013</v>
      </c>
      <c r="F137" s="1090"/>
      <c r="G137" s="1091"/>
      <c r="H137" s="1092">
        <f>H50-H47-H61+H65</f>
        <v>0</v>
      </c>
      <c r="I137" s="1092"/>
      <c r="J137" s="1093"/>
      <c r="K137" s="1092">
        <f>K50-K47-K61+K65</f>
        <v>0</v>
      </c>
      <c r="L137" s="1092"/>
      <c r="M137" s="1094"/>
      <c r="N137" s="1092">
        <f>N50-N47-N61+N65</f>
        <v>0</v>
      </c>
      <c r="O137" s="285"/>
    </row>
    <row r="138" spans="1:15" s="1" customFormat="1" ht="13.8" x14ac:dyDescent="0.3">
      <c r="A138" s="895"/>
      <c r="E138" s="814"/>
      <c r="F138" s="1090"/>
      <c r="G138" s="1091"/>
      <c r="H138" s="1092"/>
      <c r="I138" s="1092"/>
      <c r="J138" s="1093"/>
      <c r="K138" s="1092"/>
      <c r="L138" s="1092"/>
      <c r="M138" s="1094"/>
      <c r="N138" s="1092"/>
      <c r="O138" s="285"/>
    </row>
    <row r="139" spans="1:15" s="1" customFormat="1" ht="13.8" x14ac:dyDescent="0.3">
      <c r="A139" s="895"/>
      <c r="E139" s="368" t="s">
        <v>1009</v>
      </c>
      <c r="F139" s="541"/>
      <c r="G139" s="340"/>
      <c r="H139" s="1096">
        <f>H69+H70</f>
        <v>0</v>
      </c>
      <c r="I139" s="1096"/>
      <c r="J139" s="1097"/>
      <c r="K139" s="1096">
        <f>K69+K70</f>
        <v>0</v>
      </c>
      <c r="L139" s="1096"/>
      <c r="M139" s="1098"/>
      <c r="N139" s="1096">
        <f>N69+N70</f>
        <v>0</v>
      </c>
      <c r="O139" s="285"/>
    </row>
    <row r="140" spans="1:15" s="1" customFormat="1" ht="13.8" x14ac:dyDescent="0.3">
      <c r="A140" s="895"/>
      <c r="F140" s="503"/>
      <c r="G140" s="2"/>
      <c r="H140" s="285"/>
      <c r="I140" s="285"/>
      <c r="J140" s="719"/>
      <c r="K140" s="720"/>
      <c r="L140" s="285"/>
      <c r="M140" s="663"/>
      <c r="N140" s="285"/>
      <c r="O140" s="285"/>
    </row>
    <row r="141" spans="1:15" s="1" customFormat="1" ht="13.8" x14ac:dyDescent="0.3">
      <c r="A141" s="895"/>
      <c r="F141" s="503"/>
      <c r="G141" s="2"/>
      <c r="H141" s="285"/>
      <c r="I141" s="285"/>
      <c r="J141" s="719"/>
      <c r="K141" s="720"/>
      <c r="L141" s="285"/>
      <c r="M141" s="663"/>
      <c r="N141" s="285"/>
      <c r="O141" s="285"/>
    </row>
    <row r="142" spans="1:15" s="1" customFormat="1" ht="13.8" x14ac:dyDescent="0.3">
      <c r="A142" s="895"/>
      <c r="F142" s="503"/>
      <c r="G142" s="2"/>
      <c r="H142" s="285"/>
      <c r="I142" s="285"/>
      <c r="J142" s="719"/>
      <c r="K142" s="720"/>
      <c r="L142" s="285"/>
      <c r="M142" s="663"/>
      <c r="N142" s="285"/>
      <c r="O142" s="285"/>
    </row>
    <row r="143" spans="1:15" x14ac:dyDescent="0.3">
      <c r="A143" s="890"/>
      <c r="H143" s="721"/>
      <c r="I143" s="721"/>
      <c r="J143" s="722"/>
      <c r="K143" s="723"/>
      <c r="L143" s="721"/>
      <c r="M143" s="724"/>
      <c r="N143" s="721"/>
      <c r="O143" s="721"/>
    </row>
    <row r="144" spans="1:15" x14ac:dyDescent="0.3">
      <c r="A144" s="890"/>
    </row>
  </sheetData>
  <sheetProtection algorithmName="SHA-512" hashValue="fIovHCXe9fFZP1gc7jCfEBGrkuHAhL+kSqUyxAnCtDkEKMow5qFciqh/1PmFhfpBR/eMZYc7OjevsoCEKyqZ+g==" saltValue="OXLGdYQbq9ZU/eIcZTe5mg==" spinCount="100000" sheet="1" formatCells="0" formatColumns="0" formatRows="0" insertColumns="0" insertRows="0" insertHyperlinks="0" deleteColumns="0" deleteRows="0" sort="0" autoFilter="0" pivotTables="0"/>
  <mergeCells count="131">
    <mergeCell ref="C4:D5"/>
    <mergeCell ref="B92:C93"/>
    <mergeCell ref="B94:C94"/>
    <mergeCell ref="B98:C98"/>
    <mergeCell ref="B99:C99"/>
    <mergeCell ref="B2:C2"/>
    <mergeCell ref="B107:C110"/>
    <mergeCell ref="B111:C114"/>
    <mergeCell ref="K105:K106"/>
    <mergeCell ref="B77:F77"/>
    <mergeCell ref="B79:F79"/>
    <mergeCell ref="B55:F55"/>
    <mergeCell ref="B63:F63"/>
    <mergeCell ref="B64:F64"/>
    <mergeCell ref="B70:F70"/>
    <mergeCell ref="B74:F74"/>
    <mergeCell ref="B81:F81"/>
    <mergeCell ref="B82:F82"/>
    <mergeCell ref="B84:F84"/>
    <mergeCell ref="B76:F76"/>
    <mergeCell ref="B73:F73"/>
    <mergeCell ref="B72:F72"/>
    <mergeCell ref="B13:F13"/>
    <mergeCell ref="B50:F50"/>
    <mergeCell ref="L105:L106"/>
    <mergeCell ref="H105:H106"/>
    <mergeCell ref="I105:I106"/>
    <mergeCell ref="B85:F85"/>
    <mergeCell ref="B86:F86"/>
    <mergeCell ref="H100:I100"/>
    <mergeCell ref="B97:O97"/>
    <mergeCell ref="D98:E98"/>
    <mergeCell ref="D99:E99"/>
    <mergeCell ref="B95:F95"/>
    <mergeCell ref="D94:F94"/>
    <mergeCell ref="B89:D89"/>
    <mergeCell ref="D92:F92"/>
    <mergeCell ref="D93:F93"/>
    <mergeCell ref="B88:F88"/>
    <mergeCell ref="B91:F91"/>
    <mergeCell ref="B102:E102"/>
    <mergeCell ref="B103:E103"/>
    <mergeCell ref="N102:Q102"/>
    <mergeCell ref="N103:Q103"/>
    <mergeCell ref="J101:M101"/>
    <mergeCell ref="B69:F69"/>
    <mergeCell ref="B62:F62"/>
    <mergeCell ref="B65:F65"/>
    <mergeCell ref="B15:F15"/>
    <mergeCell ref="B40:F40"/>
    <mergeCell ref="B57:F57"/>
    <mergeCell ref="B51:F51"/>
    <mergeCell ref="B42:F42"/>
    <mergeCell ref="B47:F47"/>
    <mergeCell ref="B48:F48"/>
    <mergeCell ref="B46:F46"/>
    <mergeCell ref="B53:F53"/>
    <mergeCell ref="B68:F68"/>
    <mergeCell ref="B49:F49"/>
    <mergeCell ref="B128:E128"/>
    <mergeCell ref="B130:F130"/>
    <mergeCell ref="B127:F127"/>
    <mergeCell ref="B105:E106"/>
    <mergeCell ref="B115:E115"/>
    <mergeCell ref="N100:O100"/>
    <mergeCell ref="N5:O5"/>
    <mergeCell ref="K100:L100"/>
    <mergeCell ref="B75:F75"/>
    <mergeCell ref="B33:F33"/>
    <mergeCell ref="B28:F28"/>
    <mergeCell ref="B38:F38"/>
    <mergeCell ref="B21:F21"/>
    <mergeCell ref="B22:F22"/>
    <mergeCell ref="B25:F25"/>
    <mergeCell ref="B26:F26"/>
    <mergeCell ref="B29:F29"/>
    <mergeCell ref="B23:F23"/>
    <mergeCell ref="B27:F27"/>
    <mergeCell ref="B43:F43"/>
    <mergeCell ref="B44:F44"/>
    <mergeCell ref="B20:F20"/>
    <mergeCell ref="B119:E119"/>
    <mergeCell ref="B121:E121"/>
    <mergeCell ref="B123:E123"/>
    <mergeCell ref="B125:E125"/>
    <mergeCell ref="B45:F45"/>
    <mergeCell ref="B54:F54"/>
    <mergeCell ref="E5:F5"/>
    <mergeCell ref="B71:F71"/>
    <mergeCell ref="E4:F4"/>
    <mergeCell ref="B78:F78"/>
    <mergeCell ref="B66:F66"/>
    <mergeCell ref="B35:F35"/>
    <mergeCell ref="B61:F61"/>
    <mergeCell ref="B9:F9"/>
    <mergeCell ref="B17:F17"/>
    <mergeCell ref="B19:F19"/>
    <mergeCell ref="B4:B5"/>
    <mergeCell ref="B11:F11"/>
    <mergeCell ref="B12:F12"/>
    <mergeCell ref="B36:F36"/>
    <mergeCell ref="B37:F37"/>
    <mergeCell ref="B14:F14"/>
    <mergeCell ref="B39:F39"/>
    <mergeCell ref="B7:F7"/>
    <mergeCell ref="B52:F52"/>
    <mergeCell ref="B59:F59"/>
    <mergeCell ref="D2:O2"/>
    <mergeCell ref="D107:E107"/>
    <mergeCell ref="D109:E109"/>
    <mergeCell ref="D111:E111"/>
    <mergeCell ref="D113:E113"/>
    <mergeCell ref="N105:N106"/>
    <mergeCell ref="O105:O106"/>
    <mergeCell ref="B117:E117"/>
    <mergeCell ref="K5:L5"/>
    <mergeCell ref="N4:O4"/>
    <mergeCell ref="H5:I5"/>
    <mergeCell ref="N7:O7"/>
    <mergeCell ref="H7:I7"/>
    <mergeCell ref="K7:L7"/>
    <mergeCell ref="H4:I4"/>
    <mergeCell ref="K4:L4"/>
    <mergeCell ref="B18:F18"/>
    <mergeCell ref="B30:F30"/>
    <mergeCell ref="B34:F34"/>
    <mergeCell ref="B32:F32"/>
    <mergeCell ref="B60:F60"/>
    <mergeCell ref="B24:F24"/>
    <mergeCell ref="B16:F16"/>
    <mergeCell ref="B31:F31"/>
  </mergeCells>
  <phoneticPr fontId="0" type="noConversion"/>
  <conditionalFormatting sqref="H78:I78 N78:O78 K78:L78">
    <cfRule type="cellIs" dxfId="1260" priority="189" stopIfTrue="1" operator="lessThan">
      <formula>0</formula>
    </cfRule>
  </conditionalFormatting>
  <conditionalFormatting sqref="K5:L5 N5:O5 H5:I5">
    <cfRule type="cellIs" dxfId="1259" priority="201" stopIfTrue="1" operator="notEqual">
      <formula>12</formula>
    </cfRule>
  </conditionalFormatting>
  <conditionalFormatting sqref="I9">
    <cfRule type="expression" dxfId="1258" priority="149" stopIfTrue="1">
      <formula>H9=" "</formula>
    </cfRule>
  </conditionalFormatting>
  <conditionalFormatting sqref="O9 L9">
    <cfRule type="expression" dxfId="1257" priority="148" stopIfTrue="1">
      <formula>K9=" "</formula>
    </cfRule>
  </conditionalFormatting>
  <conditionalFormatting sqref="I107 I109 I111 I113 I115 I117 I119 L107 L109 L111 L113 L115 L117 L119 O107 O109 O111 O113 O115 O117 O119 I128 O128 H125:I125 K125:L125 N125:O125 N123:O123 K123:L123 H123:I123 N121:O121 K121:L121 H121:I121 K128:L128 H128:H129 N128:N129">
    <cfRule type="cellIs" dxfId="1256" priority="72" stopIfTrue="1" operator="equal">
      <formula>0</formula>
    </cfRule>
  </conditionalFormatting>
  <conditionalFormatting sqref="H68:I68 K68:L68 N68:O68 H77:I77 K77:L77 N77:O77 H57:I57 K57:L57 N57:O57 H66:I66 K66:L66 N66:O66 H86:I86 K86:L86 N86:O86 H53 K53 N53">
    <cfRule type="cellIs" dxfId="1255" priority="48" stopIfTrue="1" operator="lessThan">
      <formula>0</formula>
    </cfRule>
  </conditionalFormatting>
  <conditionalFormatting sqref="I98 L98 O98">
    <cfRule type="cellIs" dxfId="1254" priority="45" stopIfTrue="1" operator="equal">
      <formula>0</formula>
    </cfRule>
  </conditionalFormatting>
  <conditionalFormatting sqref="I99 L99 O99">
    <cfRule type="cellIs" dxfId="1253" priority="43" stopIfTrue="1" operator="equal">
      <formula>0</formula>
    </cfRule>
  </conditionalFormatting>
  <conditionalFormatting sqref="H84:I84 K84:L84 N84:O84">
    <cfRule type="cellIs" dxfId="1252" priority="38" stopIfTrue="1" operator="lessThan">
      <formula>0</formula>
    </cfRule>
  </conditionalFormatting>
  <conditionalFormatting sqref="H7:I7">
    <cfRule type="cellIs" dxfId="1251" priority="32" stopIfTrue="1" operator="equal">
      <formula>"Durée de l'exercice ?"</formula>
    </cfRule>
  </conditionalFormatting>
  <conditionalFormatting sqref="B9:F9">
    <cfRule type="cellIs" dxfId="1250" priority="29" operator="equal">
      <formula>"Vous avez omis de préciser le type d'activité ci-dessus"</formula>
    </cfRule>
  </conditionalFormatting>
  <conditionalFormatting sqref="N7:O7 K7:L7">
    <cfRule type="cellIs" dxfId="1249" priority="28" stopIfTrue="1" operator="equal">
      <formula>"Durée de l'exercice ?"</formula>
    </cfRule>
  </conditionalFormatting>
  <conditionalFormatting sqref="I103">
    <cfRule type="cellIs" dxfId="1248" priority="24" stopIfTrue="1" operator="equal">
      <formula>0</formula>
    </cfRule>
  </conditionalFormatting>
  <conditionalFormatting sqref="L103">
    <cfRule type="cellIs" dxfId="1247" priority="22" stopIfTrue="1" operator="equal">
      <formula>0</formula>
    </cfRule>
  </conditionalFormatting>
  <conditionalFormatting sqref="H102:H103 K102:K103">
    <cfRule type="cellIs" dxfId="1246" priority="21" operator="equal">
      <formula>0</formula>
    </cfRule>
  </conditionalFormatting>
  <conditionalFormatting sqref="I130 O130 L130">
    <cfRule type="cellIs" dxfId="1245" priority="20" stopIfTrue="1" operator="equal">
      <formula>0</formula>
    </cfRule>
  </conditionalFormatting>
  <conditionalFormatting sqref="H130 K130 N130">
    <cfRule type="cellIs" dxfId="1244" priority="19" operator="equal">
      <formula>0</formula>
    </cfRule>
  </conditionalFormatting>
  <conditionalFormatting sqref="H127:I127 K127:L127 N127:O127">
    <cfRule type="cellIs" dxfId="1243" priority="18" operator="equal">
      <formula>0</formula>
    </cfRule>
  </conditionalFormatting>
  <conditionalFormatting sqref="H130:I130 K130:L130 N130:O130">
    <cfRule type="cellIs" dxfId="1242" priority="17" operator="lessThan">
      <formula>0</formula>
    </cfRule>
  </conditionalFormatting>
  <conditionalFormatting sqref="H64 N64 K64">
    <cfRule type="cellIs" dxfId="1241" priority="16" stopIfTrue="1" operator="lessThan">
      <formula>0</formula>
    </cfRule>
  </conditionalFormatting>
  <conditionalFormatting sqref="I102 L102">
    <cfRule type="cellIs" dxfId="1240" priority="15" operator="equal">
      <formula>0</formula>
    </cfRule>
  </conditionalFormatting>
  <conditionalFormatting sqref="I95 L95 O95">
    <cfRule type="cellIs" dxfId="1239" priority="13" operator="equal">
      <formula>-1</formula>
    </cfRule>
  </conditionalFormatting>
  <conditionalFormatting sqref="K129">
    <cfRule type="cellIs" dxfId="1238" priority="12" stopIfTrue="1" operator="equal">
      <formula>0</formula>
    </cfRule>
  </conditionalFormatting>
  <conditionalFormatting sqref="H4:I4">
    <cfRule type="expression" dxfId="1237" priority="11">
      <formula>H5&lt;&gt;12</formula>
    </cfRule>
  </conditionalFormatting>
  <conditionalFormatting sqref="K4:L4">
    <cfRule type="cellIs" dxfId="1236" priority="2" operator="equal">
      <formula>0</formula>
    </cfRule>
    <cfRule type="expression" dxfId="1235" priority="10">
      <formula>K5&lt;&gt;12</formula>
    </cfRule>
  </conditionalFormatting>
  <conditionalFormatting sqref="N4:O4">
    <cfRule type="cellIs" dxfId="1234" priority="1" operator="equal">
      <formula>0</formula>
    </cfRule>
    <cfRule type="expression" dxfId="1233" priority="8">
      <formula>N5&lt;&gt;12</formula>
    </cfRule>
  </conditionalFormatting>
  <conditionalFormatting sqref="N102:Q102">
    <cfRule type="expression" dxfId="1232" priority="4">
      <formula>M102=1</formula>
    </cfRule>
  </conditionalFormatting>
  <conditionalFormatting sqref="N103:Q103">
    <cfRule type="expression" dxfId="1231" priority="3">
      <formula>M103=1</formula>
    </cfRule>
  </conditionalFormatting>
  <dataValidations xWindow="439" yWindow="292" count="1">
    <dataValidation type="list" allowBlank="1" showInputMessage="1" showErrorMessage="1" sqref="C4:D5" xr:uid="{00000000-0002-0000-0400-000000000000}">
      <formula1>"Négoce,Production de biens,Production de services"</formula1>
    </dataValidation>
  </dataValidations>
  <printOptions horizontalCentered="1"/>
  <pageMargins left="0" right="0" top="0" bottom="0" header="0" footer="0"/>
  <pageSetup paperSize="9" scale="62" fitToHeight="2" orientation="portrait" r:id="rId1"/>
  <headerFooter alignWithMargins="0"/>
  <cellWatches>
    <cellWatch r="P14"/>
  </cellWatches>
  <drawing r:id="rId2"/>
  <legacyDrawing r:id="rId3"/>
  <mc:AlternateContent xmlns:mc="http://schemas.openxmlformats.org/markup-compatibility/2006">
    <mc:Choice Requires="x14">
      <controls>
        <mc:AlternateContent xmlns:mc="http://schemas.openxmlformats.org/markup-compatibility/2006">
          <mc:Choice Requires="x14">
            <control shapeId="12311" r:id="rId4" name="Button 23">
              <controlPr defaultSize="0" print="0" autoFill="0" autoPict="0">
                <anchor moveWithCells="1" sizeWithCells="1">
                  <from>
                    <xdr:col>14</xdr:col>
                    <xdr:colOff>0</xdr:colOff>
                    <xdr:row>78</xdr:row>
                    <xdr:rowOff>0</xdr:rowOff>
                  </from>
                  <to>
                    <xdr:col>14</xdr:col>
                    <xdr:colOff>0</xdr:colOff>
                    <xdr:row>78</xdr:row>
                    <xdr:rowOff>0</xdr:rowOff>
                  </to>
                </anchor>
              </controlPr>
            </control>
          </mc:Choice>
        </mc:AlternateContent>
        <mc:AlternateContent xmlns:mc="http://schemas.openxmlformats.org/markup-compatibility/2006">
          <mc:Choice Requires="x14">
            <control shapeId="12312" r:id="rId5" name="Button 24">
              <controlPr defaultSize="0" print="0" autoFill="0" autoPict="0">
                <anchor moveWithCells="1" sizeWithCells="1">
                  <from>
                    <xdr:col>14</xdr:col>
                    <xdr:colOff>0</xdr:colOff>
                    <xdr:row>78</xdr:row>
                    <xdr:rowOff>0</xdr:rowOff>
                  </from>
                  <to>
                    <xdr:col>14</xdr:col>
                    <xdr:colOff>0</xdr:colOff>
                    <xdr:row>78</xdr:row>
                    <xdr:rowOff>0</xdr:rowOff>
                  </to>
                </anchor>
              </controlPr>
            </control>
          </mc:Choice>
        </mc:AlternateContent>
        <mc:AlternateContent xmlns:mc="http://schemas.openxmlformats.org/markup-compatibility/2006">
          <mc:Choice Requires="x14">
            <control shapeId="12349" r:id="rId6" name="Button 61">
              <controlPr defaultSize="0" print="0" autoFill="0" autoPict="0">
                <anchor moveWithCells="1" sizeWithCells="1">
                  <from>
                    <xdr:col>14</xdr:col>
                    <xdr:colOff>0</xdr:colOff>
                    <xdr:row>78</xdr:row>
                    <xdr:rowOff>0</xdr:rowOff>
                  </from>
                  <to>
                    <xdr:col>14</xdr:col>
                    <xdr:colOff>0</xdr:colOff>
                    <xdr:row>78</xdr:row>
                    <xdr:rowOff>0</xdr:rowOff>
                  </to>
                </anchor>
              </controlPr>
            </control>
          </mc:Choice>
        </mc:AlternateContent>
        <mc:AlternateContent xmlns:mc="http://schemas.openxmlformats.org/markup-compatibility/2006">
          <mc:Choice Requires="x14">
            <control shapeId="12350" r:id="rId7" name="Button 62">
              <controlPr defaultSize="0" print="0" autoFill="0" autoPict="0">
                <anchor moveWithCells="1" sizeWithCells="1">
                  <from>
                    <xdr:col>14</xdr:col>
                    <xdr:colOff>0</xdr:colOff>
                    <xdr:row>78</xdr:row>
                    <xdr:rowOff>0</xdr:rowOff>
                  </from>
                  <to>
                    <xdr:col>14</xdr:col>
                    <xdr:colOff>0</xdr:colOff>
                    <xdr:row>78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tabColor rgb="FFFFC000"/>
    <pageSetUpPr fitToPage="1"/>
  </sheetPr>
  <dimension ref="B1:Q76"/>
  <sheetViews>
    <sheetView showGridLines="0" showRowColHeaders="0" workbookViewId="0">
      <pane ySplit="5" topLeftCell="A6" activePane="bottomLeft" state="frozenSplit"/>
      <selection activeCell="G7" sqref="G7:G8"/>
      <selection pane="bottomLeft" activeCell="E2" sqref="E2:P2"/>
    </sheetView>
  </sheetViews>
  <sheetFormatPr baseColWidth="10" defaultColWidth="10.77734375" defaultRowHeight="13.8" x14ac:dyDescent="0.3"/>
  <cols>
    <col min="1" max="1" width="1.77734375" style="1" customWidth="1"/>
    <col min="2" max="2" width="23.44140625" style="1" customWidth="1"/>
    <col min="3" max="3" width="20.77734375" style="154" customWidth="1"/>
    <col min="4" max="4" width="13.44140625" style="1" customWidth="1"/>
    <col min="5" max="5" width="14.77734375" style="1" customWidth="1"/>
    <col min="6" max="6" width="11.77734375" style="30" customWidth="1"/>
    <col min="7" max="7" width="10.77734375" style="1" customWidth="1"/>
    <col min="8" max="8" width="0.6640625" style="2" customWidth="1"/>
    <col min="9" max="10" width="12.77734375" style="1" customWidth="1"/>
    <col min="11" max="11" width="0.6640625" style="2" customWidth="1"/>
    <col min="12" max="13" width="12.77734375" style="1" customWidth="1"/>
    <col min="14" max="14" width="0.6640625" style="2" customWidth="1"/>
    <col min="15" max="16" width="12.77734375" style="1" customWidth="1"/>
    <col min="17" max="16384" width="10.77734375" style="1"/>
  </cols>
  <sheetData>
    <row r="1" spans="2:16" ht="6" customHeight="1" x14ac:dyDescent="0.3">
      <c r="F1" s="752"/>
    </row>
    <row r="2" spans="2:16" s="137" customFormat="1" ht="21.9" customHeight="1" x14ac:dyDescent="0.35">
      <c r="B2" s="3969" t="str">
        <f>IF(ISBLANK(nom)," ",nom)</f>
        <v xml:space="preserve"> </v>
      </c>
      <c r="C2" s="3970"/>
      <c r="D2" s="3970"/>
      <c r="E2" s="3971" t="s">
        <v>902</v>
      </c>
      <c r="F2" s="3746"/>
      <c r="G2" s="3746"/>
      <c r="H2" s="3746"/>
      <c r="I2" s="3746"/>
      <c r="J2" s="3746"/>
      <c r="K2" s="3746"/>
      <c r="L2" s="3746"/>
      <c r="M2" s="3746"/>
      <c r="N2" s="3746"/>
      <c r="O2" s="3746"/>
      <c r="P2" s="3747"/>
    </row>
    <row r="3" spans="2:16" s="2" customFormat="1" ht="20.100000000000001" customHeight="1" x14ac:dyDescent="0.3">
      <c r="D3" s="151"/>
      <c r="E3" s="150"/>
      <c r="F3" s="150"/>
      <c r="G3" s="150"/>
      <c r="H3" s="150"/>
      <c r="I3" s="4016" t="s">
        <v>666</v>
      </c>
      <c r="J3" s="4016"/>
      <c r="K3" s="4016"/>
      <c r="L3" s="4016"/>
      <c r="M3" s="4016"/>
      <c r="N3" s="474"/>
      <c r="O3" s="474"/>
    </row>
    <row r="4" spans="2:16" ht="23.1" customHeight="1" x14ac:dyDescent="0.3">
      <c r="B4" s="4031" t="s">
        <v>304</v>
      </c>
      <c r="C4" s="4019" t="s">
        <v>2</v>
      </c>
      <c r="D4" s="4020"/>
      <c r="E4" s="4021"/>
      <c r="F4" s="4033" t="s">
        <v>302</v>
      </c>
      <c r="G4" s="4029" t="s">
        <v>572</v>
      </c>
      <c r="H4" s="1740"/>
      <c r="I4" s="4025" t="str">
        <f>IF(ISBLANK(An)," ",An)</f>
        <v xml:space="preserve"> </v>
      </c>
      <c r="J4" s="4026"/>
      <c r="K4" s="518"/>
      <c r="L4" s="4027" t="str">
        <f>IF(ISBLANK(An)," ",An+1)</f>
        <v xml:space="preserve"> </v>
      </c>
      <c r="M4" s="4028"/>
      <c r="N4" s="518"/>
      <c r="O4" s="4027" t="str">
        <f>IF(ISBLANK(An)," ",An+2)</f>
        <v xml:space="preserve"> </v>
      </c>
      <c r="P4" s="4028"/>
    </row>
    <row r="5" spans="2:16" s="58" customFormat="1" ht="23.1" customHeight="1" x14ac:dyDescent="0.25">
      <c r="B5" s="4032"/>
      <c r="C5" s="4022"/>
      <c r="D5" s="4023"/>
      <c r="E5" s="4024"/>
      <c r="F5" s="4034"/>
      <c r="G5" s="4030"/>
      <c r="H5" s="348"/>
      <c r="I5" s="1741" t="s">
        <v>573</v>
      </c>
      <c r="J5" s="1742" t="s">
        <v>244</v>
      </c>
      <c r="K5" s="949"/>
      <c r="L5" s="1741" t="s">
        <v>573</v>
      </c>
      <c r="M5" s="1742" t="s">
        <v>244</v>
      </c>
      <c r="N5" s="949"/>
      <c r="O5" s="1741" t="s">
        <v>573</v>
      </c>
      <c r="P5" s="1742" t="s">
        <v>244</v>
      </c>
    </row>
    <row r="6" spans="2:16" ht="9" customHeight="1" x14ac:dyDescent="0.3">
      <c r="C6" s="362"/>
      <c r="D6" s="362"/>
      <c r="E6" s="362"/>
      <c r="F6" s="489"/>
      <c r="G6" s="362"/>
      <c r="H6" s="362"/>
      <c r="I6" s="362"/>
      <c r="J6" s="150"/>
      <c r="K6" s="150"/>
      <c r="L6" s="150"/>
    </row>
    <row r="7" spans="2:16" ht="20.100000000000001" customHeight="1" x14ac:dyDescent="0.3">
      <c r="B7" s="4017" t="s">
        <v>600</v>
      </c>
      <c r="C7" s="1731" t="s">
        <v>277</v>
      </c>
      <c r="D7" s="1738" t="s">
        <v>665</v>
      </c>
      <c r="E7" s="1736"/>
      <c r="F7" s="1732"/>
      <c r="G7" s="456"/>
      <c r="H7" s="438"/>
      <c r="I7" s="447"/>
      <c r="J7" s="453"/>
      <c r="K7" s="341"/>
      <c r="L7" s="447"/>
      <c r="M7" s="453"/>
      <c r="N7" s="341"/>
      <c r="O7" s="447"/>
      <c r="P7" s="453"/>
    </row>
    <row r="8" spans="2:16" ht="20.100000000000001" customHeight="1" x14ac:dyDescent="0.3">
      <c r="B8" s="4018"/>
      <c r="C8" s="1733" t="s">
        <v>278</v>
      </c>
      <c r="D8" s="1739" t="s">
        <v>665</v>
      </c>
      <c r="E8" s="1737"/>
      <c r="F8" s="1734"/>
      <c r="G8" s="1735"/>
      <c r="H8" s="152"/>
      <c r="I8" s="448"/>
      <c r="J8" s="454"/>
      <c r="K8" s="341"/>
      <c r="L8" s="448"/>
      <c r="M8" s="454"/>
      <c r="N8" s="341"/>
      <c r="O8" s="448"/>
      <c r="P8" s="454"/>
    </row>
    <row r="9" spans="2:16" ht="20.100000000000001" customHeight="1" x14ac:dyDescent="0.3">
      <c r="B9" s="4011" t="s">
        <v>601</v>
      </c>
      <c r="C9" s="4012"/>
      <c r="D9" s="4013"/>
      <c r="E9" s="4014"/>
      <c r="F9" s="437"/>
      <c r="G9" s="430"/>
      <c r="H9" s="439"/>
      <c r="I9" s="449"/>
      <c r="J9" s="443"/>
      <c r="K9" s="156"/>
      <c r="L9" s="449"/>
      <c r="M9" s="443"/>
      <c r="N9" s="156"/>
      <c r="O9" s="449"/>
      <c r="P9" s="443"/>
    </row>
    <row r="10" spans="2:16" ht="20.100000000000001" customHeight="1" x14ac:dyDescent="0.3">
      <c r="B10" s="3983"/>
      <c r="C10" s="3973"/>
      <c r="D10" s="3974"/>
      <c r="E10" s="3975"/>
      <c r="F10" s="435"/>
      <c r="G10" s="432"/>
      <c r="H10" s="438"/>
      <c r="I10" s="450"/>
      <c r="J10" s="445"/>
      <c r="K10" s="156"/>
      <c r="L10" s="450"/>
      <c r="M10" s="445"/>
      <c r="N10" s="156"/>
      <c r="O10" s="450"/>
      <c r="P10" s="445"/>
    </row>
    <row r="11" spans="2:16" ht="20.100000000000001" customHeight="1" x14ac:dyDescent="0.3">
      <c r="B11" s="3984"/>
      <c r="C11" s="4005" t="s">
        <v>986</v>
      </c>
      <c r="D11" s="4006"/>
      <c r="E11" s="4007"/>
      <c r="F11" s="436"/>
      <c r="G11" s="433"/>
      <c r="H11" s="438"/>
      <c r="I11" s="3273">
        <f>'Rachat ou reprise'!F100</f>
        <v>0</v>
      </c>
      <c r="J11" s="446"/>
      <c r="K11" s="156"/>
      <c r="L11" s="451"/>
      <c r="M11" s="446"/>
      <c r="N11" s="156"/>
      <c r="O11" s="451"/>
      <c r="P11" s="446"/>
    </row>
    <row r="12" spans="2:16" ht="20.100000000000001" customHeight="1" x14ac:dyDescent="0.3">
      <c r="B12" s="3982" t="s">
        <v>486</v>
      </c>
      <c r="C12" s="4012"/>
      <c r="D12" s="4013"/>
      <c r="E12" s="4014"/>
      <c r="F12" s="437"/>
      <c r="G12" s="430"/>
      <c r="H12" s="439"/>
      <c r="I12" s="452"/>
      <c r="J12" s="455"/>
      <c r="K12" s="156"/>
      <c r="L12" s="452"/>
      <c r="M12" s="455"/>
      <c r="N12" s="156"/>
      <c r="O12" s="452"/>
      <c r="P12" s="455"/>
    </row>
    <row r="13" spans="2:16" ht="20.100000000000001" customHeight="1" x14ac:dyDescent="0.3">
      <c r="B13" s="3983"/>
      <c r="C13" s="3973"/>
      <c r="D13" s="3974"/>
      <c r="E13" s="3975"/>
      <c r="F13" s="435"/>
      <c r="G13" s="432"/>
      <c r="H13" s="438"/>
      <c r="I13" s="450"/>
      <c r="J13" s="445"/>
      <c r="K13" s="156"/>
      <c r="L13" s="450"/>
      <c r="M13" s="445"/>
      <c r="N13" s="156"/>
      <c r="O13" s="450"/>
      <c r="P13" s="445"/>
    </row>
    <row r="14" spans="2:16" ht="20.100000000000001" customHeight="1" x14ac:dyDescent="0.3">
      <c r="B14" s="3984"/>
      <c r="C14" s="4005" t="s">
        <v>1351</v>
      </c>
      <c r="D14" s="4006"/>
      <c r="E14" s="4007"/>
      <c r="F14" s="437"/>
      <c r="G14" s="430"/>
      <c r="H14" s="438"/>
      <c r="I14" s="3273">
        <f>'Rachat ou reprise'!F101+'Rachat ou reprise'!F102</f>
        <v>0</v>
      </c>
      <c r="J14" s="455"/>
      <c r="K14" s="156"/>
      <c r="L14" s="452"/>
      <c r="M14" s="455"/>
      <c r="N14" s="156"/>
      <c r="O14" s="452"/>
      <c r="P14" s="455"/>
    </row>
    <row r="15" spans="2:16" ht="20.100000000000001" customHeight="1" x14ac:dyDescent="0.3">
      <c r="B15" s="3982" t="s">
        <v>793</v>
      </c>
      <c r="C15" s="3996"/>
      <c r="D15" s="3997"/>
      <c r="E15" s="3998"/>
      <c r="F15" s="434"/>
      <c r="G15" s="431"/>
      <c r="H15" s="439"/>
      <c r="I15" s="449"/>
      <c r="J15" s="443"/>
      <c r="K15" s="156"/>
      <c r="L15" s="449"/>
      <c r="M15" s="443"/>
      <c r="N15" s="156"/>
      <c r="O15" s="449"/>
      <c r="P15" s="443"/>
    </row>
    <row r="16" spans="2:16" ht="20.100000000000001" customHeight="1" x14ac:dyDescent="0.3">
      <c r="B16" s="3983"/>
      <c r="C16" s="3973"/>
      <c r="D16" s="3974"/>
      <c r="E16" s="3975"/>
      <c r="F16" s="435"/>
      <c r="G16" s="432"/>
      <c r="H16" s="438"/>
      <c r="I16" s="450"/>
      <c r="J16" s="445"/>
      <c r="K16" s="156"/>
      <c r="L16" s="450"/>
      <c r="M16" s="445"/>
      <c r="N16" s="156"/>
      <c r="O16" s="450"/>
      <c r="P16" s="445"/>
    </row>
    <row r="17" spans="2:17" ht="20.100000000000001" customHeight="1" x14ac:dyDescent="0.3">
      <c r="B17" s="3984"/>
      <c r="C17" s="4005" t="s">
        <v>987</v>
      </c>
      <c r="D17" s="4006"/>
      <c r="E17" s="4007"/>
      <c r="F17" s="436"/>
      <c r="G17" s="433"/>
      <c r="H17" s="438"/>
      <c r="I17" s="3273">
        <f>'Rachat ou reprise'!F103</f>
        <v>0</v>
      </c>
      <c r="J17" s="446"/>
      <c r="K17" s="156"/>
      <c r="L17" s="451"/>
      <c r="M17" s="446"/>
      <c r="N17" s="156"/>
      <c r="O17" s="451"/>
      <c r="P17" s="446"/>
      <c r="Q17" s="441"/>
    </row>
    <row r="18" spans="2:17" ht="20.100000000000001" customHeight="1" x14ac:dyDescent="0.3">
      <c r="B18" s="3982" t="s">
        <v>490</v>
      </c>
      <c r="C18" s="4012"/>
      <c r="D18" s="4013"/>
      <c r="E18" s="4014"/>
      <c r="F18" s="437"/>
      <c r="G18" s="430"/>
      <c r="H18" s="439"/>
      <c r="I18" s="452"/>
      <c r="J18" s="455"/>
      <c r="K18" s="156"/>
      <c r="L18" s="452"/>
      <c r="M18" s="455"/>
      <c r="N18" s="156"/>
      <c r="O18" s="452"/>
      <c r="P18" s="455"/>
    </row>
    <row r="19" spans="2:17" ht="20.100000000000001" customHeight="1" x14ac:dyDescent="0.3">
      <c r="B19" s="3983"/>
      <c r="C19" s="3973"/>
      <c r="D19" s="3974"/>
      <c r="E19" s="3975"/>
      <c r="F19" s="435"/>
      <c r="G19" s="432"/>
      <c r="H19" s="438"/>
      <c r="I19" s="450"/>
      <c r="J19" s="485"/>
      <c r="K19" s="156"/>
      <c r="L19" s="450"/>
      <c r="M19" s="445"/>
      <c r="N19" s="156"/>
      <c r="O19" s="450"/>
      <c r="P19" s="445"/>
    </row>
    <row r="20" spans="2:17" ht="20.100000000000001" customHeight="1" x14ac:dyDescent="0.3">
      <c r="B20" s="3984"/>
      <c r="C20" s="4005" t="s">
        <v>1352</v>
      </c>
      <c r="D20" s="4006"/>
      <c r="E20" s="4007"/>
      <c r="F20" s="437"/>
      <c r="G20" s="430"/>
      <c r="H20" s="438"/>
      <c r="I20" s="3273">
        <f>'Rachat ou reprise'!F104</f>
        <v>0</v>
      </c>
      <c r="J20" s="455"/>
      <c r="K20" s="156"/>
      <c r="L20" s="452"/>
      <c r="M20" s="455"/>
      <c r="N20" s="156"/>
      <c r="O20" s="452"/>
      <c r="P20" s="455"/>
    </row>
    <row r="21" spans="2:17" ht="20.100000000000001" customHeight="1" x14ac:dyDescent="0.3">
      <c r="B21" s="3982" t="s">
        <v>491</v>
      </c>
      <c r="C21" s="3996"/>
      <c r="D21" s="3997"/>
      <c r="E21" s="3998"/>
      <c r="F21" s="434"/>
      <c r="G21" s="431"/>
      <c r="H21" s="439"/>
      <c r="I21" s="449"/>
      <c r="J21" s="443"/>
      <c r="K21" s="156"/>
      <c r="L21" s="449"/>
      <c r="M21" s="443"/>
      <c r="N21" s="156"/>
      <c r="O21" s="449"/>
      <c r="P21" s="443"/>
    </row>
    <row r="22" spans="2:17" ht="20.100000000000001" customHeight="1" x14ac:dyDescent="0.3">
      <c r="B22" s="3983"/>
      <c r="C22" s="3973"/>
      <c r="D22" s="3974"/>
      <c r="E22" s="3975"/>
      <c r="F22" s="435"/>
      <c r="G22" s="432"/>
      <c r="H22" s="439"/>
      <c r="I22" s="450"/>
      <c r="J22" s="445"/>
      <c r="K22" s="156"/>
      <c r="L22" s="450"/>
      <c r="M22" s="445"/>
      <c r="N22" s="156"/>
      <c r="O22" s="450"/>
      <c r="P22" s="445"/>
    </row>
    <row r="23" spans="2:17" ht="20.100000000000001" customHeight="1" x14ac:dyDescent="0.3">
      <c r="B23" s="3984"/>
      <c r="C23" s="4005" t="s">
        <v>988</v>
      </c>
      <c r="D23" s="4006"/>
      <c r="E23" s="4007"/>
      <c r="F23" s="436"/>
      <c r="G23" s="433"/>
      <c r="H23" s="438"/>
      <c r="I23" s="3273">
        <f>'Rachat ou reprise'!F105+'Rachat ou reprise'!F106</f>
        <v>0</v>
      </c>
      <c r="J23" s="460"/>
      <c r="K23" s="156"/>
      <c r="L23" s="486"/>
      <c r="M23" s="460"/>
      <c r="N23" s="156"/>
      <c r="O23" s="486"/>
      <c r="P23" s="460"/>
    </row>
    <row r="24" spans="2:17" ht="24.9" customHeight="1" x14ac:dyDescent="0.3">
      <c r="B24" s="3979" t="s">
        <v>563</v>
      </c>
      <c r="C24" s="3980"/>
      <c r="D24" s="3980"/>
      <c r="E24" s="3980"/>
      <c r="F24" s="3980"/>
      <c r="G24" s="3981"/>
      <c r="H24" s="155"/>
      <c r="I24" s="833">
        <f>SUM(I7:I23)</f>
        <v>0</v>
      </c>
      <c r="J24" s="488">
        <f>SUM(J7:J23)</f>
        <v>0</v>
      </c>
      <c r="K24" s="440"/>
      <c r="L24" s="833">
        <f>SUM(L7:L23)</f>
        <v>0</v>
      </c>
      <c r="M24" s="488">
        <f>SUM(M7:M23)</f>
        <v>0</v>
      </c>
      <c r="N24" s="440"/>
      <c r="O24" s="833">
        <f>SUM(O7:O23)</f>
        <v>0</v>
      </c>
      <c r="P24" s="488">
        <f>SUM(P7:P23)</f>
        <v>0</v>
      </c>
    </row>
    <row r="25" spans="2:17" ht="6" customHeight="1" x14ac:dyDescent="0.3"/>
    <row r="26" spans="2:17" ht="20.100000000000001" customHeight="1" x14ac:dyDescent="0.3">
      <c r="B26" s="3990" t="s">
        <v>487</v>
      </c>
      <c r="C26" s="4046" t="s">
        <v>810</v>
      </c>
      <c r="D26" s="4047"/>
      <c r="E26" s="4048"/>
      <c r="F26" s="475"/>
      <c r="G26" s="456"/>
      <c r="H26" s="438"/>
      <c r="I26" s="442"/>
      <c r="J26" s="443"/>
      <c r="K26" s="156"/>
      <c r="L26" s="442"/>
      <c r="M26" s="443"/>
      <c r="N26" s="156"/>
      <c r="O26" s="442"/>
      <c r="P26" s="443"/>
    </row>
    <row r="27" spans="2:17" ht="20.100000000000001" customHeight="1" x14ac:dyDescent="0.3">
      <c r="B27" s="3991"/>
      <c r="C27" s="4008" t="s">
        <v>811</v>
      </c>
      <c r="D27" s="3784"/>
      <c r="E27" s="4015"/>
      <c r="F27" s="476"/>
      <c r="G27" s="432"/>
      <c r="H27" s="438"/>
      <c r="I27" s="444"/>
      <c r="J27" s="445"/>
      <c r="K27" s="156"/>
      <c r="L27" s="444"/>
      <c r="M27" s="445"/>
      <c r="N27" s="156"/>
      <c r="O27" s="444"/>
      <c r="P27" s="445"/>
    </row>
    <row r="28" spans="2:17" ht="20.100000000000001" customHeight="1" x14ac:dyDescent="0.3">
      <c r="B28" s="3991"/>
      <c r="C28" s="4008" t="s">
        <v>812</v>
      </c>
      <c r="D28" s="3784"/>
      <c r="E28" s="4015"/>
      <c r="F28" s="476"/>
      <c r="G28" s="430"/>
      <c r="H28" s="438"/>
      <c r="I28" s="459"/>
      <c r="J28" s="455"/>
      <c r="K28" s="156"/>
      <c r="L28" s="459"/>
      <c r="M28" s="455"/>
      <c r="N28" s="156"/>
      <c r="O28" s="459"/>
      <c r="P28" s="455"/>
    </row>
    <row r="29" spans="2:17" ht="20.100000000000001" customHeight="1" x14ac:dyDescent="0.3">
      <c r="B29" s="3992"/>
      <c r="C29" s="4044" t="s">
        <v>635</v>
      </c>
      <c r="D29" s="4045"/>
      <c r="E29" s="4045"/>
      <c r="F29" s="476"/>
      <c r="G29" s="432"/>
      <c r="H29" s="438"/>
      <c r="I29" s="552">
        <f>fonds</f>
        <v>0</v>
      </c>
      <c r="J29" s="445"/>
      <c r="K29" s="156"/>
      <c r="L29" s="444"/>
      <c r="M29" s="445"/>
      <c r="N29" s="156"/>
      <c r="O29" s="444"/>
      <c r="P29" s="445"/>
    </row>
    <row r="30" spans="2:17" ht="20.100000000000001" customHeight="1" x14ac:dyDescent="0.3">
      <c r="B30" s="3992"/>
      <c r="C30" s="4008" t="s">
        <v>40</v>
      </c>
      <c r="D30" s="4009"/>
      <c r="E30" s="4009"/>
      <c r="F30" s="476"/>
      <c r="G30" s="432"/>
      <c r="H30" s="438"/>
      <c r="I30" s="444"/>
      <c r="J30" s="445"/>
      <c r="K30" s="156"/>
      <c r="L30" s="444"/>
      <c r="M30" s="445"/>
      <c r="N30" s="156"/>
      <c r="O30" s="444"/>
      <c r="P30" s="445"/>
    </row>
    <row r="31" spans="2:17" ht="20.100000000000001" customHeight="1" x14ac:dyDescent="0.3">
      <c r="B31" s="3993"/>
      <c r="C31" s="4008" t="s">
        <v>41</v>
      </c>
      <c r="D31" s="4009"/>
      <c r="E31" s="4009"/>
      <c r="F31" s="476"/>
      <c r="G31" s="432"/>
      <c r="H31" s="438"/>
      <c r="I31" s="444"/>
      <c r="J31" s="445"/>
      <c r="K31" s="156"/>
      <c r="L31" s="444"/>
      <c r="M31" s="445"/>
      <c r="N31" s="156"/>
      <c r="O31" s="444"/>
      <c r="P31" s="445"/>
    </row>
    <row r="32" spans="2:17" ht="20.100000000000001" customHeight="1" x14ac:dyDescent="0.3">
      <c r="B32" s="3994"/>
      <c r="C32" s="4008" t="s">
        <v>489</v>
      </c>
      <c r="D32" s="4009"/>
      <c r="E32" s="4009"/>
      <c r="F32" s="477"/>
      <c r="G32" s="432"/>
      <c r="H32" s="438"/>
      <c r="I32" s="444"/>
      <c r="J32" s="445"/>
      <c r="K32" s="156"/>
      <c r="L32" s="444"/>
      <c r="M32" s="445"/>
      <c r="N32" s="156"/>
      <c r="O32" s="444"/>
      <c r="P32" s="445"/>
    </row>
    <row r="33" spans="2:16" ht="20.100000000000001" customHeight="1" x14ac:dyDescent="0.3">
      <c r="B33" s="3995"/>
      <c r="C33" s="4054"/>
      <c r="D33" s="4055"/>
      <c r="E33" s="4055"/>
      <c r="F33" s="457"/>
      <c r="G33" s="458"/>
      <c r="H33" s="438"/>
      <c r="I33" s="459"/>
      <c r="J33" s="460"/>
      <c r="K33" s="156"/>
      <c r="L33" s="459"/>
      <c r="M33" s="460"/>
      <c r="N33" s="156"/>
      <c r="O33" s="459"/>
      <c r="P33" s="460"/>
    </row>
    <row r="34" spans="2:16" ht="20.100000000000001" customHeight="1" x14ac:dyDescent="0.3">
      <c r="B34" s="3985" t="s">
        <v>92</v>
      </c>
      <c r="C34" s="4000" t="s">
        <v>850</v>
      </c>
      <c r="D34" s="4001"/>
      <c r="E34" s="4001"/>
      <c r="F34" s="4001"/>
      <c r="G34" s="4002"/>
      <c r="H34" s="300"/>
      <c r="I34" s="461"/>
      <c r="J34" s="462"/>
      <c r="K34" s="156"/>
      <c r="L34" s="461"/>
      <c r="M34" s="462"/>
      <c r="N34" s="156"/>
      <c r="O34" s="461"/>
      <c r="P34" s="462"/>
    </row>
    <row r="35" spans="2:16" ht="20.100000000000001" customHeight="1" x14ac:dyDescent="0.3">
      <c r="B35" s="3986"/>
      <c r="C35" s="3976"/>
      <c r="D35" s="3977"/>
      <c r="E35" s="3977"/>
      <c r="F35" s="3977"/>
      <c r="G35" s="3978"/>
      <c r="H35" s="300"/>
      <c r="I35" s="459"/>
      <c r="J35" s="460"/>
      <c r="K35" s="156"/>
      <c r="L35" s="459"/>
      <c r="M35" s="460"/>
      <c r="N35" s="156"/>
      <c r="O35" s="459"/>
      <c r="P35" s="460"/>
    </row>
    <row r="36" spans="2:16" ht="24.9" customHeight="1" x14ac:dyDescent="0.3">
      <c r="B36" s="4041" t="s">
        <v>565</v>
      </c>
      <c r="C36" s="4042"/>
      <c r="D36" s="4042"/>
      <c r="E36" s="4042"/>
      <c r="F36" s="4042"/>
      <c r="G36" s="4043"/>
      <c r="H36" s="252"/>
      <c r="I36" s="487">
        <f>SUM(I26:I35)</f>
        <v>0</v>
      </c>
      <c r="J36" s="488">
        <f>SUM(J26:J35)</f>
        <v>0</v>
      </c>
      <c r="K36" s="440"/>
      <c r="L36" s="487">
        <f>SUM(L26:L35)</f>
        <v>0</v>
      </c>
      <c r="M36" s="488">
        <f>SUM(M26:M35)</f>
        <v>0</v>
      </c>
      <c r="N36" s="440"/>
      <c r="O36" s="487">
        <f>SUM(O26:O35)</f>
        <v>0</v>
      </c>
      <c r="P36" s="488">
        <f>SUM(P26:P35)</f>
        <v>0</v>
      </c>
    </row>
    <row r="37" spans="2:16" ht="6" customHeight="1" x14ac:dyDescent="0.3"/>
    <row r="38" spans="2:16" ht="20.100000000000001" customHeight="1" x14ac:dyDescent="0.3">
      <c r="B38" s="3985" t="s">
        <v>488</v>
      </c>
      <c r="C38" s="4046" t="s">
        <v>3</v>
      </c>
      <c r="D38" s="4062"/>
      <c r="E38" s="4062"/>
      <c r="F38" s="4062"/>
      <c r="G38" s="492"/>
      <c r="H38" s="152"/>
      <c r="I38" s="442"/>
      <c r="J38" s="443"/>
      <c r="K38" s="156"/>
      <c r="L38" s="442"/>
      <c r="M38" s="443"/>
      <c r="N38" s="156"/>
      <c r="O38" s="442"/>
      <c r="P38" s="443"/>
    </row>
    <row r="39" spans="2:16" ht="20.100000000000001" customHeight="1" x14ac:dyDescent="0.3">
      <c r="B39" s="3999"/>
      <c r="C39" s="4003" t="s">
        <v>636</v>
      </c>
      <c r="D39" s="4004"/>
      <c r="E39" s="4004"/>
      <c r="F39" s="4004"/>
      <c r="G39" s="435"/>
      <c r="H39" s="152"/>
      <c r="I39" s="552">
        <f>IF(hold="non",VFP,0)</f>
        <v>0</v>
      </c>
      <c r="J39" s="445"/>
      <c r="K39" s="156"/>
      <c r="L39" s="444"/>
      <c r="M39" s="445"/>
      <c r="N39" s="156"/>
      <c r="O39" s="444"/>
      <c r="P39" s="445"/>
    </row>
    <row r="40" spans="2:16" ht="20.100000000000001" customHeight="1" x14ac:dyDescent="0.3">
      <c r="B40" s="3999"/>
      <c r="C40" s="4008" t="s">
        <v>637</v>
      </c>
      <c r="D40" s="4010"/>
      <c r="E40" s="4010"/>
      <c r="F40" s="4010"/>
      <c r="G40" s="435"/>
      <c r="H40" s="152"/>
      <c r="I40" s="444"/>
      <c r="J40" s="445"/>
      <c r="K40" s="156"/>
      <c r="L40" s="444"/>
      <c r="M40" s="445"/>
      <c r="N40" s="156"/>
      <c r="O40" s="444"/>
      <c r="P40" s="445"/>
    </row>
    <row r="41" spans="2:16" ht="20.100000000000001" customHeight="1" x14ac:dyDescent="0.3">
      <c r="B41" s="3999"/>
      <c r="C41" s="3973"/>
      <c r="D41" s="4010"/>
      <c r="E41" s="4010"/>
      <c r="F41" s="4010"/>
      <c r="G41" s="435"/>
      <c r="H41" s="152"/>
      <c r="I41" s="444"/>
      <c r="J41" s="445"/>
      <c r="K41" s="156"/>
      <c r="L41" s="444"/>
      <c r="M41" s="445"/>
      <c r="N41" s="156"/>
      <c r="O41" s="444"/>
      <c r="P41" s="445"/>
    </row>
    <row r="42" spans="2:16" ht="24.9" customHeight="1" x14ac:dyDescent="0.3">
      <c r="B42" s="3987" t="s">
        <v>445</v>
      </c>
      <c r="C42" s="3988"/>
      <c r="D42" s="3988"/>
      <c r="E42" s="3988"/>
      <c r="F42" s="3988"/>
      <c r="G42" s="3989"/>
      <c r="H42" s="252"/>
      <c r="I42" s="833">
        <f>SUM(I38:I41)</f>
        <v>0</v>
      </c>
      <c r="J42" s="488">
        <f>SUM(J38:J41)</f>
        <v>0</v>
      </c>
      <c r="K42" s="440"/>
      <c r="L42" s="833">
        <f>SUM(L38:L41)</f>
        <v>0</v>
      </c>
      <c r="M42" s="488">
        <f>SUM(M38:M41)</f>
        <v>0</v>
      </c>
      <c r="N42" s="440"/>
      <c r="O42" s="833">
        <f>SUM(O38:O41)</f>
        <v>0</v>
      </c>
      <c r="P42" s="488">
        <f>SUM(P38:P41)</f>
        <v>0</v>
      </c>
    </row>
    <row r="43" spans="2:16" ht="6" customHeight="1" x14ac:dyDescent="0.3"/>
    <row r="44" spans="2:16" ht="30" customHeight="1" x14ac:dyDescent="0.3">
      <c r="D44" s="4059" t="s">
        <v>446</v>
      </c>
      <c r="E44" s="4060"/>
      <c r="F44" s="4060"/>
      <c r="G44" s="4061"/>
      <c r="H44" s="155"/>
      <c r="I44" s="2724">
        <f>I24+I36+I42</f>
        <v>0</v>
      </c>
      <c r="J44" s="2725">
        <f>J24+J36+J42</f>
        <v>0</v>
      </c>
      <c r="K44" s="157"/>
      <c r="L44" s="2724">
        <f>L24+L36+L42</f>
        <v>0</v>
      </c>
      <c r="M44" s="2725">
        <f>M24+M36+M42</f>
        <v>0</v>
      </c>
      <c r="N44" s="157"/>
      <c r="O44" s="2724">
        <f>O24+O36+O42</f>
        <v>0</v>
      </c>
      <c r="P44" s="2725">
        <f>P24+P36+P42</f>
        <v>0</v>
      </c>
    </row>
    <row r="45" spans="2:16" ht="6" customHeight="1" x14ac:dyDescent="0.3"/>
    <row r="46" spans="2:16" s="478" customFormat="1" ht="24.9" customHeight="1" x14ac:dyDescent="0.25">
      <c r="B46" s="149" t="s">
        <v>576</v>
      </c>
      <c r="C46" s="479"/>
      <c r="D46" s="4056" t="s">
        <v>795</v>
      </c>
      <c r="E46" s="4049" t="s">
        <v>577</v>
      </c>
      <c r="F46" s="4049"/>
      <c r="G46" s="1038" t="s">
        <v>176</v>
      </c>
      <c r="H46" s="480"/>
      <c r="I46" s="835">
        <f>SUMIF($F$7:$F$23,"="&amp;B46,$I$7:$I$23)</f>
        <v>0</v>
      </c>
      <c r="J46" s="729">
        <f>SUMIF($F$7:$F$23,"="&amp;B46,$J$7:$J$23)</f>
        <v>0</v>
      </c>
      <c r="K46" s="480"/>
      <c r="L46" s="834">
        <f>SUMIF($F$7:$F$23,"="&amp;B46,$L$7:$L$23)</f>
        <v>0</v>
      </c>
      <c r="M46" s="729">
        <f>SUMIF($F$7:$F$23,"="&amp;B46,$M$7:$M$23)</f>
        <v>0</v>
      </c>
      <c r="N46" s="480"/>
      <c r="O46" s="834">
        <f>SUMIF($F$7:$F$23,"="&amp;B46,$O$7:$O$23)</f>
        <v>0</v>
      </c>
      <c r="P46" s="729">
        <f>SUMIF($F$7:$F$23,"="&amp;B46,$P$7:$P$23)</f>
        <v>0</v>
      </c>
    </row>
    <row r="47" spans="2:16" s="81" customFormat="1" ht="20.100000000000001" customHeight="1" x14ac:dyDescent="0.3">
      <c r="B47" s="491"/>
      <c r="C47" s="82"/>
      <c r="D47" s="4057"/>
      <c r="E47" s="4050"/>
      <c r="F47" s="4050"/>
      <c r="G47" s="1039" t="s">
        <v>1</v>
      </c>
      <c r="H47" s="410"/>
      <c r="I47" s="1034" t="str">
        <f>IF(I46=0," ",I46/I24)</f>
        <v xml:space="preserve"> </v>
      </c>
      <c r="J47" s="1035" t="str">
        <f>IF(J46=0," ",J46/J24)</f>
        <v xml:space="preserve"> </v>
      </c>
      <c r="K47" s="730"/>
      <c r="L47" s="1034" t="str">
        <f>IF(L46=0," ",L46/L24)</f>
        <v xml:space="preserve"> </v>
      </c>
      <c r="M47" s="1035" t="str">
        <f>IF(M46=0," ",M46/M24)</f>
        <v xml:space="preserve"> </v>
      </c>
      <c r="N47" s="730"/>
      <c r="O47" s="1034" t="str">
        <f>IF(O46=0," ",O46/O24)</f>
        <v xml:space="preserve"> </v>
      </c>
      <c r="P47" s="1035" t="str">
        <f>IF(P46=0," ",P46/P24)</f>
        <v xml:space="preserve"> </v>
      </c>
    </row>
    <row r="48" spans="2:16" s="478" customFormat="1" ht="24.9" customHeight="1" x14ac:dyDescent="0.25">
      <c r="B48" s="149" t="s">
        <v>574</v>
      </c>
      <c r="C48" s="479"/>
      <c r="D48" s="4057"/>
      <c r="E48" s="4051" t="s">
        <v>578</v>
      </c>
      <c r="F48" s="4052"/>
      <c r="G48" s="1040" t="s">
        <v>176</v>
      </c>
      <c r="H48" s="480"/>
      <c r="I48" s="1032">
        <f>SUMIF($F$7:$F$23,"="&amp;B48,$I$7:$I$23)</f>
        <v>0</v>
      </c>
      <c r="J48" s="1033">
        <f>SUMIF($F$7:$F$23,"="&amp;B48,$J$7:$J$23)</f>
        <v>0</v>
      </c>
      <c r="K48" s="480"/>
      <c r="L48" s="1032">
        <f>SUMIF($F$7:$F$23,"="&amp;B48,$L$7:$L$23)</f>
        <v>0</v>
      </c>
      <c r="M48" s="1033">
        <f>SUMIF($F$7:$F$23,"="&amp;E48,$M$7:$M$23)</f>
        <v>0</v>
      </c>
      <c r="N48" s="480"/>
      <c r="O48" s="1032">
        <f>SUMIF($F$7:$F$23,"="&amp;B48,$O$7:$O$23)</f>
        <v>0</v>
      </c>
      <c r="P48" s="1033">
        <f>SUMIF($F$7:$F$23,"="&amp;B48,$P$7:$P$23)</f>
        <v>0</v>
      </c>
    </row>
    <row r="49" spans="2:16" s="81" customFormat="1" ht="20.100000000000001" customHeight="1" x14ac:dyDescent="0.3">
      <c r="B49" s="481"/>
      <c r="C49" s="82"/>
      <c r="D49" s="4058"/>
      <c r="E49" s="4053"/>
      <c r="F49" s="4053"/>
      <c r="G49" s="1041" t="s">
        <v>1</v>
      </c>
      <c r="H49" s="410"/>
      <c r="I49" s="1036" t="str">
        <f>IF(I48=0," ",I48/I24)</f>
        <v xml:space="preserve"> </v>
      </c>
      <c r="J49" s="1037" t="str">
        <f>IF(J48=0," ",J48/J24)</f>
        <v xml:space="preserve"> </v>
      </c>
      <c r="K49" s="730"/>
      <c r="L49" s="1036" t="str">
        <f>IF(L48=0," ",L48/L24)</f>
        <v xml:space="preserve"> </v>
      </c>
      <c r="M49" s="1037" t="str">
        <f>IF(M48=0," ",M48/M24)</f>
        <v xml:space="preserve"> </v>
      </c>
      <c r="N49" s="730"/>
      <c r="O49" s="1036" t="str">
        <f>IF(O48=0," ",O48/O24)</f>
        <v xml:space="preserve"> </v>
      </c>
      <c r="P49" s="1037" t="str">
        <f>IF(P48=0," ",P48/P24)</f>
        <v xml:space="preserve"> </v>
      </c>
    </row>
    <row r="50" spans="2:16" s="81" customFormat="1" ht="6" customHeight="1" x14ac:dyDescent="0.3">
      <c r="C50" s="82"/>
      <c r="D50" s="481"/>
      <c r="E50" s="482"/>
      <c r="F50" s="490"/>
      <c r="G50" s="481"/>
      <c r="H50" s="417"/>
      <c r="I50" s="481"/>
      <c r="J50" s="481"/>
      <c r="K50" s="417"/>
      <c r="L50" s="481"/>
      <c r="M50" s="481"/>
      <c r="N50" s="417"/>
      <c r="O50" s="481"/>
      <c r="P50" s="481"/>
    </row>
    <row r="51" spans="2:16" s="478" customFormat="1" ht="20.100000000000001" customHeight="1" x14ac:dyDescent="0.25">
      <c r="C51" s="479"/>
      <c r="D51" s="4035" t="s">
        <v>794</v>
      </c>
      <c r="E51" s="4036"/>
      <c r="F51" s="4037"/>
      <c r="G51" s="2726" t="s">
        <v>176</v>
      </c>
      <c r="H51" s="480"/>
      <c r="I51" s="2728">
        <f>SUMIF($G$7:$G$41,"="&amp;P51,$I$7:$I$41)</f>
        <v>0</v>
      </c>
      <c r="J51" s="483"/>
      <c r="K51" s="484"/>
      <c r="L51" s="2728">
        <f>SUMIF($G$7:$G$41,"="&amp;P51,$L$7:$L$41)</f>
        <v>0</v>
      </c>
      <c r="M51" s="483"/>
      <c r="N51" s="484"/>
      <c r="O51" s="2728">
        <f>SUMIF($G$7:$G$41,"="&amp;P51,$O$7:$O$41)</f>
        <v>0</v>
      </c>
      <c r="P51" s="519" t="s">
        <v>575</v>
      </c>
    </row>
    <row r="52" spans="2:16" s="478" customFormat="1" ht="20.100000000000001" customHeight="1" x14ac:dyDescent="0.25">
      <c r="C52" s="479"/>
      <c r="D52" s="4038"/>
      <c r="E52" s="4039"/>
      <c r="F52" s="4040"/>
      <c r="G52" s="2727" t="s">
        <v>1</v>
      </c>
      <c r="H52" s="427"/>
      <c r="I52" s="2729" t="str">
        <f>IF(I51=0," ",I51/I44)</f>
        <v xml:space="preserve"> </v>
      </c>
      <c r="K52" s="427"/>
      <c r="L52" s="2729" t="str">
        <f>IF(L51=0," ",L51/L44)</f>
        <v xml:space="preserve"> </v>
      </c>
      <c r="N52" s="427"/>
      <c r="O52" s="2729" t="str">
        <f>IF(O51=0," ",O51/O44)</f>
        <v xml:space="preserve"> </v>
      </c>
    </row>
    <row r="53" spans="2:16" s="478" customFormat="1" ht="6" customHeight="1" x14ac:dyDescent="0.25">
      <c r="C53" s="479"/>
    </row>
    <row r="54" spans="2:16" ht="20.100000000000001" customHeight="1" x14ac:dyDescent="0.3">
      <c r="C54" s="1"/>
      <c r="H54" s="1"/>
      <c r="I54" s="387"/>
      <c r="J54" s="387"/>
      <c r="K54" s="387"/>
      <c r="L54" s="387"/>
      <c r="M54" s="387"/>
      <c r="N54" s="302"/>
      <c r="O54" s="304"/>
      <c r="P54" s="304"/>
    </row>
    <row r="55" spans="2:16" ht="20.100000000000001" customHeight="1" x14ac:dyDescent="0.3">
      <c r="C55" s="1"/>
      <c r="H55" s="1"/>
      <c r="K55" s="1"/>
      <c r="O55" s="30"/>
      <c r="P55" s="30"/>
    </row>
    <row r="56" spans="2:16" ht="20.100000000000001" customHeight="1" x14ac:dyDescent="0.3">
      <c r="C56" s="1"/>
      <c r="H56" s="1"/>
      <c r="K56" s="1"/>
      <c r="O56" s="30"/>
      <c r="P56" s="30"/>
    </row>
    <row r="57" spans="2:16" ht="20.100000000000001" customHeight="1" x14ac:dyDescent="0.3">
      <c r="C57" s="1"/>
      <c r="H57" s="1"/>
      <c r="K57" s="1"/>
      <c r="O57" s="30"/>
      <c r="P57" s="30"/>
    </row>
    <row r="58" spans="2:16" ht="20.100000000000001" customHeight="1" x14ac:dyDescent="0.3">
      <c r="C58" s="1"/>
      <c r="H58" s="1"/>
      <c r="K58" s="1"/>
      <c r="O58" s="30"/>
      <c r="P58" s="30"/>
    </row>
    <row r="59" spans="2:16" ht="20.100000000000001" customHeight="1" x14ac:dyDescent="0.3">
      <c r="C59" s="1"/>
      <c r="H59" s="1"/>
      <c r="K59" s="1"/>
      <c r="O59" s="30"/>
      <c r="P59" s="30"/>
    </row>
    <row r="60" spans="2:16" ht="20.100000000000001" customHeight="1" x14ac:dyDescent="0.3">
      <c r="C60" s="1"/>
      <c r="H60" s="1"/>
      <c r="K60" s="1"/>
      <c r="O60" s="30"/>
      <c r="P60" s="30"/>
    </row>
    <row r="61" spans="2:16" ht="20.100000000000001" customHeight="1" x14ac:dyDescent="0.3">
      <c r="C61" s="1"/>
      <c r="H61" s="1"/>
      <c r="K61" s="1"/>
      <c r="O61" s="30"/>
      <c r="P61" s="30"/>
    </row>
    <row r="62" spans="2:16" ht="20.100000000000001" customHeight="1" x14ac:dyDescent="0.3">
      <c r="C62" s="1"/>
      <c r="H62" s="1"/>
      <c r="K62" s="1"/>
      <c r="O62" s="30"/>
      <c r="P62" s="30"/>
    </row>
    <row r="63" spans="2:16" ht="20.100000000000001" customHeight="1" x14ac:dyDescent="0.3">
      <c r="C63" s="1"/>
      <c r="H63" s="1"/>
      <c r="K63" s="1"/>
      <c r="O63" s="30"/>
      <c r="P63" s="30"/>
    </row>
    <row r="64" spans="2:16" ht="20.100000000000001" customHeight="1" x14ac:dyDescent="0.3">
      <c r="C64" s="1"/>
      <c r="H64" s="1"/>
      <c r="K64" s="1"/>
      <c r="O64" s="30"/>
      <c r="P64" s="30"/>
    </row>
    <row r="65" spans="2:17" ht="15" customHeight="1" x14ac:dyDescent="0.3">
      <c r="K65" s="1"/>
      <c r="O65" s="30"/>
      <c r="P65" s="30"/>
    </row>
    <row r="66" spans="2:17" ht="15" customHeight="1" x14ac:dyDescent="0.3">
      <c r="K66" s="1"/>
      <c r="O66" s="30"/>
      <c r="P66" s="30"/>
    </row>
    <row r="67" spans="2:17" ht="15" customHeight="1" x14ac:dyDescent="0.3">
      <c r="F67" s="752"/>
      <c r="K67" s="1"/>
      <c r="O67" s="752"/>
      <c r="P67" s="752"/>
    </row>
    <row r="68" spans="2:17" s="387" customFormat="1" ht="14.4" x14ac:dyDescent="0.2">
      <c r="B68" s="1099" t="s">
        <v>603</v>
      </c>
      <c r="C68" s="1100" t="s">
        <v>602</v>
      </c>
      <c r="D68" s="1100" t="s">
        <v>605</v>
      </c>
      <c r="E68" s="1101" t="s">
        <v>604</v>
      </c>
      <c r="F68" s="1100"/>
      <c r="G68" s="1100"/>
      <c r="H68" s="1100"/>
      <c r="I68" s="1099" t="s">
        <v>603</v>
      </c>
      <c r="J68" s="1100" t="s">
        <v>602</v>
      </c>
      <c r="K68" s="1100" t="s">
        <v>606</v>
      </c>
      <c r="L68" s="1101" t="s">
        <v>604</v>
      </c>
      <c r="M68" s="1102"/>
      <c r="N68" s="1102"/>
      <c r="O68" s="1103"/>
      <c r="P68" s="1102"/>
    </row>
    <row r="69" spans="2:17" s="387" customFormat="1" ht="10.199999999999999" x14ac:dyDescent="0.2">
      <c r="B69" s="1104">
        <f>(SUM(I42:J42))/1000</f>
        <v>0</v>
      </c>
      <c r="C69" s="1105">
        <f>SUM(I36:J36)/1000</f>
        <v>0</v>
      </c>
      <c r="D69" s="1105">
        <f>((I24+J24)/1000)-E69</f>
        <v>0</v>
      </c>
      <c r="E69" s="1106">
        <f>SUM(I7:J8)/1000</f>
        <v>0</v>
      </c>
      <c r="F69" s="1105"/>
      <c r="G69" s="1100"/>
      <c r="H69" s="1100"/>
      <c r="I69" s="1104">
        <f>SUM(I42:P42)</f>
        <v>0</v>
      </c>
      <c r="J69" s="1105">
        <f>SUM(I36:P36)</f>
        <v>0</v>
      </c>
      <c r="K69" s="1105">
        <f>SUM(I24:P24)-L69</f>
        <v>0</v>
      </c>
      <c r="L69" s="1106">
        <f>SUM(I7:P8)</f>
        <v>0</v>
      </c>
      <c r="M69" s="1105">
        <f>SUM(I69:L69)</f>
        <v>0</v>
      </c>
      <c r="N69" s="1100"/>
      <c r="O69" s="3972"/>
      <c r="P69" s="3972"/>
    </row>
    <row r="70" spans="2:17" x14ac:dyDescent="0.3">
      <c r="F70" s="752"/>
    </row>
    <row r="71" spans="2:17" x14ac:dyDescent="0.3">
      <c r="F71" s="752"/>
    </row>
    <row r="72" spans="2:17" x14ac:dyDescent="0.3">
      <c r="F72" s="752"/>
    </row>
    <row r="73" spans="2:17" x14ac:dyDescent="0.3">
      <c r="F73" s="752"/>
    </row>
    <row r="75" spans="2:17" x14ac:dyDescent="0.3">
      <c r="C75" s="1"/>
      <c r="H75" s="1"/>
      <c r="Q75" s="159"/>
    </row>
    <row r="76" spans="2:17" x14ac:dyDescent="0.3">
      <c r="K76" s="1"/>
    </row>
  </sheetData>
  <sheetProtection algorithmName="SHA-512" hashValue="XmgnP47HkAhkS9lZfQvkga/u8KYZZ22ZqGtb96G+APEFbmLuaNINLkUXpaEZbd/Xz8Ip1IrozpEfAV3rCv/8MQ==" saltValue="sOJVgIO9uAG1xsipm4snqw==" spinCount="100000" sheet="1" objects="1" scenarios="1" formatCells="0" formatColumns="0" formatRows="0" insertColumns="0" insertRows="0" insertHyperlinks="0" deleteColumns="0" deleteRows="0" sort="0" autoFilter="0" pivotTables="0"/>
  <mergeCells count="57">
    <mergeCell ref="D51:F52"/>
    <mergeCell ref="B36:G36"/>
    <mergeCell ref="C29:E29"/>
    <mergeCell ref="C26:E26"/>
    <mergeCell ref="E46:F47"/>
    <mergeCell ref="E48:F49"/>
    <mergeCell ref="C31:E31"/>
    <mergeCell ref="C33:E33"/>
    <mergeCell ref="C32:E32"/>
    <mergeCell ref="D46:D49"/>
    <mergeCell ref="C28:E28"/>
    <mergeCell ref="D44:G44"/>
    <mergeCell ref="C41:F41"/>
    <mergeCell ref="C38:F38"/>
    <mergeCell ref="O4:P4"/>
    <mergeCell ref="G4:G5"/>
    <mergeCell ref="L4:M4"/>
    <mergeCell ref="B4:B5"/>
    <mergeCell ref="F4:F5"/>
    <mergeCell ref="I3:M3"/>
    <mergeCell ref="B7:B8"/>
    <mergeCell ref="C4:E5"/>
    <mergeCell ref="I4:J4"/>
    <mergeCell ref="C10:E10"/>
    <mergeCell ref="C9:E9"/>
    <mergeCell ref="C19:E19"/>
    <mergeCell ref="C30:E30"/>
    <mergeCell ref="C40:F40"/>
    <mergeCell ref="C20:E20"/>
    <mergeCell ref="B9:B11"/>
    <mergeCell ref="B12:B14"/>
    <mergeCell ref="B15:B17"/>
    <mergeCell ref="C16:E16"/>
    <mergeCell ref="C18:E18"/>
    <mergeCell ref="C15:E15"/>
    <mergeCell ref="C13:E13"/>
    <mergeCell ref="C14:E14"/>
    <mergeCell ref="C12:E12"/>
    <mergeCell ref="C17:E17"/>
    <mergeCell ref="C11:E11"/>
    <mergeCell ref="C27:E27"/>
    <mergeCell ref="B2:D2"/>
    <mergeCell ref="E2:P2"/>
    <mergeCell ref="O69:P69"/>
    <mergeCell ref="C22:E22"/>
    <mergeCell ref="C35:G35"/>
    <mergeCell ref="B24:G24"/>
    <mergeCell ref="B18:B20"/>
    <mergeCell ref="B34:B35"/>
    <mergeCell ref="B42:G42"/>
    <mergeCell ref="B26:B33"/>
    <mergeCell ref="C21:E21"/>
    <mergeCell ref="B38:B41"/>
    <mergeCell ref="C34:G34"/>
    <mergeCell ref="B21:B23"/>
    <mergeCell ref="C39:F39"/>
    <mergeCell ref="C23:E23"/>
  </mergeCells>
  <phoneticPr fontId="13" type="noConversion"/>
  <conditionalFormatting sqref="G38:G41 G4 G7:G23 G26:G35">
    <cfRule type="cellIs" dxfId="1230" priority="9" stopIfTrue="1" operator="equal">
      <formula>"oui"</formula>
    </cfRule>
  </conditionalFormatting>
  <conditionalFormatting sqref="F7:F33">
    <cfRule type="cellIs" dxfId="1229" priority="10" stopIfTrue="1" operator="equal">
      <formula>"occasion"</formula>
    </cfRule>
  </conditionalFormatting>
  <dataValidations xWindow="844" yWindow="605" count="4">
    <dataValidation type="list" allowBlank="1" showInputMessage="1" showErrorMessage="1" prompt="Si oui,_x000a_vérifiez si cet apport en nature ne nécessite pas l'intervention d'un commissaire aux apports" sqref="G38:G41 G7:G23 G26:G33" xr:uid="{00000000-0002-0000-0500-000000000000}">
      <formula1>"oui,non"</formula1>
    </dataValidation>
    <dataValidation allowBlank="1" showInputMessage="1" showErrorMessage="1" prompt="N'oubliez pas de préciser s'il s'agit de biens neufs ou d'occasion en renseignant la précédente colonne _x000a_N pour neuf, O pour occasion_x000a__x000a_Si l'élément fait l'objet d'un apport en nature, inscrire A dans la case suivante_x000a_" sqref="D9:E23" xr:uid="{00000000-0002-0000-0500-000001000000}"/>
    <dataValidation type="list" allowBlank="1" showInputMessage="1" showErrorMessage="1" prompt="N'oubliez pas de préciser s'il s'agit de biens neufs ou d'occasion_x000a__x000a_Si l'élément fait l'objet d'un apport en nature, inscrire oui dans la case suivante_x000a_" sqref="F7:F23 F33" xr:uid="{00000000-0002-0000-0500-000002000000}">
      <formula1>"neuf,occasion"</formula1>
    </dataValidation>
    <dataValidation allowBlank="1" showInputMessage="1" showErrorMessage="1" prompt="Les acquisitions de véhicules de tourisme doivent être inscrites pour leur montant TTC" sqref="O15:P17 L15:M17 J15:J17 I15:I16" xr:uid="{00000000-0002-0000-0500-000003000000}"/>
  </dataValidations>
  <hyperlinks>
    <hyperlink ref="C29:E29" location="'Rachat ou reprise'!C108" display="Droit au bail, fonds de commerce (reprise)" xr:uid="{00000000-0004-0000-0500-000000000000}"/>
    <hyperlink ref="C39:F39" location="'Rachat ou reprise'!N108" display="Titres de participation (reprise) " xr:uid="{00000000-0004-0000-0500-000001000000}"/>
    <hyperlink ref="C11:E11" location="'Rachat ou reprise'!D100" display="Agencements (reprise de fonds de commerce)" xr:uid="{00000000-0004-0000-0500-000002000000}"/>
    <hyperlink ref="C14:E14" location="'Rachat ou reprise'!D101" display="Mat. technique-outillage (reprise fonds de commerce)" xr:uid="{00000000-0004-0000-0500-000003000000}"/>
    <hyperlink ref="C17:E17" location="'Rachat ou reprise'!D103" display="Mat. de transport (reprise de fonds de commerce)" xr:uid="{00000000-0004-0000-0500-000004000000}"/>
    <hyperlink ref="C20:E20" location="'Rachat ou reprise'!D104" display="Equipement informatique (reprise fonds de commerce)" xr:uid="{00000000-0004-0000-0500-000005000000}"/>
    <hyperlink ref="C23:E23" location="'Rachat ou reprise'!D105" display="Mat.-mob. de bureau (reprise fonds de commerce)" xr:uid="{00000000-0004-0000-0500-000006000000}"/>
  </hyperlinks>
  <printOptions horizontalCentered="1"/>
  <pageMargins left="0" right="0" top="0" bottom="0" header="0" footer="0"/>
  <pageSetup paperSize="9" scale="62" orientation="portrait"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5"/>
    <outlinePr summaryRight="0"/>
    <pageSetUpPr fitToPage="1"/>
  </sheetPr>
  <dimension ref="B1:Y135"/>
  <sheetViews>
    <sheetView showGridLines="0" showRowColHeaders="0" workbookViewId="0">
      <pane ySplit="5" topLeftCell="A6" activePane="bottomLeft" state="frozenSplit"/>
      <selection activeCell="G7" sqref="G7:G8"/>
      <selection pane="bottomLeft" activeCell="E2" sqref="E2:Q2"/>
    </sheetView>
  </sheetViews>
  <sheetFormatPr baseColWidth="10" defaultColWidth="10.77734375" defaultRowHeight="12" x14ac:dyDescent="0.25"/>
  <cols>
    <col min="1" max="1" width="1.77734375" style="11" customWidth="1"/>
    <col min="2" max="3" width="12.77734375" style="11" customWidth="1"/>
    <col min="4" max="4" width="24.33203125" style="11" customWidth="1"/>
    <col min="5" max="7" width="12.77734375" style="11" customWidth="1"/>
    <col min="8" max="8" width="1" style="11" customWidth="1"/>
    <col min="9" max="11" width="13.77734375" style="11" customWidth="1"/>
    <col min="12" max="12" width="1" style="215" customWidth="1"/>
    <col min="13" max="13" width="13.33203125" style="212" customWidth="1"/>
    <col min="14" max="14" width="12.77734375" style="216" customWidth="1"/>
    <col min="15" max="15" width="1" style="215" customWidth="1"/>
    <col min="16" max="17" width="13.33203125" style="206" customWidth="1"/>
    <col min="18" max="18" width="1" style="206" customWidth="1"/>
    <col min="19" max="19" width="56.6640625" style="11" customWidth="1"/>
    <col min="20" max="22" width="10.77734375" style="11"/>
    <col min="23" max="23" width="5" style="11" customWidth="1"/>
    <col min="24" max="24" width="10.77734375" style="11" customWidth="1"/>
    <col min="25" max="16384" width="10.77734375" style="11"/>
  </cols>
  <sheetData>
    <row r="1" spans="2:19" ht="6" customHeight="1" x14ac:dyDescent="0.25"/>
    <row r="2" spans="2:19" s="137" customFormat="1" ht="21.9" customHeight="1" x14ac:dyDescent="0.35">
      <c r="B2" s="3933" t="str">
        <f>IF(ISBLANK(nom)," ",nom)</f>
        <v xml:space="preserve"> </v>
      </c>
      <c r="C2" s="3546"/>
      <c r="D2" s="3546"/>
      <c r="E2" s="4244" t="s">
        <v>940</v>
      </c>
      <c r="F2" s="4245"/>
      <c r="G2" s="4245"/>
      <c r="H2" s="4245"/>
      <c r="I2" s="4245"/>
      <c r="J2" s="4245"/>
      <c r="K2" s="4245"/>
      <c r="L2" s="4245"/>
      <c r="M2" s="4245"/>
      <c r="N2" s="4245"/>
      <c r="O2" s="4245"/>
      <c r="P2" s="4245"/>
      <c r="Q2" s="4246"/>
      <c r="R2" s="911"/>
    </row>
    <row r="3" spans="2:19" s="94" customFormat="1" ht="20.100000000000001" customHeight="1" x14ac:dyDescent="0.3">
      <c r="B3" s="4260" t="str">
        <f>IF(ISBLANK(stade),"veuillez renseigner le type de projet à financer à la page accueil"," ")</f>
        <v>veuillez renseigner le type de projet à financer à la page accueil</v>
      </c>
      <c r="C3" s="4261"/>
      <c r="D3" s="4261"/>
      <c r="E3" s="4261"/>
      <c r="F3" s="4261"/>
      <c r="G3" s="4261"/>
      <c r="H3" s="4261"/>
      <c r="I3" s="4261"/>
      <c r="J3" s="4261"/>
      <c r="K3" s="4261"/>
      <c r="L3" s="4261"/>
      <c r="M3" s="4261"/>
      <c r="N3" s="4261"/>
      <c r="O3" s="4261"/>
      <c r="P3" s="4261"/>
      <c r="Q3" s="4261"/>
      <c r="R3" s="160"/>
    </row>
    <row r="4" spans="2:19" s="163" customFormat="1" ht="21.9" customHeight="1" x14ac:dyDescent="0.3">
      <c r="B4" s="4262" t="str">
        <f>"Projet : "&amp;stade</f>
        <v xml:space="preserve">Projet : </v>
      </c>
      <c r="C4" s="4263"/>
      <c r="D4" s="3949"/>
      <c r="E4" s="4258" t="str">
        <f>IF(stade="transmission d'entreprise","Création d'une nouvelle société  d'exploitation ?"," ")</f>
        <v xml:space="preserve"> </v>
      </c>
      <c r="F4" s="4259"/>
      <c r="G4" s="4259"/>
      <c r="H4" s="4259"/>
      <c r="I4" s="4259"/>
      <c r="J4" s="4259"/>
      <c r="K4" s="1225" t="str">
        <f>IF(AND(stade="transmission d'entreprise",ISBLANK(sté_exploitation)),"Non",IF(AND(stade="transmission d'entreprise",sté_exploitation="non"),"Non",IF(AND(stade="transmission d'entreprise",sté_exploitation="oui"),"Oui"," ")))</f>
        <v xml:space="preserve"> </v>
      </c>
      <c r="L4" s="162"/>
      <c r="M4" s="4206" t="str">
        <f>IF(ISBLANK(An)," ",An)</f>
        <v xml:space="preserve"> </v>
      </c>
      <c r="N4" s="4207"/>
      <c r="O4" s="162"/>
      <c r="P4" s="1685" t="str">
        <f>IF(ISBLANK(An)," ",An+1)</f>
        <v xml:space="preserve"> </v>
      </c>
      <c r="Q4" s="1686" t="str">
        <f>IF(ISBLANK(An)," ",An+2)</f>
        <v xml:space="preserve"> </v>
      </c>
      <c r="R4" s="912"/>
      <c r="S4" s="94"/>
    </row>
    <row r="5" spans="2:19" ht="6" customHeight="1" x14ac:dyDescent="0.25">
      <c r="B5" s="2402"/>
      <c r="C5" s="2402"/>
      <c r="D5" s="2402"/>
      <c r="E5" s="2402"/>
      <c r="F5" s="2402"/>
      <c r="G5" s="2402"/>
      <c r="H5" s="2402"/>
      <c r="I5" s="2402"/>
      <c r="J5" s="2402"/>
      <c r="K5" s="2402"/>
      <c r="L5" s="164"/>
      <c r="M5" s="165"/>
      <c r="N5" s="165"/>
      <c r="O5" s="164"/>
      <c r="P5" s="166"/>
      <c r="Q5" s="166"/>
      <c r="R5" s="166"/>
    </row>
    <row r="6" spans="2:19" s="93" customFormat="1" ht="21.9" customHeight="1" x14ac:dyDescent="0.3">
      <c r="B6" s="4264" t="s">
        <v>897</v>
      </c>
      <c r="C6" s="4265"/>
      <c r="D6" s="4265"/>
      <c r="E6" s="4265"/>
      <c r="F6" s="4265"/>
      <c r="G6" s="4265"/>
      <c r="H6" s="4265"/>
      <c r="I6" s="4265"/>
      <c r="J6" s="4265"/>
      <c r="K6" s="4266"/>
      <c r="L6" s="413"/>
      <c r="M6" s="2398" t="s">
        <v>176</v>
      </c>
      <c r="N6" s="2639" t="s">
        <v>1</v>
      </c>
      <c r="O6" s="413"/>
      <c r="P6" s="2401" t="s">
        <v>176</v>
      </c>
      <c r="Q6" s="2400" t="s">
        <v>176</v>
      </c>
      <c r="R6" s="913"/>
    </row>
    <row r="7" spans="2:19" s="161" customFormat="1" ht="6" customHeight="1" x14ac:dyDescent="0.3">
      <c r="B7" s="2403"/>
      <c r="C7" s="2403"/>
      <c r="D7" s="2403"/>
      <c r="E7" s="2403"/>
      <c r="F7" s="2403"/>
      <c r="G7" s="2403"/>
      <c r="H7" s="2403"/>
      <c r="I7" s="2403"/>
      <c r="J7" s="2403"/>
      <c r="K7" s="2403"/>
      <c r="L7" s="167"/>
      <c r="M7" s="170"/>
      <c r="N7" s="2404"/>
      <c r="O7" s="167"/>
      <c r="P7" s="170"/>
      <c r="Q7" s="170"/>
      <c r="R7" s="914"/>
    </row>
    <row r="8" spans="2:19" s="7" customFormat="1" ht="24.9" customHeight="1" x14ac:dyDescent="0.3">
      <c r="B8" s="4271" t="s">
        <v>1356</v>
      </c>
      <c r="C8" s="4272"/>
      <c r="D8" s="4272"/>
      <c r="E8" s="4272"/>
      <c r="F8" s="4268" t="s">
        <v>1361</v>
      </c>
      <c r="G8" s="4269"/>
      <c r="H8" s="4269"/>
      <c r="I8" s="4269"/>
      <c r="J8" s="4269"/>
      <c r="K8" s="2937" t="s">
        <v>201</v>
      </c>
      <c r="L8" s="1"/>
      <c r="M8" s="3002">
        <f>creditbail_5</f>
        <v>0</v>
      </c>
      <c r="N8" s="3010" t="str">
        <f>IF(ISERROR(IF(M8=0," ",M8/$M$21))," ",IF(M8=0," ",M8/$M$21))</f>
        <v xml:space="preserve"> </v>
      </c>
      <c r="O8" s="556"/>
      <c r="P8" s="3002">
        <f>creditbail_6</f>
        <v>0</v>
      </c>
      <c r="Q8" s="3016">
        <f>creditbail_7</f>
        <v>0</v>
      </c>
      <c r="R8" s="903"/>
      <c r="S8" s="1"/>
    </row>
    <row r="9" spans="2:19" s="7" customFormat="1" ht="24.9" customHeight="1" x14ac:dyDescent="0.3">
      <c r="B9" s="4083"/>
      <c r="C9" s="4084"/>
      <c r="D9" s="4084"/>
      <c r="E9" s="4084"/>
      <c r="F9" s="4270" t="s">
        <v>1362</v>
      </c>
      <c r="G9" s="4095"/>
      <c r="H9" s="4095"/>
      <c r="I9" s="4095"/>
      <c r="J9" s="4095"/>
      <c r="K9" s="2938" t="s">
        <v>201</v>
      </c>
      <c r="L9" s="167"/>
      <c r="M9" s="3003">
        <f>invest_5</f>
        <v>0</v>
      </c>
      <c r="N9" s="3011" t="str">
        <f t="shared" ref="N9:N19" si="0">IF(ISERROR(IF(M9=0," ",M9/$M$21))," ",IF(M9=0," ",M9/$M$21))</f>
        <v xml:space="preserve"> </v>
      </c>
      <c r="O9" s="557"/>
      <c r="P9" s="3003">
        <f>invest_6</f>
        <v>0</v>
      </c>
      <c r="Q9" s="3017">
        <f>invest_7</f>
        <v>0</v>
      </c>
      <c r="R9" s="903"/>
      <c r="S9" s="1226"/>
    </row>
    <row r="10" spans="2:19" s="7" customFormat="1" ht="24.9" customHeight="1" x14ac:dyDescent="0.3">
      <c r="B10" s="4082" t="s">
        <v>1353</v>
      </c>
      <c r="C10" s="4052"/>
      <c r="D10" s="4052"/>
      <c r="E10" s="4052"/>
      <c r="F10" s="4273" t="s">
        <v>1363</v>
      </c>
      <c r="G10" s="4274"/>
      <c r="H10" s="4274"/>
      <c r="I10" s="4274"/>
      <c r="J10" s="4274"/>
      <c r="K10" s="4275"/>
      <c r="L10" s="1"/>
      <c r="M10" s="3004">
        <f>IF(sté_exploitation="oui",0,IF(fr_1&gt;=0,0,IF(dfr_1&gt;0,0,fr_1/-1)))</f>
        <v>0</v>
      </c>
      <c r="N10" s="3012" t="str">
        <f t="shared" si="0"/>
        <v xml:space="preserve"> </v>
      </c>
      <c r="O10" s="556"/>
      <c r="P10" s="4254"/>
      <c r="Q10" s="4256"/>
      <c r="R10" s="903"/>
      <c r="S10" s="1"/>
    </row>
    <row r="11" spans="2:19" s="7" customFormat="1" ht="24.9" customHeight="1" x14ac:dyDescent="0.3">
      <c r="B11" s="4083"/>
      <c r="C11" s="4084"/>
      <c r="D11" s="4084"/>
      <c r="E11" s="4084"/>
      <c r="F11" s="4087" t="s">
        <v>1366</v>
      </c>
      <c r="G11" s="4095"/>
      <c r="H11" s="4095"/>
      <c r="I11" s="4095"/>
      <c r="J11" s="4095"/>
      <c r="K11" s="4096"/>
      <c r="L11" s="1"/>
      <c r="M11" s="3005"/>
      <c r="N11" s="3011" t="str">
        <f t="shared" si="0"/>
        <v xml:space="preserve"> </v>
      </c>
      <c r="O11" s="556"/>
      <c r="P11" s="4255"/>
      <c r="Q11" s="4257"/>
      <c r="R11" s="915"/>
      <c r="S11" s="1"/>
    </row>
    <row r="12" spans="2:19" s="7" customFormat="1" ht="30" customHeight="1" x14ac:dyDescent="0.3">
      <c r="B12" s="4247" t="s">
        <v>246</v>
      </c>
      <c r="C12" s="4248"/>
      <c r="D12" s="4249"/>
      <c r="E12" s="4249"/>
      <c r="F12" s="4249"/>
      <c r="G12" s="4249"/>
      <c r="H12" s="4249"/>
      <c r="I12" s="4249"/>
      <c r="J12" s="4249"/>
      <c r="K12" s="4250"/>
      <c r="L12" s="558"/>
      <c r="M12" s="3006">
        <f>IF(caf_5&gt;0,0,caf_5/-1)</f>
        <v>0</v>
      </c>
      <c r="N12" s="3013" t="str">
        <f t="shared" si="0"/>
        <v xml:space="preserve"> </v>
      </c>
      <c r="O12" s="557"/>
      <c r="P12" s="3006">
        <f>IF(caf_6&gt;0,0,caf_6/-1)</f>
        <v>0</v>
      </c>
      <c r="Q12" s="3018">
        <f>IF(caf_7&gt;0,0,caf_7/-1)</f>
        <v>0</v>
      </c>
      <c r="R12" s="903"/>
      <c r="S12" s="1"/>
    </row>
    <row r="13" spans="2:19" s="7" customFormat="1" ht="24.9" customHeight="1" x14ac:dyDescent="0.3">
      <c r="B13" s="4282" t="s">
        <v>1354</v>
      </c>
      <c r="C13" s="4283"/>
      <c r="D13" s="4283"/>
      <c r="E13" s="3928"/>
      <c r="F13" s="4085" t="s">
        <v>1359</v>
      </c>
      <c r="G13" s="3753"/>
      <c r="H13" s="3753"/>
      <c r="I13" s="3753"/>
      <c r="J13" s="3753"/>
      <c r="K13" s="4086"/>
      <c r="L13" s="558"/>
      <c r="M13" s="3004">
        <f>IF(NE="oui",bfr_5,0)</f>
        <v>0</v>
      </c>
      <c r="N13" s="3012" t="str">
        <f t="shared" si="0"/>
        <v xml:space="preserve"> </v>
      </c>
      <c r="O13" s="557"/>
      <c r="P13" s="2991"/>
      <c r="Q13" s="2992"/>
      <c r="R13" s="903"/>
      <c r="S13" s="1"/>
    </row>
    <row r="14" spans="2:19" s="7" customFormat="1" ht="24.9" customHeight="1" x14ac:dyDescent="0.3">
      <c r="B14" s="4284"/>
      <c r="C14" s="4285"/>
      <c r="D14" s="4285"/>
      <c r="E14" s="3926"/>
      <c r="F14" s="4087" t="s">
        <v>1360</v>
      </c>
      <c r="G14" s="4088"/>
      <c r="H14" s="4088"/>
      <c r="I14" s="4088"/>
      <c r="J14" s="4088"/>
      <c r="K14" s="4089"/>
      <c r="L14" s="558"/>
      <c r="M14" s="3061">
        <f>IF(NE="oui",0,bfr_5-bfr_1)</f>
        <v>0</v>
      </c>
      <c r="N14" s="3063" t="str">
        <f t="shared" si="0"/>
        <v xml:space="preserve"> </v>
      </c>
      <c r="O14" s="557"/>
      <c r="P14" s="3061">
        <f>bfr_6-bfr_5</f>
        <v>0</v>
      </c>
      <c r="Q14" s="3062">
        <f>bfr_7-bfr_6</f>
        <v>0</v>
      </c>
      <c r="R14" s="904"/>
      <c r="S14" s="1"/>
    </row>
    <row r="15" spans="2:19" s="7" customFormat="1" ht="30" customHeight="1" x14ac:dyDescent="0.3">
      <c r="B15" s="4251" t="s">
        <v>398</v>
      </c>
      <c r="C15" s="4252"/>
      <c r="D15" s="4252"/>
      <c r="E15" s="4252"/>
      <c r="F15" s="4252"/>
      <c r="G15" s="4252"/>
      <c r="H15" s="4252"/>
      <c r="I15" s="4252"/>
      <c r="J15" s="4252"/>
      <c r="K15" s="4253"/>
      <c r="L15" s="558"/>
      <c r="M15" s="3007"/>
      <c r="N15" s="3013" t="str">
        <f t="shared" si="0"/>
        <v xml:space="preserve"> </v>
      </c>
      <c r="O15" s="557"/>
      <c r="P15" s="3007"/>
      <c r="Q15" s="3019"/>
      <c r="R15" s="916"/>
      <c r="S15" s="1"/>
    </row>
    <row r="16" spans="2:19" s="7" customFormat="1" ht="30" customHeight="1" x14ac:dyDescent="0.3">
      <c r="B16" s="4251" t="s">
        <v>803</v>
      </c>
      <c r="C16" s="4252"/>
      <c r="D16" s="4252"/>
      <c r="E16" s="4252"/>
      <c r="F16" s="4252"/>
      <c r="G16" s="4252"/>
      <c r="H16" s="4252"/>
      <c r="I16" s="4252"/>
      <c r="J16" s="4252"/>
      <c r="K16" s="4253"/>
      <c r="L16" s="558"/>
      <c r="M16" s="3007"/>
      <c r="N16" s="3013" t="str">
        <f t="shared" si="0"/>
        <v xml:space="preserve"> </v>
      </c>
      <c r="O16" s="557"/>
      <c r="P16" s="3007"/>
      <c r="Q16" s="3019"/>
      <c r="R16" s="916"/>
      <c r="S16" s="1"/>
    </row>
    <row r="17" spans="2:19" s="7" customFormat="1" ht="24.9" customHeight="1" x14ac:dyDescent="0.3">
      <c r="B17" s="4082" t="s">
        <v>824</v>
      </c>
      <c r="C17" s="4052"/>
      <c r="D17" s="4052"/>
      <c r="E17" s="4090"/>
      <c r="F17" s="4085" t="s">
        <v>1357</v>
      </c>
      <c r="G17" s="4092"/>
      <c r="H17" s="4092"/>
      <c r="I17" s="4092"/>
      <c r="J17" s="4092"/>
      <c r="K17" s="4093"/>
      <c r="L17" s="558"/>
      <c r="M17" s="3008"/>
      <c r="N17" s="3012" t="str">
        <f t="shared" si="0"/>
        <v xml:space="preserve"> </v>
      </c>
      <c r="O17" s="557"/>
      <c r="P17" s="3008"/>
      <c r="Q17" s="3020"/>
      <c r="R17" s="916"/>
      <c r="S17" s="1"/>
    </row>
    <row r="18" spans="2:19" s="7" customFormat="1" ht="24.9" customHeight="1" x14ac:dyDescent="0.3">
      <c r="B18" s="4083"/>
      <c r="C18" s="4084"/>
      <c r="D18" s="4084"/>
      <c r="E18" s="4091"/>
      <c r="F18" s="4094" t="s">
        <v>1358</v>
      </c>
      <c r="G18" s="4095"/>
      <c r="H18" s="4095"/>
      <c r="I18" s="4095"/>
      <c r="J18" s="4095"/>
      <c r="K18" s="4096"/>
      <c r="L18" s="558"/>
      <c r="M18" s="3005"/>
      <c r="N18" s="3011" t="str">
        <f t="shared" si="0"/>
        <v xml:space="preserve"> </v>
      </c>
      <c r="O18" s="557"/>
      <c r="P18" s="3005"/>
      <c r="Q18" s="3021"/>
      <c r="R18" s="916"/>
      <c r="S18" s="1"/>
    </row>
    <row r="19" spans="2:19" s="7" customFormat="1" ht="30" customHeight="1" x14ac:dyDescent="0.3">
      <c r="B19" s="4099" t="s">
        <v>243</v>
      </c>
      <c r="C19" s="4100"/>
      <c r="D19" s="4100"/>
      <c r="E19" s="4100"/>
      <c r="F19" s="4100"/>
      <c r="G19" s="4100"/>
      <c r="H19" s="4100"/>
      <c r="I19" s="4100"/>
      <c r="J19" s="4100"/>
      <c r="K19" s="4101"/>
      <c r="L19" s="558"/>
      <c r="M19" s="3009"/>
      <c r="N19" s="3014" t="str">
        <f t="shared" si="0"/>
        <v xml:space="preserve"> </v>
      </c>
      <c r="O19" s="557"/>
      <c r="P19" s="3015"/>
      <c r="Q19" s="3022"/>
      <c r="R19" s="916"/>
      <c r="S19" s="1"/>
    </row>
    <row r="20" spans="2:19" s="161" customFormat="1" ht="3" customHeight="1" x14ac:dyDescent="0.3">
      <c r="B20" s="169"/>
      <c r="C20" s="169"/>
      <c r="D20" s="169"/>
      <c r="E20" s="169"/>
      <c r="F20" s="169"/>
      <c r="G20" s="169"/>
      <c r="H20" s="169"/>
      <c r="I20" s="169"/>
      <c r="J20" s="169"/>
      <c r="K20" s="169"/>
      <c r="L20" s="167"/>
      <c r="M20" s="170"/>
      <c r="N20" s="171"/>
      <c r="O20" s="167"/>
      <c r="P20" s="170"/>
      <c r="Q20" s="172"/>
      <c r="R20" s="66"/>
    </row>
    <row r="21" spans="2:19" s="81" customFormat="1" ht="21.9" customHeight="1" x14ac:dyDescent="0.3">
      <c r="I21" s="4116" t="s">
        <v>1310</v>
      </c>
      <c r="J21" s="4117"/>
      <c r="K21" s="4118"/>
      <c r="L21" s="559"/>
      <c r="M21" s="2391">
        <f>IF(M11&gt;=0,SUM(M8:M19),(SUM(M8:M19)-M11))</f>
        <v>0</v>
      </c>
      <c r="N21" s="2640" t="str">
        <f>IF(besoin_N=0," ",100%)</f>
        <v xml:space="preserve"> </v>
      </c>
      <c r="O21" s="1464"/>
      <c r="P21" s="2392">
        <f>SUM(P8:P19)</f>
        <v>0</v>
      </c>
      <c r="Q21" s="2393">
        <f>SUM(Q8:Q19)</f>
        <v>0</v>
      </c>
      <c r="R21" s="917"/>
    </row>
    <row r="22" spans="2:19" s="183" customFormat="1" ht="20.100000000000001" customHeight="1" x14ac:dyDescent="0.25">
      <c r="B22" s="179"/>
      <c r="C22" s="179"/>
      <c r="D22" s="179"/>
      <c r="E22" s="179"/>
      <c r="F22" s="179"/>
      <c r="G22" s="179"/>
      <c r="H22" s="179"/>
      <c r="I22" s="179"/>
      <c r="J22" s="179"/>
      <c r="K22" s="179"/>
      <c r="L22" s="180"/>
      <c r="M22" s="181"/>
      <c r="N22" s="180"/>
      <c r="O22" s="180"/>
      <c r="P22" s="182"/>
      <c r="Q22" s="182"/>
      <c r="R22" s="182"/>
    </row>
    <row r="23" spans="2:19" ht="21.9" customHeight="1" x14ac:dyDescent="0.25">
      <c r="B23" s="173"/>
      <c r="C23" s="173"/>
      <c r="D23" s="173"/>
      <c r="E23" s="173"/>
      <c r="F23" s="173"/>
      <c r="G23" s="173"/>
      <c r="H23" s="173"/>
      <c r="I23" s="173"/>
      <c r="J23" s="173"/>
      <c r="K23" s="173"/>
      <c r="L23" s="174"/>
      <c r="M23" s="4206" t="str">
        <f>IF(ISBLANK(An)," ",An)</f>
        <v xml:space="preserve"> </v>
      </c>
      <c r="N23" s="4207"/>
      <c r="O23" s="6"/>
      <c r="P23" s="1685" t="str">
        <f>IF(ISBLANK(An)," ",An+1)</f>
        <v xml:space="preserve"> </v>
      </c>
      <c r="Q23" s="1686" t="str">
        <f>IF(ISBLANK(An)," ",An+2)</f>
        <v xml:space="preserve"> </v>
      </c>
      <c r="R23" s="176"/>
    </row>
    <row r="24" spans="2:19" s="183" customFormat="1" ht="3" customHeight="1" x14ac:dyDescent="0.25">
      <c r="B24" s="179"/>
      <c r="C24" s="179"/>
      <c r="D24" s="179"/>
      <c r="E24" s="179"/>
      <c r="F24" s="179"/>
      <c r="G24" s="179"/>
      <c r="H24" s="179"/>
      <c r="I24" s="179"/>
      <c r="J24" s="179"/>
      <c r="K24" s="179"/>
      <c r="L24" s="180"/>
      <c r="M24" s="181"/>
      <c r="N24" s="180"/>
      <c r="O24" s="180"/>
      <c r="P24" s="182"/>
      <c r="Q24" s="182"/>
      <c r="R24" s="182"/>
    </row>
    <row r="25" spans="2:19" s="178" customFormat="1" ht="21.9" customHeight="1" x14ac:dyDescent="0.35">
      <c r="B25" s="4279" t="s">
        <v>898</v>
      </c>
      <c r="C25" s="4280"/>
      <c r="D25" s="4280"/>
      <c r="E25" s="4280"/>
      <c r="F25" s="4280"/>
      <c r="G25" s="4280"/>
      <c r="H25" s="4280"/>
      <c r="I25" s="4280"/>
      <c r="J25" s="4280"/>
      <c r="K25" s="4281"/>
      <c r="L25" s="177"/>
      <c r="M25" s="2706" t="s">
        <v>176</v>
      </c>
      <c r="N25" s="2707" t="s">
        <v>1</v>
      </c>
      <c r="O25" s="2708"/>
      <c r="P25" s="2709" t="s">
        <v>176</v>
      </c>
      <c r="Q25" s="2710" t="s">
        <v>176</v>
      </c>
      <c r="R25" s="918"/>
    </row>
    <row r="26" spans="2:19" s="183" customFormat="1" ht="6" customHeight="1" x14ac:dyDescent="0.25">
      <c r="B26" s="179"/>
      <c r="C26" s="179"/>
      <c r="D26" s="179"/>
      <c r="E26" s="179"/>
      <c r="F26" s="179"/>
      <c r="G26" s="179"/>
      <c r="H26" s="179"/>
      <c r="I26" s="179"/>
      <c r="J26" s="179"/>
      <c r="K26" s="179"/>
      <c r="L26" s="180"/>
      <c r="M26" s="181"/>
      <c r="N26" s="180"/>
      <c r="O26" s="180"/>
      <c r="P26" s="182"/>
      <c r="Q26" s="182"/>
      <c r="R26" s="182"/>
    </row>
    <row r="27" spans="2:19" s="2" customFormat="1" ht="24.9" customHeight="1" x14ac:dyDescent="0.3">
      <c r="B27" s="4240" t="s">
        <v>470</v>
      </c>
      <c r="C27" s="4241"/>
      <c r="D27" s="4242"/>
      <c r="E27" s="4242"/>
      <c r="F27" s="4242"/>
      <c r="G27" s="4242"/>
      <c r="H27" s="4242"/>
      <c r="I27" s="4242"/>
      <c r="J27" s="4242"/>
      <c r="K27" s="4243"/>
      <c r="L27" s="428"/>
      <c r="M27" s="2876"/>
      <c r="N27" s="2633" t="str">
        <f>IF(M27=0," ",M27/M65)</f>
        <v xml:space="preserve"> </v>
      </c>
      <c r="O27" s="429"/>
      <c r="P27" s="2876"/>
      <c r="Q27" s="3024"/>
      <c r="R27" s="905"/>
    </row>
    <row r="28" spans="2:19" s="2" customFormat="1" ht="24.9" customHeight="1" x14ac:dyDescent="0.3">
      <c r="B28" s="4286" t="s">
        <v>1355</v>
      </c>
      <c r="C28" s="4287"/>
      <c r="D28" s="4287"/>
      <c r="E28" s="4288"/>
      <c r="F28" s="4097" t="s">
        <v>1364</v>
      </c>
      <c r="G28" s="3753"/>
      <c r="H28" s="3753"/>
      <c r="I28" s="3753"/>
      <c r="J28" s="3753"/>
      <c r="K28" s="4086"/>
      <c r="L28" s="428"/>
      <c r="M28" s="2877">
        <f>IF(ISBLANK(sté_exploitation),0,IF(sté_exploitation="non",0,dfr_5))</f>
        <v>0</v>
      </c>
      <c r="N28" s="3023" t="str">
        <f>IF(ISERROR(IF(M28=0," ",M28/M65))," ",IF(M28=0," ",M28/M65))</f>
        <v xml:space="preserve"> </v>
      </c>
      <c r="O28" s="429"/>
      <c r="P28" s="2904"/>
      <c r="Q28" s="2905"/>
      <c r="R28" s="919"/>
    </row>
    <row r="29" spans="2:19" s="2" customFormat="1" ht="24.9" customHeight="1" x14ac:dyDescent="0.3">
      <c r="B29" s="4289"/>
      <c r="C29" s="4290"/>
      <c r="D29" s="4290"/>
      <c r="E29" s="4291"/>
      <c r="F29" s="4098" t="s">
        <v>1365</v>
      </c>
      <c r="G29" s="4088"/>
      <c r="H29" s="4088"/>
      <c r="I29" s="4088"/>
      <c r="J29" s="4088"/>
      <c r="K29" s="4089"/>
      <c r="L29" s="428"/>
      <c r="M29" s="2878">
        <f>IF(ISBLANK(sté_exploitation),0,IF(sté_exploitation="oui",0,IF(M28=0,dfr_5-dfr_1,0)))</f>
        <v>0</v>
      </c>
      <c r="N29" s="2638" t="str">
        <f>IF(ISERROR(IF(M29=0," ",M29/M65))," ",IF(M29=0," ",M29/M65))</f>
        <v xml:space="preserve"> </v>
      </c>
      <c r="O29" s="429"/>
      <c r="P29" s="2878">
        <f>IF(ISERROR(dfr_6-dfr_5),0,dfr_6-dfr_5)</f>
        <v>0</v>
      </c>
      <c r="Q29" s="3025">
        <f>IF(ISERROR(dfr_7-dfr_6),0,dfr_7-dfr_6)</f>
        <v>0</v>
      </c>
      <c r="R29" s="508"/>
    </row>
    <row r="30" spans="2:19" s="2" customFormat="1" ht="24.9" customHeight="1" x14ac:dyDescent="0.3">
      <c r="B30" s="4276" t="s">
        <v>1288</v>
      </c>
      <c r="C30" s="4277"/>
      <c r="D30" s="4277"/>
      <c r="E30" s="4277"/>
      <c r="F30" s="4277"/>
      <c r="G30" s="4277"/>
      <c r="H30" s="4277"/>
      <c r="I30" s="4277"/>
      <c r="J30" s="4277"/>
      <c r="K30" s="4278"/>
      <c r="L30" s="428"/>
      <c r="M30" s="2879">
        <f>IF(caf_5&lt;0,0,caf_5)</f>
        <v>0</v>
      </c>
      <c r="N30" s="2637" t="str">
        <f>IF(M30=0," ",M30/M65)</f>
        <v xml:space="preserve"> </v>
      </c>
      <c r="O30" s="428"/>
      <c r="P30" s="2879">
        <f>IF(caf_6&lt;0,0,caf_6)</f>
        <v>0</v>
      </c>
      <c r="Q30" s="3026">
        <f>IF(caf_7&lt;0,0,caf_7)</f>
        <v>0</v>
      </c>
      <c r="R30" s="508"/>
    </row>
    <row r="31" spans="2:19" s="183" customFormat="1" ht="3" customHeight="1" x14ac:dyDescent="0.25">
      <c r="B31" s="184"/>
      <c r="C31" s="184"/>
      <c r="D31" s="184"/>
      <c r="E31" s="184"/>
      <c r="F31" s="184"/>
      <c r="G31" s="184"/>
      <c r="H31" s="184"/>
      <c r="I31" s="184"/>
      <c r="J31" s="184"/>
      <c r="K31" s="184"/>
      <c r="L31" s="180"/>
      <c r="M31" s="185"/>
      <c r="N31" s="186"/>
      <c r="O31" s="180"/>
      <c r="P31" s="185"/>
      <c r="Q31" s="185"/>
      <c r="R31" s="185"/>
    </row>
    <row r="32" spans="2:19" s="420" customFormat="1" ht="21.9" customHeight="1" x14ac:dyDescent="0.3">
      <c r="B32" s="419"/>
      <c r="C32" s="419"/>
      <c r="D32" s="419"/>
      <c r="E32" s="419"/>
      <c r="F32" s="419"/>
      <c r="H32" s="3065"/>
      <c r="I32" s="4111" t="s">
        <v>1308</v>
      </c>
      <c r="J32" s="4112"/>
      <c r="K32" s="4113"/>
      <c r="L32" s="416"/>
      <c r="M32" s="1479">
        <f>besoin_N-M27-M28-M29-M30</f>
        <v>0</v>
      </c>
      <c r="N32" s="1480" t="str">
        <f>IF(ISERROR(IF(M32&lt;=0," ",M32/besoin_N))," ",IF(M32&lt;=0," ",M32/besoin_N))</f>
        <v xml:space="preserve"> </v>
      </c>
      <c r="O32" s="416"/>
      <c r="P32" s="1479">
        <f>besoin_N1-P27-P29-P30</f>
        <v>0</v>
      </c>
      <c r="Q32" s="2753">
        <f>besoin_N2-Q27-Q29-Q30</f>
        <v>0</v>
      </c>
      <c r="R32" s="906"/>
    </row>
    <row r="33" spans="2:25" s="8" customFormat="1" ht="20.100000000000001" customHeight="1" x14ac:dyDescent="0.3">
      <c r="B33" s="188"/>
      <c r="C33" s="188"/>
      <c r="D33" s="188"/>
      <c r="E33" s="9"/>
      <c r="F33" s="189"/>
      <c r="G33" s="9"/>
      <c r="H33" s="9"/>
      <c r="I33" s="9"/>
      <c r="J33" s="9"/>
      <c r="K33" s="190"/>
      <c r="M33" s="4173" t="str">
        <f>IF(M32&gt;0,"Besoin de financement",IF(M32&lt;0,"Excédent de financement"," "))</f>
        <v xml:space="preserve"> </v>
      </c>
      <c r="N33" s="4173"/>
      <c r="O33" s="175"/>
      <c r="P33" s="793" t="str">
        <f>IF(P32&gt;0,"Besoin",IF(P32&lt;0,"Excédent"," "))</f>
        <v xml:space="preserve"> </v>
      </c>
      <c r="Q33" s="793" t="str">
        <f>IF(Q32&gt;0,"Besoin",IF(Q32&lt;0,"Excédent"," "))</f>
        <v xml:space="preserve"> </v>
      </c>
      <c r="R33" s="898"/>
      <c r="S33" s="2"/>
    </row>
    <row r="34" spans="2:25" ht="20.100000000000001" hidden="1" customHeight="1" x14ac:dyDescent="0.3">
      <c r="I34" s="957"/>
      <c r="J34" s="957"/>
      <c r="N34" s="743"/>
      <c r="P34" s="743"/>
      <c r="Q34" s="743"/>
      <c r="R34" s="743"/>
      <c r="T34" s="8"/>
    </row>
    <row r="35" spans="2:25" s="193" customFormat="1" ht="20.100000000000001" customHeight="1" x14ac:dyDescent="0.3">
      <c r="B35" s="4217" t="s">
        <v>901</v>
      </c>
      <c r="C35" s="4217"/>
      <c r="D35" s="4217"/>
      <c r="E35" s="4217"/>
      <c r="F35" s="4217"/>
      <c r="G35" s="2628"/>
      <c r="H35" s="2983"/>
      <c r="I35" s="191"/>
      <c r="J35" s="192"/>
      <c r="K35" s="192"/>
      <c r="L35" s="192"/>
      <c r="M35" s="192"/>
      <c r="N35" s="192"/>
      <c r="O35" s="192"/>
      <c r="P35" s="192"/>
      <c r="Q35" s="192"/>
      <c r="R35" s="192"/>
      <c r="S35" s="183"/>
      <c r="T35" s="8"/>
    </row>
    <row r="36" spans="2:25" s="417" customFormat="1" ht="20.100000000000001" customHeight="1" x14ac:dyDescent="0.3">
      <c r="B36" s="4073" t="s">
        <v>1281</v>
      </c>
      <c r="C36" s="4070" t="s">
        <v>1282</v>
      </c>
      <c r="D36" s="4233" t="s">
        <v>537</v>
      </c>
      <c r="E36" s="4076" t="s">
        <v>559</v>
      </c>
      <c r="F36" s="4077"/>
      <c r="G36" s="4078"/>
      <c r="H36" s="4136" t="s">
        <v>663</v>
      </c>
      <c r="I36" s="4137"/>
      <c r="J36" s="4137"/>
      <c r="K36" s="4138"/>
      <c r="L36" s="418"/>
      <c r="M36" s="4158" t="str">
        <f>IF(ISBLANK(An)," ",An)</f>
        <v xml:space="preserve"> </v>
      </c>
      <c r="N36" s="4159"/>
      <c r="O36" s="418"/>
      <c r="P36" s="4166" t="str">
        <f>IF(ISBLANK(An)," ",An+1)</f>
        <v xml:space="preserve"> </v>
      </c>
      <c r="Q36" s="4168" t="str">
        <f>IF(ISBLANK(An)," ",An+2)</f>
        <v xml:space="preserve"> </v>
      </c>
      <c r="R36" s="920"/>
      <c r="T36" s="8"/>
    </row>
    <row r="37" spans="2:25" s="417" customFormat="1" ht="9.9" customHeight="1" x14ac:dyDescent="0.3">
      <c r="B37" s="4074"/>
      <c r="C37" s="4071"/>
      <c r="D37" s="4234"/>
      <c r="E37" s="4079"/>
      <c r="F37" s="4080"/>
      <c r="G37" s="4081"/>
      <c r="H37" s="4139"/>
      <c r="I37" s="4140"/>
      <c r="J37" s="4140"/>
      <c r="K37" s="4141"/>
      <c r="L37" s="418"/>
      <c r="M37" s="4160"/>
      <c r="N37" s="4161"/>
      <c r="O37" s="418"/>
      <c r="P37" s="4167"/>
      <c r="Q37" s="4169"/>
      <c r="R37" s="920"/>
      <c r="T37" s="8"/>
    </row>
    <row r="38" spans="2:25" s="2" customFormat="1" ht="15" customHeight="1" x14ac:dyDescent="0.3">
      <c r="B38" s="4074"/>
      <c r="C38" s="4071"/>
      <c r="D38" s="4235"/>
      <c r="E38" s="4063" t="s">
        <v>351</v>
      </c>
      <c r="F38" s="4063" t="s">
        <v>352</v>
      </c>
      <c r="G38" s="4063" t="s">
        <v>558</v>
      </c>
      <c r="H38" s="4142" t="s">
        <v>351</v>
      </c>
      <c r="I38" s="4143"/>
      <c r="J38" s="4063" t="s">
        <v>352</v>
      </c>
      <c r="K38" s="4171" t="s">
        <v>1285</v>
      </c>
      <c r="L38" s="195"/>
      <c r="M38" s="4188" t="s">
        <v>1283</v>
      </c>
      <c r="N38" s="4190" t="s">
        <v>1280</v>
      </c>
      <c r="O38" s="195"/>
      <c r="P38" s="4162" t="s">
        <v>1283</v>
      </c>
      <c r="Q38" s="4164" t="s">
        <v>1283</v>
      </c>
      <c r="R38" s="921"/>
      <c r="S38" s="183"/>
      <c r="T38" s="8"/>
    </row>
    <row r="39" spans="2:25" s="2" customFormat="1" ht="15" customHeight="1" x14ac:dyDescent="0.3">
      <c r="B39" s="4075"/>
      <c r="C39" s="4072"/>
      <c r="D39" s="4236"/>
      <c r="E39" s="4064"/>
      <c r="F39" s="4064"/>
      <c r="G39" s="4064"/>
      <c r="H39" s="4144"/>
      <c r="I39" s="4145"/>
      <c r="J39" s="4064"/>
      <c r="K39" s="4172"/>
      <c r="L39" s="195"/>
      <c r="M39" s="4189"/>
      <c r="N39" s="4191"/>
      <c r="O39" s="195"/>
      <c r="P39" s="4163"/>
      <c r="Q39" s="4165"/>
      <c r="R39" s="921"/>
      <c r="S39" s="183"/>
      <c r="T39" s="8"/>
    </row>
    <row r="40" spans="2:25" s="2" customFormat="1" ht="20.100000000000001" customHeight="1" x14ac:dyDescent="0.3">
      <c r="B40" s="2996"/>
      <c r="C40" s="2645"/>
      <c r="D40" s="2880" t="s">
        <v>248</v>
      </c>
      <c r="E40" s="2881"/>
      <c r="F40" s="2882"/>
      <c r="G40" s="2883">
        <f>SUM(E40:F40)</f>
        <v>0</v>
      </c>
      <c r="H40" s="4146"/>
      <c r="I40" s="4147"/>
      <c r="J40" s="2887"/>
      <c r="K40" s="2888">
        <f>SUM(H40:J40)</f>
        <v>0</v>
      </c>
      <c r="L40" s="408"/>
      <c r="M40" s="2867">
        <f>G40+K40</f>
        <v>0</v>
      </c>
      <c r="N40" s="2642" t="str">
        <f>IF(ISERROR((B40+C40+E40+H40)/da_5)," ",(B40+C40+E40+H40)/da_5)</f>
        <v xml:space="preserve"> </v>
      </c>
      <c r="O40" s="408"/>
      <c r="P40" s="2871"/>
      <c r="Q40" s="3027"/>
      <c r="R40" s="907"/>
      <c r="T40" s="8"/>
    </row>
    <row r="41" spans="2:25" s="2" customFormat="1" ht="20.100000000000001" customHeight="1" x14ac:dyDescent="0.3">
      <c r="B41" s="2892"/>
      <c r="C41" s="2641"/>
      <c r="D41" s="2995" t="s">
        <v>539</v>
      </c>
      <c r="E41" s="2864"/>
      <c r="F41" s="2884"/>
      <c r="G41" s="2885">
        <f>SUM(E41:F41)</f>
        <v>0</v>
      </c>
      <c r="H41" s="4148"/>
      <c r="I41" s="4149"/>
      <c r="J41" s="2889"/>
      <c r="K41" s="2890">
        <f>SUM(I41:J41)</f>
        <v>0</v>
      </c>
      <c r="L41" s="407"/>
      <c r="M41" s="2851">
        <f>G41+K41</f>
        <v>0</v>
      </c>
      <c r="N41" s="2643" t="str">
        <f>IF(ISERROR((B41+C41+E41+I41)/da_5)," ",(B41+C41+E41+I41)/da_5)</f>
        <v xml:space="preserve"> </v>
      </c>
      <c r="O41" s="407"/>
      <c r="P41" s="2872"/>
      <c r="Q41" s="2869"/>
      <c r="R41" s="905"/>
      <c r="T41" s="8"/>
    </row>
    <row r="42" spans="2:25" s="2" customFormat="1" ht="20.100000000000001" customHeight="1" x14ac:dyDescent="0.3">
      <c r="B42" s="2892"/>
      <c r="C42" s="2641"/>
      <c r="D42" s="2886"/>
      <c r="E42" s="2864"/>
      <c r="F42" s="2884"/>
      <c r="G42" s="2885">
        <f>SUM(E42:F42)</f>
        <v>0</v>
      </c>
      <c r="H42" s="4148"/>
      <c r="I42" s="4149"/>
      <c r="J42" s="2889"/>
      <c r="K42" s="2890">
        <f>SUM(I42:J42)</f>
        <v>0</v>
      </c>
      <c r="L42" s="408"/>
      <c r="M42" s="2851">
        <f>G42+K42</f>
        <v>0</v>
      </c>
      <c r="N42" s="2644" t="str">
        <f>IF(ISERROR((B42+C42+E42+I42)/da_5)," ",(B42+C42+E42+I42)/da_5)</f>
        <v xml:space="preserve"> </v>
      </c>
      <c r="O42" s="408"/>
      <c r="P42" s="2891"/>
      <c r="Q42" s="3028"/>
      <c r="R42" s="908"/>
      <c r="T42" s="8"/>
    </row>
    <row r="43" spans="2:25" s="2" customFormat="1" ht="20.100000000000001" customHeight="1" x14ac:dyDescent="0.3">
      <c r="B43" s="2892"/>
      <c r="C43" s="2641"/>
      <c r="D43" s="2886"/>
      <c r="E43" s="2864"/>
      <c r="F43" s="2884"/>
      <c r="G43" s="2885">
        <f>SUM(E43:F43)</f>
        <v>0</v>
      </c>
      <c r="H43" s="4148"/>
      <c r="I43" s="4149"/>
      <c r="J43" s="2889"/>
      <c r="K43" s="2890">
        <f>SUM(I43:J43)</f>
        <v>0</v>
      </c>
      <c r="L43" s="407"/>
      <c r="M43" s="2851">
        <f>G43+K43</f>
        <v>0</v>
      </c>
      <c r="N43" s="2643" t="str">
        <f>IF(ISERROR((B43+C43+E43+I43)/da_5)," ",(B43+C43+E43+I43)/da_5)</f>
        <v xml:space="preserve"> </v>
      </c>
      <c r="O43" s="407"/>
      <c r="P43" s="2892"/>
      <c r="Q43" s="3029"/>
      <c r="R43" s="922"/>
      <c r="T43" s="8"/>
    </row>
    <row r="44" spans="2:25" s="2" customFormat="1" ht="20.100000000000001" customHeight="1" x14ac:dyDescent="0.3">
      <c r="B44" s="3051"/>
      <c r="C44" s="3052"/>
      <c r="D44" s="3053" t="s">
        <v>202</v>
      </c>
      <c r="E44" s="3054"/>
      <c r="F44" s="3055"/>
      <c r="G44" s="3056">
        <f>SUM(E44:F44)</f>
        <v>0</v>
      </c>
      <c r="H44" s="4133" t="str">
        <f>IF(F44=0," ","  voir méthode de valorisation de la prime d'émission")</f>
        <v xml:space="preserve"> </v>
      </c>
      <c r="I44" s="4134"/>
      <c r="J44" s="4134"/>
      <c r="K44" s="4135"/>
      <c r="L44" s="196"/>
      <c r="M44" s="3072">
        <f>G44</f>
        <v>0</v>
      </c>
      <c r="N44" s="3057">
        <f>IF(ISERROR((B44+C44+E44)/da_5),0,(B44+C44+E44)/da_5)</f>
        <v>0</v>
      </c>
      <c r="O44" s="196"/>
      <c r="P44" s="4114"/>
      <c r="Q44" s="4115"/>
      <c r="R44" s="923"/>
      <c r="S44" s="4295" t="e">
        <f>IF(F48&lt;40%," ","La participation de Herrikoa est limitée à 40% du montant total du capital, soit en valeur nominale :")</f>
        <v>#DIV/0!</v>
      </c>
      <c r="T44" s="4296"/>
      <c r="U44" s="4296"/>
      <c r="V44" s="4296"/>
      <c r="W44" s="4296"/>
      <c r="X44" s="1019">
        <f>ROUNDDOWN(IF((B44+C44+E44)&lt;=(G46*40%),0,(G46-B44-C44-E44)*66.6667%),-1)</f>
        <v>0</v>
      </c>
      <c r="Y44" s="958"/>
    </row>
    <row r="45" spans="2:25" ht="3" customHeight="1" x14ac:dyDescent="0.25"/>
    <row r="46" spans="2:25" s="81" customFormat="1" ht="21.9" customHeight="1" collapsed="1" x14ac:dyDescent="0.3">
      <c r="B46" s="3058">
        <f>SUM(B40:B44)</f>
        <v>0</v>
      </c>
      <c r="C46" s="3059">
        <f>SUM(C40:C44)</f>
        <v>0</v>
      </c>
      <c r="D46" s="3060" t="str">
        <f>IF(C46&gt;0,"&lt; erreur : (+) au lieu de (-)"," ")</f>
        <v xml:space="preserve"> </v>
      </c>
      <c r="E46" s="4068" t="s">
        <v>893</v>
      </c>
      <c r="F46" s="4069"/>
      <c r="G46" s="3074">
        <f>IF(K4="oui",SUM(E40:E44)+(SUM(I40:I43)),B46+C46+(SUM(E40:E44)+(SUM(I40:I43))))</f>
        <v>0</v>
      </c>
      <c r="H46" s="3064"/>
      <c r="I46" s="4237" t="s">
        <v>1307</v>
      </c>
      <c r="J46" s="4238"/>
      <c r="K46" s="4239"/>
      <c r="L46" s="197"/>
      <c r="M46" s="3000">
        <f>SUM(M40:M44)</f>
        <v>0</v>
      </c>
      <c r="N46" s="3044" t="str">
        <f>IF(M46=0," ",M46/M65)</f>
        <v xml:space="preserve"> </v>
      </c>
      <c r="O46" s="3001"/>
      <c r="P46" s="3000">
        <f>SUM(P40:P43)</f>
        <v>0</v>
      </c>
      <c r="Q46" s="3030">
        <f>SUM(Q40:Q43)</f>
        <v>0</v>
      </c>
      <c r="R46" s="2634">
        <f>C46/-1</f>
        <v>0</v>
      </c>
      <c r="S46" s="956" t="str">
        <f>IF(R46&gt;B46,"Erreur : la réduction de capital est &gt; au capital"," ")</f>
        <v xml:space="preserve"> </v>
      </c>
      <c r="X46" s="1018"/>
    </row>
    <row r="47" spans="2:25" ht="3" customHeight="1" x14ac:dyDescent="0.25">
      <c r="X47" s="215"/>
    </row>
    <row r="48" spans="2:25" s="420" customFormat="1" ht="21.9" customHeight="1" thickBot="1" x14ac:dyDescent="0.35">
      <c r="B48" s="4065" t="str">
        <f>IF(K4="oui"," ",IF(B46=da_1," ","le montant du capital social avant opération ne correspond 
pas au montant figurant dans l'analyse du bilan"))</f>
        <v xml:space="preserve"> </v>
      </c>
      <c r="C48" s="4066"/>
      <c r="D48" s="4066"/>
      <c r="E48" s="671" t="str">
        <f>IF(NE="oui"," ",IF(da_1=B46," ","Ecart :"))</f>
        <v xml:space="preserve"> </v>
      </c>
      <c r="F48" s="713" t="e">
        <f>(B44+C44+E44)/G46</f>
        <v>#DIV/0!</v>
      </c>
      <c r="H48" s="3065"/>
      <c r="I48" s="4111" t="s">
        <v>1308</v>
      </c>
      <c r="J48" s="4112"/>
      <c r="K48" s="4113"/>
      <c r="L48" s="416"/>
      <c r="M48" s="1479">
        <f>M32-M46</f>
        <v>0</v>
      </c>
      <c r="N48" s="1480" t="str">
        <f>IF(ISERROR(IF(M48&lt;=0," ",M48/besoin_N))," ",IF(M48&lt;=0," ",M48/besoin_N))</f>
        <v xml:space="preserve"> </v>
      </c>
      <c r="O48" s="416"/>
      <c r="P48" s="1479">
        <f>P32-P46</f>
        <v>0</v>
      </c>
      <c r="Q48" s="2753">
        <f>Q32-Q46</f>
        <v>0</v>
      </c>
      <c r="R48" s="906"/>
      <c r="S48" s="4297" t="str">
        <f>IF(ISERROR(IF(F48&lt;=40%," ","Sauf apports supplémentaires des autres associés, le complément d'apport de Herrikoa est limité à :"))," ",IF(F48&lt;=40%," ","Sauf apports supplémentaires des autres associés, le complément d'apport de Herrikoa est limité à :"))</f>
        <v xml:space="preserve"> </v>
      </c>
      <c r="T48" s="4295"/>
      <c r="U48" s="4295"/>
      <c r="V48" s="4295"/>
      <c r="W48" s="4295"/>
      <c r="X48" s="1020">
        <f>IF(X44=0,0,X44-B44-C44)</f>
        <v>0</v>
      </c>
    </row>
    <row r="49" spans="2:21" s="8" customFormat="1" ht="20.100000000000001" customHeight="1" thickTop="1" x14ac:dyDescent="0.3">
      <c r="B49" s="4067"/>
      <c r="C49" s="4067"/>
      <c r="D49" s="4067"/>
      <c r="E49" s="672">
        <f>IF(NE="oui",0,IF(da_1=B46,0,B46-da_1))</f>
        <v>0</v>
      </c>
      <c r="F49" s="4267" t="str">
        <f>IF(E49&lt;&gt;0,"voir analyse du bilan"," ")</f>
        <v xml:space="preserve"> </v>
      </c>
      <c r="G49" s="4267"/>
      <c r="M49" s="4173" t="str">
        <f>IF(M48&gt;0,"Besoin de financement",IF(M48&lt;0,"Excédent de financement"," "))</f>
        <v xml:space="preserve"> </v>
      </c>
      <c r="N49" s="4173"/>
      <c r="O49" s="175"/>
      <c r="P49" s="794" t="str">
        <f>IF(P48&gt;0,"Besoin",IF(P48&lt;0,"Excédent"," "))</f>
        <v xml:space="preserve"> </v>
      </c>
      <c r="Q49" s="793" t="str">
        <f>IF(Q48&gt;0,"Besoin",IF(Q48&lt;0,"Excédent"," "))</f>
        <v xml:space="preserve"> </v>
      </c>
      <c r="R49" s="898"/>
      <c r="S49" s="2"/>
    </row>
    <row r="50" spans="2:21" ht="20.100000000000001" customHeight="1" x14ac:dyDescent="0.25">
      <c r="G50" s="1087">
        <f>IF(AND(sté_exploitation="oui",k_sté_exploitation&lt;&gt;da_5),da_5-k_sté_exploitation,0)</f>
        <v>0</v>
      </c>
      <c r="H50" s="1087"/>
      <c r="I50" s="4184" t="str">
        <f>IF(G50=0," "," ==&gt; Ecart avec le montant du capital social inscrit dans l'onglet ""Rachat ou reprise"" ")</f>
        <v xml:space="preserve"> </v>
      </c>
      <c r="J50" s="4184"/>
      <c r="K50" s="4184"/>
      <c r="L50" s="4184"/>
      <c r="M50" s="4184"/>
      <c r="N50" s="4184"/>
      <c r="O50" s="4184"/>
      <c r="P50" s="4184"/>
    </row>
    <row r="51" spans="2:21" s="2" customFormat="1" ht="3" customHeight="1" thickBot="1" x14ac:dyDescent="0.35">
      <c r="L51" s="197"/>
      <c r="U51" s="798"/>
    </row>
    <row r="52" spans="2:21" s="8" customFormat="1" ht="20.100000000000001" customHeight="1" thickTop="1" x14ac:dyDescent="0.3">
      <c r="B52" s="4217" t="s">
        <v>900</v>
      </c>
      <c r="C52" s="4217"/>
      <c r="D52" s="4217"/>
      <c r="E52" s="4217"/>
      <c r="F52" s="4217"/>
      <c r="G52" s="4232" t="s">
        <v>899</v>
      </c>
      <c r="H52" s="4232"/>
      <c r="I52" s="3399"/>
      <c r="J52" s="3399"/>
      <c r="K52" s="3399"/>
      <c r="L52" s="948"/>
      <c r="M52" s="4174" t="s">
        <v>1279</v>
      </c>
      <c r="N52" s="4175"/>
      <c r="O52" s="464"/>
      <c r="P52" s="4170" t="s">
        <v>1003</v>
      </c>
      <c r="Q52" s="4170"/>
      <c r="R52" s="899"/>
      <c r="S52" s="183"/>
    </row>
    <row r="53" spans="2:21" s="410" customFormat="1" ht="20.100000000000001" customHeight="1" x14ac:dyDescent="0.3">
      <c r="B53" s="4304" t="s">
        <v>306</v>
      </c>
      <c r="C53" s="4305"/>
      <c r="D53" s="4305"/>
      <c r="E53" s="4320" t="s">
        <v>307</v>
      </c>
      <c r="F53" s="4305"/>
      <c r="G53" s="4321"/>
      <c r="H53" s="4119" t="s">
        <v>294</v>
      </c>
      <c r="I53" s="4120"/>
      <c r="J53" s="4121"/>
      <c r="K53" s="2646" t="s">
        <v>442</v>
      </c>
      <c r="L53" s="782"/>
      <c r="M53" s="4192" t="str">
        <f>IF(ISBLANK(An)," ",An)</f>
        <v xml:space="preserve"> </v>
      </c>
      <c r="N53" s="4193"/>
      <c r="O53" s="8"/>
      <c r="P53" s="2635" t="str">
        <f>IF(ISBLANK(An)," ",An+1)</f>
        <v xml:space="preserve"> </v>
      </c>
      <c r="Q53" s="2636" t="str">
        <f>IF(ISBLANK(An)," ",An+2)</f>
        <v xml:space="preserve"> </v>
      </c>
      <c r="R53" s="925"/>
    </row>
    <row r="54" spans="2:21" s="2" customFormat="1" ht="20.100000000000001" customHeight="1" x14ac:dyDescent="0.3">
      <c r="B54" s="4306"/>
      <c r="C54" s="4307"/>
      <c r="D54" s="4307"/>
      <c r="E54" s="4322"/>
      <c r="F54" s="4323"/>
      <c r="G54" s="4324"/>
      <c r="H54" s="4122" t="s">
        <v>308</v>
      </c>
      <c r="I54" s="4123"/>
      <c r="J54" s="3075" t="s">
        <v>295</v>
      </c>
      <c r="K54" s="2647" t="s">
        <v>443</v>
      </c>
      <c r="L54" s="425"/>
      <c r="M54" s="2648" t="s">
        <v>176</v>
      </c>
      <c r="N54" s="2650" t="s">
        <v>305</v>
      </c>
      <c r="O54" s="8"/>
      <c r="P54" s="2648" t="s">
        <v>176</v>
      </c>
      <c r="Q54" s="2649" t="s">
        <v>176</v>
      </c>
      <c r="R54" s="925"/>
    </row>
    <row r="55" spans="2:21" s="2" customFormat="1" ht="20.100000000000001" customHeight="1" x14ac:dyDescent="0.3">
      <c r="B55" s="4298" t="s">
        <v>248</v>
      </c>
      <c r="C55" s="4299"/>
      <c r="D55" s="4300"/>
      <c r="E55" s="4311"/>
      <c r="F55" s="4312"/>
      <c r="G55" s="4313"/>
      <c r="H55" s="4131"/>
      <c r="I55" s="4132"/>
      <c r="J55" s="2653"/>
      <c r="K55" s="2874"/>
      <c r="L55" s="409"/>
      <c r="M55" s="2871"/>
      <c r="N55" s="2651"/>
      <c r="O55" s="409"/>
      <c r="P55" s="2997"/>
      <c r="Q55" s="3069"/>
      <c r="R55" s="905"/>
    </row>
    <row r="56" spans="2:21" s="2" customFormat="1" ht="20.100000000000001" customHeight="1" x14ac:dyDescent="0.3">
      <c r="B56" s="2893" t="s">
        <v>353</v>
      </c>
      <c r="C56" s="2894"/>
      <c r="D56" s="2895"/>
      <c r="E56" s="4308"/>
      <c r="F56" s="4309"/>
      <c r="G56" s="4310"/>
      <c r="H56" s="4102"/>
      <c r="I56" s="4130"/>
      <c r="J56" s="2654"/>
      <c r="K56" s="2875"/>
      <c r="L56" s="409"/>
      <c r="M56" s="2872"/>
      <c r="N56" s="2652"/>
      <c r="O56" s="409"/>
      <c r="P56" s="2872"/>
      <c r="Q56" s="2869"/>
      <c r="R56" s="905"/>
    </row>
    <row r="57" spans="2:21" s="2" customFormat="1" ht="20.100000000000001" customHeight="1" x14ac:dyDescent="0.3">
      <c r="B57" s="4153"/>
      <c r="C57" s="4154"/>
      <c r="D57" s="4155"/>
      <c r="E57" s="4308"/>
      <c r="F57" s="4309"/>
      <c r="G57" s="4310"/>
      <c r="H57" s="4102"/>
      <c r="I57" s="4130"/>
      <c r="J57" s="2654"/>
      <c r="K57" s="2875"/>
      <c r="L57" s="409"/>
      <c r="M57" s="2872"/>
      <c r="N57" s="2652"/>
      <c r="O57" s="409"/>
      <c r="P57" s="2872"/>
      <c r="Q57" s="2869"/>
      <c r="R57" s="905"/>
    </row>
    <row r="58" spans="2:21" s="2" customFormat="1" ht="20.100000000000001" customHeight="1" x14ac:dyDescent="0.3">
      <c r="B58" s="4153"/>
      <c r="C58" s="4154"/>
      <c r="D58" s="4155"/>
      <c r="E58" s="4308"/>
      <c r="F58" s="4309"/>
      <c r="G58" s="4310"/>
      <c r="H58" s="4102"/>
      <c r="I58" s="4130"/>
      <c r="J58" s="2654"/>
      <c r="K58" s="2875"/>
      <c r="L58" s="409"/>
      <c r="M58" s="2872"/>
      <c r="N58" s="2652"/>
      <c r="O58" s="409"/>
      <c r="P58" s="2872"/>
      <c r="Q58" s="2869"/>
      <c r="R58" s="905"/>
    </row>
    <row r="59" spans="2:21" s="2" customFormat="1" ht="20.100000000000001" customHeight="1" x14ac:dyDescent="0.3">
      <c r="B59" s="4153"/>
      <c r="C59" s="4154"/>
      <c r="D59" s="4155"/>
      <c r="E59" s="4308"/>
      <c r="F59" s="4309"/>
      <c r="G59" s="4310"/>
      <c r="H59" s="4102"/>
      <c r="I59" s="4130"/>
      <c r="J59" s="2655"/>
      <c r="K59" s="2875"/>
      <c r="L59" s="409"/>
      <c r="M59" s="2872"/>
      <c r="N59" s="2652"/>
      <c r="O59" s="409"/>
      <c r="P59" s="2891"/>
      <c r="Q59" s="3028"/>
      <c r="R59" s="908"/>
    </row>
    <row r="60" spans="2:21" s="2" customFormat="1" ht="20.100000000000001" customHeight="1" x14ac:dyDescent="0.3">
      <c r="B60" s="4153"/>
      <c r="C60" s="4154"/>
      <c r="D60" s="4155"/>
      <c r="E60" s="4314" t="s">
        <v>244</v>
      </c>
      <c r="F60" s="4315"/>
      <c r="G60" s="4316"/>
      <c r="H60" s="4128"/>
      <c r="I60" s="4129"/>
      <c r="J60" s="2655"/>
      <c r="K60" s="2875"/>
      <c r="L60" s="409"/>
      <c r="M60" s="2851">
        <f>creditbail_5</f>
        <v>0</v>
      </c>
      <c r="N60" s="2652"/>
      <c r="O60" s="409"/>
      <c r="P60" s="3070">
        <f>creditbail_6</f>
        <v>0</v>
      </c>
      <c r="Q60" s="3071">
        <f>creditbail_7</f>
        <v>0</v>
      </c>
      <c r="R60" s="909"/>
    </row>
    <row r="61" spans="2:21" s="2" customFormat="1" ht="20.100000000000001" customHeight="1" x14ac:dyDescent="0.3">
      <c r="B61" s="4301" t="s">
        <v>202</v>
      </c>
      <c r="C61" s="4302"/>
      <c r="D61" s="4303"/>
      <c r="E61" s="4185"/>
      <c r="F61" s="4186"/>
      <c r="G61" s="4187"/>
      <c r="H61" s="4126"/>
      <c r="I61" s="4127"/>
      <c r="J61" s="3045"/>
      <c r="K61" s="3046"/>
      <c r="L61" s="463"/>
      <c r="M61" s="3047"/>
      <c r="N61" s="3073"/>
      <c r="O61" s="463"/>
      <c r="P61" s="4114"/>
      <c r="Q61" s="4115"/>
      <c r="R61" s="926"/>
    </row>
    <row r="62" spans="2:21" s="8" customFormat="1" ht="3" customHeight="1" x14ac:dyDescent="0.3">
      <c r="B62" s="188"/>
      <c r="C62" s="188"/>
      <c r="D62" s="188"/>
      <c r="E62" s="414"/>
      <c r="F62" s="189"/>
      <c r="G62" s="9"/>
      <c r="H62" s="9"/>
      <c r="I62" s="9"/>
      <c r="J62" s="9"/>
      <c r="K62" s="198"/>
      <c r="M62" s="199"/>
      <c r="P62" s="10"/>
      <c r="Q62" s="10"/>
      <c r="R62" s="10"/>
      <c r="S62" s="183"/>
    </row>
    <row r="63" spans="2:21" s="410" customFormat="1" ht="21.9" customHeight="1" x14ac:dyDescent="0.3">
      <c r="F63" s="2628"/>
      <c r="H63" s="3066"/>
      <c r="I63" s="4176" t="s">
        <v>1306</v>
      </c>
      <c r="J63" s="4177"/>
      <c r="K63" s="4178"/>
      <c r="L63" s="411"/>
      <c r="M63" s="3043">
        <f>SUM(M55:M61)</f>
        <v>0</v>
      </c>
      <c r="N63" s="3068" t="str">
        <f>IF(M63=0," ",M63/M65)</f>
        <v xml:space="preserve"> </v>
      </c>
      <c r="O63" s="411"/>
      <c r="P63" s="3043">
        <f>SUM(P55:P61)</f>
        <v>0</v>
      </c>
      <c r="Q63" s="3048">
        <f>SUM(Q55:Q61)</f>
        <v>0</v>
      </c>
      <c r="R63" s="924"/>
      <c r="S63" s="412"/>
    </row>
    <row r="64" spans="2:21" ht="6" customHeight="1" x14ac:dyDescent="0.3">
      <c r="B64" s="12"/>
      <c r="C64" s="12"/>
      <c r="D64" s="12"/>
      <c r="E64" s="13"/>
      <c r="F64" s="12"/>
      <c r="G64" s="12"/>
      <c r="H64" s="12"/>
      <c r="I64" s="12"/>
      <c r="J64" s="12"/>
      <c r="K64" s="12"/>
      <c r="L64" s="16"/>
      <c r="M64" s="14"/>
      <c r="N64" s="15"/>
      <c r="O64" s="16"/>
      <c r="P64" s="14"/>
      <c r="Q64" s="16"/>
      <c r="R64" s="16"/>
      <c r="S64" s="183"/>
    </row>
    <row r="65" spans="2:23" s="81" customFormat="1" ht="21.9" customHeight="1" x14ac:dyDescent="0.3">
      <c r="F65" s="2629"/>
      <c r="G65" s="2984"/>
      <c r="H65" s="2984"/>
      <c r="I65" s="4179" t="s">
        <v>1305</v>
      </c>
      <c r="J65" s="4180"/>
      <c r="K65" s="4181"/>
      <c r="L65" s="416"/>
      <c r="M65" s="2656">
        <f>M27+M28+M29+M30+M46+M63</f>
        <v>0</v>
      </c>
      <c r="N65" s="2659" t="str">
        <f>IF(M65=0," ",100%)</f>
        <v xml:space="preserve"> </v>
      </c>
      <c r="O65" s="1465"/>
      <c r="P65" s="2657">
        <f>P27+P28+P29+P30+P46+P63</f>
        <v>0</v>
      </c>
      <c r="Q65" s="2658">
        <f>Q27+Q28+Q29+Q30+Q46+Q63</f>
        <v>0</v>
      </c>
      <c r="R65" s="927"/>
      <c r="S65" s="415"/>
    </row>
    <row r="66" spans="2:23" s="183" customFormat="1" ht="6" customHeight="1" x14ac:dyDescent="0.3">
      <c r="B66" s="179"/>
      <c r="C66" s="179"/>
      <c r="D66" s="179"/>
      <c r="E66" s="173"/>
      <c r="I66" s="17"/>
      <c r="J66" s="935"/>
      <c r="K66" s="3067"/>
      <c r="L66" s="710"/>
      <c r="M66" s="711"/>
      <c r="N66" s="712"/>
      <c r="O66" s="710"/>
      <c r="P66" s="711"/>
      <c r="Q66" s="711"/>
      <c r="R66" s="711"/>
      <c r="S66" s="48"/>
    </row>
    <row r="67" spans="2:23" s="421" customFormat="1" ht="21.9" customHeight="1" x14ac:dyDescent="0.3">
      <c r="B67" s="419"/>
      <c r="C67" s="419"/>
      <c r="D67" s="419"/>
      <c r="E67" s="422"/>
      <c r="F67" s="422"/>
      <c r="G67" s="422"/>
      <c r="H67" s="422"/>
      <c r="I67" s="4111" t="s">
        <v>1309</v>
      </c>
      <c r="J67" s="4112"/>
      <c r="K67" s="4113"/>
      <c r="L67" s="416"/>
      <c r="M67" s="1479">
        <f>besoin_N-M65</f>
        <v>0</v>
      </c>
      <c r="N67" s="1480" t="str">
        <f>IF(ISERROR(IF(M67&lt;=0," ",M67/besoin_N))," ",IF(M67&lt;=0," ",M67/besoin_N))</f>
        <v xml:space="preserve"> </v>
      </c>
      <c r="O67" s="423"/>
      <c r="P67" s="1479">
        <f>besoin_N1-P65</f>
        <v>0</v>
      </c>
      <c r="Q67" s="2753">
        <f>besoin_N2-Q65</f>
        <v>0</v>
      </c>
      <c r="R67" s="906"/>
      <c r="S67" s="424"/>
    </row>
    <row r="68" spans="2:23" ht="3" customHeight="1" x14ac:dyDescent="0.25"/>
    <row r="69" spans="2:23" s="1" customFormat="1" ht="20.100000000000001" customHeight="1" x14ac:dyDescent="0.3">
      <c r="B69" s="493"/>
      <c r="C69" s="494"/>
      <c r="D69" s="180"/>
      <c r="E69" s="202"/>
      <c r="F69" s="202"/>
      <c r="G69" s="202"/>
      <c r="H69" s="202"/>
      <c r="I69" s="202"/>
      <c r="J69" s="202"/>
      <c r="K69" s="202"/>
      <c r="L69" s="174"/>
      <c r="M69" s="4182" t="str">
        <f>IF(M67&gt;0,"Besoin de trésorerie",IF(M67&lt;0,"Excédent de financement"," "))</f>
        <v xml:space="preserve"> </v>
      </c>
      <c r="N69" s="4183"/>
      <c r="O69" s="175"/>
      <c r="P69" s="2705" t="str">
        <f>IF(P67&gt;0,"Besoin",IF(P67&lt;0,"Excédent"," "))</f>
        <v xml:space="preserve"> </v>
      </c>
      <c r="Q69" s="2705" t="str">
        <f>IF(Q67&gt;0,"Besoin",IF(Q67&lt;0,"Excédent"," "))</f>
        <v xml:space="preserve"> </v>
      </c>
      <c r="R69" s="906"/>
      <c r="S69" s="203"/>
    </row>
    <row r="70" spans="2:23" ht="6" customHeight="1" x14ac:dyDescent="0.25">
      <c r="B70" s="495"/>
      <c r="C70" s="494"/>
      <c r="D70" s="179"/>
      <c r="E70" s="173"/>
      <c r="F70" s="173"/>
      <c r="G70" s="173"/>
      <c r="H70" s="202"/>
      <c r="I70" s="173"/>
      <c r="J70" s="173"/>
      <c r="K70" s="173"/>
      <c r="L70" s="174"/>
      <c r="M70" s="11"/>
      <c r="N70" s="11"/>
      <c r="O70" s="174"/>
      <c r="P70" s="11"/>
      <c r="Q70" s="11"/>
      <c r="R70" s="183"/>
      <c r="S70" s="74"/>
    </row>
    <row r="71" spans="2:23" s="81" customFormat="1" ht="21.9" customHeight="1" x14ac:dyDescent="0.3">
      <c r="D71" s="410"/>
      <c r="E71" s="410"/>
      <c r="H71" s="202"/>
      <c r="I71" s="4124" t="s">
        <v>843</v>
      </c>
      <c r="J71" s="4125"/>
      <c r="K71" s="1687" t="str">
        <f>IF(ca_1=0," ",IF(K4="oui"," ", tr_1))</f>
        <v xml:space="preserve"> </v>
      </c>
      <c r="M71" s="1688" t="str">
        <f>IF(ISERROR(IF(ca_5=0," ",IF(sté_exploitation="oui",solde_financement_N1-1,tr_0+((solde_financement_N1-M10-M11)/-1))))," ",IF(ca_5=0," ",IF(sté_exploitation="oui",solde_financement_N1/-1,tr_0+((solde_financement_N1-M10-M11)/-1))))</f>
        <v xml:space="preserve"> </v>
      </c>
      <c r="N71" s="1689">
        <f>IF(ISERROR(IF(M71&gt;0,0,(M71/-1)/bfr_5))," ",IF(M71&gt;0,0,(M71/-1)/bfr_5))</f>
        <v>0</v>
      </c>
      <c r="P71" s="1688" t="str">
        <f>IF(ISERROR(tr_5+(solde_financement_N2/-1))," ",tr_5+(solde_financement_N2/-1))</f>
        <v xml:space="preserve"> </v>
      </c>
      <c r="Q71" s="1690" t="str">
        <f>IF(ISERROR(tr_6+(solde_financement_N3/-1))," ",tr_6+(solde_financement_N3/-1))</f>
        <v xml:space="preserve"> </v>
      </c>
      <c r="R71" s="927"/>
      <c r="S71" s="415"/>
      <c r="T71" s="415"/>
      <c r="U71" s="415"/>
      <c r="V71" s="415"/>
      <c r="W71" s="706"/>
    </row>
    <row r="72" spans="2:23" s="17" customFormat="1" ht="3" customHeight="1" x14ac:dyDescent="0.3">
      <c r="E72" s="496"/>
      <c r="F72" s="497"/>
      <c r="G72" s="497"/>
      <c r="H72" s="202"/>
      <c r="I72" s="498"/>
      <c r="J72" s="498"/>
      <c r="K72" s="498"/>
      <c r="L72" s="499"/>
      <c r="M72" s="499"/>
      <c r="O72" s="500"/>
      <c r="P72" s="501"/>
      <c r="Q72" s="501"/>
      <c r="R72" s="501"/>
      <c r="T72" s="415"/>
    </row>
    <row r="73" spans="2:23" s="17" customFormat="1" ht="17.25" customHeight="1" x14ac:dyDescent="0.3">
      <c r="E73" s="496"/>
      <c r="F73" s="497"/>
      <c r="G73" s="497"/>
      <c r="H73" s="497"/>
      <c r="I73" s="498"/>
      <c r="J73" s="4231" t="str">
        <f>IF(ISERROR(K71*(durée_1*30)/(ca_1*(1+(tauxtvac1+tauxtvac2))))," ",K71*(durée_1*30)/(ca_1*(1+(tauxtvac1+tauxtvac2))))</f>
        <v xml:space="preserve"> </v>
      </c>
      <c r="K73" s="4231"/>
      <c r="L73" s="805"/>
      <c r="M73" s="4196" t="str">
        <f>IF(ISERROR(M71*(durée_5*30)/(ca_5*(1+(tauxtvac1+tauxtvac2))))," ",M71*(durée_5*30)/(ca_5*(1+(tauxtvac1+tauxtvac2))))</f>
        <v xml:space="preserve"> </v>
      </c>
      <c r="N73" s="4196"/>
      <c r="O73" s="500"/>
      <c r="P73" s="3334" t="str">
        <f>IF(ISERROR(P71*(durée_6*30)/(ca_6*(1+(tauxtvac1+tauxtvac2))))," ",P71*(durée_6*30)/(ca_6*(1+(tauxtvac1+tauxtvac2))))</f>
        <v xml:space="preserve"> </v>
      </c>
      <c r="Q73" s="3334" t="str">
        <f>IF(ISERROR(Q71*(durée_7*30)/(ca_7*(1+(tauxtvac1+tauxtvac2))))," ",Q71*(durée_7*30)/(ca_7*(1+(tauxtvac1+tauxtvac2))))</f>
        <v xml:space="preserve"> </v>
      </c>
      <c r="R73" s="795"/>
      <c r="T73" s="415"/>
    </row>
    <row r="74" spans="2:23" s="17" customFormat="1" ht="6" customHeight="1" x14ac:dyDescent="0.3">
      <c r="E74" s="496"/>
      <c r="F74" s="497"/>
      <c r="G74" s="497"/>
      <c r="H74" s="497"/>
      <c r="I74" s="498"/>
      <c r="J74" s="896"/>
      <c r="K74" s="896"/>
      <c r="L74" s="805"/>
      <c r="M74" s="897"/>
      <c r="N74" s="897"/>
      <c r="O74" s="500"/>
      <c r="P74" s="795"/>
      <c r="Q74" s="795"/>
      <c r="R74" s="795"/>
      <c r="T74" s="415"/>
    </row>
    <row r="75" spans="2:23" s="17" customFormat="1" ht="21.9" customHeight="1" x14ac:dyDescent="0.3">
      <c r="E75" s="4201" t="s">
        <v>1260</v>
      </c>
      <c r="F75" s="4202"/>
      <c r="G75" s="4202"/>
      <c r="H75" s="4202"/>
      <c r="I75" s="4202"/>
      <c r="J75" s="4202"/>
      <c r="K75" s="4202"/>
      <c r="L75" s="4202"/>
      <c r="M75" s="4202"/>
      <c r="N75" s="4202"/>
      <c r="O75" s="4202"/>
      <c r="P75" s="4202"/>
      <c r="Q75" s="4203"/>
      <c r="R75" s="928"/>
      <c r="T75" s="415"/>
    </row>
    <row r="76" spans="2:23" ht="3" customHeight="1" x14ac:dyDescent="0.25"/>
    <row r="77" spans="2:23" s="17" customFormat="1" ht="21.9" customHeight="1" x14ac:dyDescent="0.3">
      <c r="E77" s="4204" t="s">
        <v>887</v>
      </c>
      <c r="F77" s="4205"/>
      <c r="G77" s="4205"/>
      <c r="H77" s="2985"/>
      <c r="I77" s="4228" t="s">
        <v>671</v>
      </c>
      <c r="J77" s="4229"/>
      <c r="K77" s="4230"/>
      <c r="L77" s="805"/>
      <c r="M77" s="4206" t="str">
        <f>IF(ISBLANK(An)," ",An)</f>
        <v xml:space="preserve"> </v>
      </c>
      <c r="N77" s="4207"/>
      <c r="O77" s="1481"/>
      <c r="P77" s="1685" t="str">
        <f>IF(ISBLANK(An)," ",An+1)</f>
        <v xml:space="preserve"> </v>
      </c>
      <c r="Q77" s="1686" t="str">
        <f>IF(ISBLANK(An)," ",An+2)</f>
        <v xml:space="preserve"> </v>
      </c>
      <c r="R77" s="912"/>
      <c r="T77" s="415"/>
    </row>
    <row r="78" spans="2:23" s="17" customFormat="1" ht="24.9" customHeight="1" x14ac:dyDescent="0.3">
      <c r="D78" s="494" t="e">
        <f>AVERAGE(M78,P78,Q78)</f>
        <v>#DIV/0!</v>
      </c>
      <c r="E78" s="4208" t="s">
        <v>778</v>
      </c>
      <c r="F78" s="4209"/>
      <c r="G78" s="4209"/>
      <c r="H78" s="2986"/>
      <c r="I78" s="4219">
        <v>0.4</v>
      </c>
      <c r="J78" s="4220"/>
      <c r="K78" s="4221"/>
      <c r="L78" s="902"/>
      <c r="M78" s="3279" t="str">
        <f>IF(ISERROR(IF(ca_5=0," ",fonds_propres_5/emp_elargi_5))," ",IF(ca_5=0," ",fonds_propres_5/emp_elargi_5))</f>
        <v xml:space="preserve"> </v>
      </c>
      <c r="N78" s="3035" t="str">
        <f>IF(ca_5=0," ",IF(M78&gt;I78,"J",IF(M78&lt;I78,"L","K")))</f>
        <v xml:space="preserve"> </v>
      </c>
      <c r="O78" s="500"/>
      <c r="P78" s="3283" t="str">
        <f>IF(ISERROR(IF(ca_6=0," ",fonds_propres_6/emp_elargi_6))," ",IF(ca_6=0," ",fonds_propres_6/emp_elargi_6))</f>
        <v xml:space="preserve"> </v>
      </c>
      <c r="Q78" s="3031" t="str">
        <f>IF(ISERROR(IF(ca_7=0," ",fonds_propres_7/emp_elargi_7))," ",IF(ca_7=0," ",fonds_propres_7/emp_elargi_7))</f>
        <v xml:space="preserve"> </v>
      </c>
      <c r="R78" s="857" t="e">
        <f>IF(AND(D78&lt;I78,D79&gt;I79),1,0)</f>
        <v>#DIV/0!</v>
      </c>
      <c r="S78" s="962" t="e">
        <f>IF(AND(D78&lt;I78,D79&gt;I79),"fonds propres insuffisants ==&gt; revoir le plan de financement 
(répartition fonds propres/fonds empruntés)"," ")</f>
        <v>#DIV/0!</v>
      </c>
      <c r="T78" s="970" t="e">
        <f>IF(D78&lt;I78,1,0)</f>
        <v>#DIV/0!</v>
      </c>
    </row>
    <row r="79" spans="2:23" s="17" customFormat="1" ht="30" customHeight="1" x14ac:dyDescent="0.3">
      <c r="D79" s="494" t="e">
        <f>AVERAGE(M80,P80,Q80)</f>
        <v>#DIV/0!</v>
      </c>
      <c r="E79" s="4211" t="s">
        <v>890</v>
      </c>
      <c r="F79" s="4212"/>
      <c r="G79" s="4212"/>
      <c r="H79" s="2987"/>
      <c r="I79" s="4317">
        <f>IF(activité="PB",50%,65%)</f>
        <v>0.65</v>
      </c>
      <c r="J79" s="4318"/>
      <c r="K79" s="4319"/>
      <c r="L79" s="902"/>
      <c r="M79" s="3280">
        <f>IF(ISERROR(IF(AND(caf_5&lt;0,(Apurement_5+remb_5A+remb_5B)&gt;0),"CAF nulle !",(remb_5A+remb_5B)/caf_5)),0,IF(AND(caf_5&lt;0,(Apurement_5+remb_5A+remb_5B)&gt;0),"CAF nulle !",(remb_5A+remb_5B)/caf_5))</f>
        <v>0</v>
      </c>
      <c r="N79" s="3036" t="str">
        <f>IF(ca_5=0," ",IF(M79="CAF nulle !","L",IF(M79&lt;I79,"J",IF(M79&gt;I79,"L","K"))))</f>
        <v xml:space="preserve"> </v>
      </c>
      <c r="O79" s="500"/>
      <c r="P79" s="3280">
        <f>IF(ISERROR(IF(AND(caf_6&lt;0,(Apurement_6+remb_6A+remb_6B)&gt;0),"CAF nulle !",(remb_6A+remb_6B)/caf_6)),0,IF(AND(caf_6&lt;0,(Apurement_6+remb_6A+remb_6B)&gt;0),"CAF nulle !",(remb_6A+remb_6B)/caf_6))</f>
        <v>0</v>
      </c>
      <c r="Q79" s="3032">
        <f>IF(ISERROR(IF(AND(caf_7&lt;0,(Apurement_7+remb_7A+remb_7B)&gt;0),"CAF nulle !",(remb_7A+remb_7B)/caf_7)),0,IF(AND(caf_7&lt;0,(Apurement_7+remb_7A+remb_7B)&gt;0),"CAF nulle !",(remb_7A+remb_7B)/caf_7))</f>
        <v>0</v>
      </c>
      <c r="R79" s="857" t="e">
        <f>IF(D79&gt;I79,1,0)</f>
        <v>#DIV/0!</v>
      </c>
      <c r="S79" s="962" t="e">
        <f>IF(D79&gt;I79,"Part trop importante ==&gt; revoir le plan de financement 
(répartition fonds propres/fonds empruntés)"," ")</f>
        <v>#DIV/0!</v>
      </c>
      <c r="T79" s="970" t="e">
        <f>IF(D79&gt;I79,1,0)</f>
        <v>#DIV/0!</v>
      </c>
    </row>
    <row r="80" spans="2:23" s="17" customFormat="1" ht="9.9" hidden="1" customHeight="1" x14ac:dyDescent="0.3">
      <c r="D80" s="494"/>
      <c r="E80" s="2896"/>
      <c r="F80" s="2897"/>
      <c r="G80" s="2897"/>
      <c r="H80" s="2987"/>
      <c r="I80" s="3276"/>
      <c r="J80" s="3277"/>
      <c r="K80" s="3278"/>
      <c r="L80" s="902"/>
      <c r="M80" s="3281" t="e">
        <f>IF(AND(caf_5&lt;0,(Apurement_5+remb_5A+remb_5B)&gt;0),100%,(remb_5A+remb_5B)/caf_5)</f>
        <v>#DIV/0!</v>
      </c>
      <c r="N80" s="3037"/>
      <c r="O80" s="302"/>
      <c r="P80" s="3281" t="e">
        <f>IF(AND(caf_6&lt;0,(Apurement_6+remb_6A+remb_6B)&gt;0),100%,(remb_6A+remb_6B)/caf_6)</f>
        <v>#DIV/0!</v>
      </c>
      <c r="Q80" s="3033" t="e">
        <f>IF(AND(caf_7&lt;0,(Apurement_7+remb_7A+remb_7B)&gt;0),100%,(remb_7A+remb_7B)/caf_7)</f>
        <v>#DIV/0!</v>
      </c>
      <c r="R80" s="857"/>
      <c r="T80" s="970">
        <f>IF(D80&gt;I80,1,0)</f>
        <v>0</v>
      </c>
    </row>
    <row r="81" spans="2:24" s="17" customFormat="1" ht="24.9" customHeight="1" x14ac:dyDescent="0.3">
      <c r="D81" s="973" t="e">
        <f ca="1">(emp_elargi_5+emp_elargi_6+emp_elargi_7-tr_5-tr_6-tr_7)/(ebe_5+ebe_6+ebe_7)</f>
        <v>#VALUE!</v>
      </c>
      <c r="E81" s="4156" t="s">
        <v>892</v>
      </c>
      <c r="F81" s="4157"/>
      <c r="G81" s="4157"/>
      <c r="H81" s="2990"/>
      <c r="I81" s="4225">
        <v>3.5</v>
      </c>
      <c r="J81" s="4226"/>
      <c r="K81" s="4227"/>
      <c r="L81" s="2631"/>
      <c r="M81" s="3282">
        <f>IF(ca_5=0,0,IF(ebe_5&lt;0,"EBE négatif !",(emp_elargi_5-tr_5)/ebe_5))</f>
        <v>0</v>
      </c>
      <c r="N81" s="3038" t="str">
        <f>IF(ca_5=0," ",IF(M81&lt;I81,"J",IF(M81&gt;I81,"L","K")))</f>
        <v xml:space="preserve"> </v>
      </c>
      <c r="O81" s="2632"/>
      <c r="P81" s="3282">
        <f>IF(ca_6=0,0,IF(ebe_6&lt;0,"EBE négatif !",(emp_elargi_6-tr_6)/ebe_6))</f>
        <v>0</v>
      </c>
      <c r="Q81" s="3034">
        <f>IF(ca_7=0,0,IF(ebe_7&lt;0,"EBE négatif !",(emp_elargi_7-tr_7)/ebe_7))</f>
        <v>0</v>
      </c>
      <c r="R81" s="857" t="e">
        <f ca="1">IF(D81&gt;I81,1,0)</f>
        <v>#VALUE!</v>
      </c>
      <c r="S81" s="4292" t="e">
        <f ca="1">IF(D81&gt;I81,"l'entreprise ne dégage pas suffisamment de bénéfice pour rembourser ses dettes ==&gt; revoir le plan de financement (répartition fonds propres/fonds emruntés)"," ")</f>
        <v>#VALUE!</v>
      </c>
      <c r="T81" s="970" t="e">
        <f ca="1">IF(D81&gt;I81,1,0)</f>
        <v>#VALUE!</v>
      </c>
    </row>
    <row r="82" spans="2:24" s="17" customFormat="1" ht="3" customHeight="1" x14ac:dyDescent="0.3">
      <c r="E82" s="496"/>
      <c r="F82" s="497"/>
      <c r="G82" s="497"/>
      <c r="H82" s="497"/>
      <c r="I82" s="498"/>
      <c r="J82" s="896"/>
      <c r="K82" s="959"/>
      <c r="L82" s="805"/>
      <c r="M82" s="961"/>
      <c r="N82" s="897"/>
      <c r="O82" s="500"/>
      <c r="P82" s="795"/>
      <c r="Q82" s="795"/>
      <c r="R82" s="967"/>
      <c r="S82" s="4293"/>
      <c r="T82" s="972" t="e">
        <f>SUM(T78:T81)</f>
        <v>#DIV/0!</v>
      </c>
    </row>
    <row r="83" spans="2:24" s="17" customFormat="1" ht="17.25" customHeight="1" x14ac:dyDescent="0.3">
      <c r="E83" s="4215" t="e">
        <f>IF(T82=2,"2  normes sur 3 non respectées, il serait prudent de revoir la répartition des ressources (fonds propres/fonds empruntés)",IF(T82=3,"Aucune des 3 régles de prudence n'est respectée : le plan de financement n'est pas acceptable en l'état", " "))</f>
        <v>#DIV/0!</v>
      </c>
      <c r="F83" s="4216"/>
      <c r="G83" s="4216"/>
      <c r="H83" s="4216"/>
      <c r="I83" s="4216"/>
      <c r="J83" s="4216"/>
      <c r="K83" s="4216"/>
      <c r="L83" s="4216"/>
      <c r="M83" s="4216"/>
      <c r="N83" s="4216"/>
      <c r="O83" s="4216"/>
      <c r="P83" s="4216"/>
      <c r="Q83" s="4216"/>
      <c r="R83" s="969"/>
      <c r="S83" s="4294"/>
      <c r="T83" s="971"/>
    </row>
    <row r="84" spans="2:24" s="17" customFormat="1" ht="3" customHeight="1" x14ac:dyDescent="0.3">
      <c r="E84" s="496"/>
      <c r="F84" s="497"/>
      <c r="G84" s="497"/>
      <c r="H84" s="497"/>
      <c r="I84" s="498"/>
      <c r="J84" s="966"/>
      <c r="K84" s="959"/>
      <c r="L84" s="805"/>
      <c r="M84" s="961"/>
      <c r="N84" s="965"/>
      <c r="O84" s="500"/>
      <c r="P84" s="795"/>
      <c r="Q84" s="795"/>
      <c r="R84" s="967"/>
      <c r="S84" s="968"/>
      <c r="T84" s="415"/>
    </row>
    <row r="85" spans="2:24" s="94" customFormat="1" ht="20.100000000000001" customHeight="1" x14ac:dyDescent="0.3">
      <c r="B85" s="4217" t="s">
        <v>967</v>
      </c>
      <c r="C85" s="4217"/>
      <c r="D85" s="4217"/>
      <c r="E85" s="4217"/>
      <c r="F85" s="4217"/>
      <c r="G85" s="4218"/>
      <c r="H85" s="2989"/>
      <c r="I85" s="4224" t="s">
        <v>631</v>
      </c>
      <c r="J85" s="3399"/>
      <c r="K85" s="3399"/>
      <c r="L85" s="426"/>
      <c r="M85" s="426"/>
      <c r="N85" s="426"/>
      <c r="O85" s="426"/>
      <c r="P85" s="426"/>
      <c r="R85" s="426"/>
      <c r="S85" s="960"/>
      <c r="T85" s="415"/>
      <c r="U85" s="17"/>
      <c r="V85" s="17"/>
      <c r="W85" s="17"/>
      <c r="X85" s="17"/>
    </row>
    <row r="86" spans="2:24" s="75" customFormat="1" ht="35.1" customHeight="1" x14ac:dyDescent="0.3">
      <c r="B86" s="4222" t="s">
        <v>436</v>
      </c>
      <c r="C86" s="4223"/>
      <c r="D86" s="2660" t="s">
        <v>561</v>
      </c>
      <c r="E86" s="4150" t="s">
        <v>562</v>
      </c>
      <c r="F86" s="4151"/>
      <c r="G86" s="4151"/>
      <c r="H86" s="4152"/>
      <c r="I86" s="2660" t="s">
        <v>624</v>
      </c>
      <c r="J86" s="2661" t="s">
        <v>305</v>
      </c>
      <c r="K86" s="2662" t="s">
        <v>176</v>
      </c>
      <c r="L86" s="427"/>
      <c r="M86" s="2670" t="s">
        <v>176</v>
      </c>
      <c r="N86" s="2671" t="s">
        <v>547</v>
      </c>
      <c r="O86" s="427"/>
      <c r="P86" s="2663" t="s">
        <v>176</v>
      </c>
      <c r="Q86" s="2662" t="s">
        <v>176</v>
      </c>
      <c r="R86" s="929"/>
      <c r="S86" s="706"/>
      <c r="T86" s="415"/>
      <c r="U86" s="17"/>
      <c r="V86" s="17"/>
      <c r="W86" s="17"/>
      <c r="X86" s="17"/>
    </row>
    <row r="87" spans="2:24" s="2" customFormat="1" ht="20.100000000000001" customHeight="1" x14ac:dyDescent="0.3">
      <c r="B87" s="4213"/>
      <c r="C87" s="4214"/>
      <c r="D87" s="2898"/>
      <c r="E87" s="4105"/>
      <c r="F87" s="4106"/>
      <c r="G87" s="4106"/>
      <c r="H87" s="4107"/>
      <c r="I87" s="2664"/>
      <c r="J87" s="2665"/>
      <c r="K87" s="2901"/>
      <c r="M87" s="2997"/>
      <c r="N87" s="2672"/>
      <c r="P87" s="2997"/>
      <c r="Q87" s="3285"/>
      <c r="R87" s="910"/>
    </row>
    <row r="88" spans="2:24" s="2" customFormat="1" ht="20.100000000000001" customHeight="1" x14ac:dyDescent="0.3">
      <c r="B88" s="4199"/>
      <c r="C88" s="4200"/>
      <c r="D88" s="2899"/>
      <c r="E88" s="4102"/>
      <c r="F88" s="4103"/>
      <c r="G88" s="4103"/>
      <c r="H88" s="4104"/>
      <c r="I88" s="2666"/>
      <c r="J88" s="2667"/>
      <c r="K88" s="2902"/>
      <c r="M88" s="2872"/>
      <c r="N88" s="2673"/>
      <c r="P88" s="2872"/>
      <c r="Q88" s="2869"/>
      <c r="R88" s="910"/>
    </row>
    <row r="89" spans="2:24" s="2" customFormat="1" ht="20.100000000000001" customHeight="1" x14ac:dyDescent="0.3">
      <c r="B89" s="4199"/>
      <c r="C89" s="4200"/>
      <c r="D89" s="2899"/>
      <c r="E89" s="4102"/>
      <c r="F89" s="4103"/>
      <c r="G89" s="4103"/>
      <c r="H89" s="4104"/>
      <c r="I89" s="2666"/>
      <c r="J89" s="2667"/>
      <c r="K89" s="2902"/>
      <c r="M89" s="2872"/>
      <c r="N89" s="2673"/>
      <c r="P89" s="2872"/>
      <c r="Q89" s="2869"/>
      <c r="R89" s="910"/>
    </row>
    <row r="90" spans="2:24" s="2" customFormat="1" ht="20.100000000000001" customHeight="1" x14ac:dyDescent="0.3">
      <c r="B90" s="4199"/>
      <c r="C90" s="4200"/>
      <c r="D90" s="2899"/>
      <c r="E90" s="4102"/>
      <c r="F90" s="4103"/>
      <c r="G90" s="4103"/>
      <c r="H90" s="4104"/>
      <c r="I90" s="2666"/>
      <c r="J90" s="2667"/>
      <c r="K90" s="2902"/>
      <c r="M90" s="2872"/>
      <c r="N90" s="2673"/>
      <c r="P90" s="2872"/>
      <c r="Q90" s="2869"/>
      <c r="R90" s="910"/>
    </row>
    <row r="91" spans="2:24" s="2" customFormat="1" ht="20.100000000000001" customHeight="1" x14ac:dyDescent="0.3">
      <c r="B91" s="4197"/>
      <c r="C91" s="4198"/>
      <c r="D91" s="2900"/>
      <c r="E91" s="4108"/>
      <c r="F91" s="4109"/>
      <c r="G91" s="4109"/>
      <c r="H91" s="4110"/>
      <c r="I91" s="2668"/>
      <c r="J91" s="2669"/>
      <c r="K91" s="2903"/>
      <c r="M91" s="2859"/>
      <c r="N91" s="2674"/>
      <c r="P91" s="2859"/>
      <c r="Q91" s="2857"/>
      <c r="R91" s="910"/>
    </row>
    <row r="92" spans="2:24" ht="3" customHeight="1" x14ac:dyDescent="0.3">
      <c r="I92" s="346"/>
      <c r="K92" s="212"/>
      <c r="L92" s="206"/>
      <c r="N92" s="206"/>
      <c r="O92" s="206"/>
      <c r="P92" s="14"/>
      <c r="Q92" s="207"/>
      <c r="R92" s="930"/>
      <c r="S92" s="17"/>
    </row>
    <row r="93" spans="2:24" s="17" customFormat="1" ht="20.100000000000001" customHeight="1" x14ac:dyDescent="0.3">
      <c r="B93" s="210"/>
      <c r="C93" s="210"/>
      <c r="D93" s="210"/>
      <c r="E93" s="210"/>
      <c r="F93" s="210"/>
      <c r="G93" s="211"/>
      <c r="H93" s="211"/>
      <c r="J93" s="3284" t="s">
        <v>433</v>
      </c>
      <c r="K93" s="3040">
        <f>SUM(K87:K91)</f>
        <v>0</v>
      </c>
      <c r="M93" s="3041">
        <f>SUM(M87:M91)</f>
        <v>0</v>
      </c>
      <c r="N93" s="3039"/>
      <c r="P93" s="3041">
        <f>SUM(P87:P91)</f>
        <v>0</v>
      </c>
      <c r="Q93" s="3042">
        <f>SUM(Q87:Q91)</f>
        <v>0</v>
      </c>
      <c r="R93" s="931"/>
      <c r="S93" s="2"/>
    </row>
    <row r="94" spans="2:24" ht="6" customHeight="1" x14ac:dyDescent="0.3">
      <c r="I94" s="346"/>
      <c r="K94" s="212"/>
      <c r="L94" s="206"/>
      <c r="N94" s="206"/>
      <c r="O94" s="206"/>
      <c r="P94" s="14"/>
      <c r="Q94" s="207"/>
      <c r="R94" s="930"/>
      <c r="S94" s="17"/>
    </row>
    <row r="95" spans="2:24" s="213" customFormat="1" ht="20.100000000000001" customHeight="1" x14ac:dyDescent="0.3">
      <c r="I95" s="4210" t="s">
        <v>247</v>
      </c>
      <c r="J95" s="4210"/>
      <c r="K95" s="3286">
        <f>IF(ISERROR(IF(K71=0," ",IF(K71&gt;=0,0,MIN(100%,K71*-1/K93))))," ",IF(K71=0," ",IF(K71&gt;=0,0,MIN(100%,K71*-1/K93))))</f>
        <v>0</v>
      </c>
      <c r="L95" s="3049"/>
      <c r="M95" s="3287">
        <f>IF(ISERROR(IF(M71=0," ",IF(M71&gt;=0,0,MIN(100%,M71*-1/M93))))," ",IF(M71=0," ",IF(M71&gt;=0,0,MIN(100%,M71*-1/M93))))</f>
        <v>0</v>
      </c>
      <c r="N95" s="3050"/>
      <c r="O95" s="3049"/>
      <c r="P95" s="3287">
        <f>IF(ISERROR(IF(P71=0," ",IF(P71&gt;=0,0,MIN(100%,P71*-1/P93))))," ",IF(P71=0," ",IF(P71&gt;=0,0,MIN(100%,P71*-1/P93))))</f>
        <v>0</v>
      </c>
      <c r="Q95" s="3286">
        <f>IF(ISERROR(IF(Q71=0," ",IF(Q71&gt;=0,0,MIN(100%,Q71*-1/Q93))))," ",IF(Q71=0," ",IF(Q71&gt;=0,0,MIN(100%,Q71*-1/Q93))))</f>
        <v>0</v>
      </c>
      <c r="R95" s="932"/>
      <c r="S95" s="11"/>
    </row>
    <row r="96" spans="2:24" ht="15" customHeight="1" x14ac:dyDescent="0.3">
      <c r="G96" s="851"/>
      <c r="H96" s="851"/>
      <c r="I96" s="48"/>
      <c r="J96" s="852"/>
      <c r="K96" s="853"/>
      <c r="L96" s="214"/>
      <c r="M96" s="206"/>
      <c r="N96" s="205"/>
      <c r="O96" s="206"/>
    </row>
    <row r="97" spans="2:20" s="3076" customFormat="1" ht="30" customHeight="1" x14ac:dyDescent="0.3">
      <c r="I97" s="3077"/>
      <c r="J97" s="4195" t="str">
        <f>IF(ISERROR(IF(K93&lt;(K71/-1),"total des besoins non couvert, il manque :",""))," ",IF(K93&lt;(K71/-1),"total des besoins non couvert, il manque :",""))</f>
        <v xml:space="preserve"> </v>
      </c>
      <c r="K97" s="4195"/>
      <c r="L97" s="3078"/>
      <c r="M97" s="4195" t="str">
        <f>IF(ISERROR(IF(M93&lt;(M71/-1),"total des besoins non couvert, il manque :",""))," ",IF(M93&lt;(M71/-1),"total des besoins non couvert, il manque :",""))</f>
        <v xml:space="preserve"> </v>
      </c>
      <c r="N97" s="4195"/>
      <c r="O97" s="3079"/>
      <c r="P97" s="3080" t="str">
        <f>IF(ISERROR(IF(P93&lt;(P71/-1),"ressource manquante",""))," ",IF(P93&lt;(P71/-1),"ressource manquante",""))</f>
        <v xml:space="preserve"> </v>
      </c>
      <c r="Q97" s="3080" t="str">
        <f>IF(ISERROR(IF(Q93&lt;(Q71/-1),"ressource manquante",""))," ",IF(Q93&lt;(Q71/-1),"ressource manquante",""))</f>
        <v xml:space="preserve"> </v>
      </c>
      <c r="R97" s="3081"/>
    </row>
    <row r="98" spans="2:20" s="3076" customFormat="1" ht="20.100000000000001" customHeight="1" x14ac:dyDescent="0.3">
      <c r="G98" s="3082"/>
      <c r="H98" s="3082"/>
      <c r="I98" s="3077"/>
      <c r="J98" s="4194" t="str">
        <f>IF(ISERROR(IF(K93&lt;(K71/-1),(K71/-1)-K93,""))," ",IF(K93&lt;(K71/-1),(K71/-1)-K93,""))</f>
        <v xml:space="preserve"> </v>
      </c>
      <c r="K98" s="4194"/>
      <c r="L98" s="3083"/>
      <c r="M98" s="4194" t="str">
        <f>IF(ISERROR(IF(M93&lt;(M71/-1),(M71/-1)-M93,""))," ",IF(M93&lt;(M71/-1),(M71/-1)-M93,""))</f>
        <v xml:space="preserve"> </v>
      </c>
      <c r="N98" s="4194"/>
      <c r="O98" s="3079"/>
      <c r="P98" s="3084" t="str">
        <f>IF(ISERROR(IF(P93&lt;(P71/-1),(P71/-1)-P93,""))," ",IF(P93&lt;(P71/-1),(P71/-1)-P93,""))</f>
        <v xml:space="preserve"> </v>
      </c>
      <c r="Q98" s="3084" t="str">
        <f>IF(ISERROR(IF(Q93&lt;(Q71/-1),(Q71/-1)-Q93,""))," ",IF(Q93&lt;(Q71/-1),(Q71/-1)-Q93,""))</f>
        <v xml:space="preserve"> </v>
      </c>
      <c r="R98" s="3085"/>
    </row>
    <row r="99" spans="2:20" s="3076" customFormat="1" ht="20.100000000000001" customHeight="1" x14ac:dyDescent="0.25">
      <c r="E99" s="3086"/>
      <c r="G99" s="3087"/>
      <c r="H99" s="3087"/>
      <c r="I99" s="3088"/>
      <c r="J99" s="3089"/>
      <c r="K99" s="3090"/>
      <c r="L99" s="3079"/>
      <c r="M99" s="3091"/>
      <c r="N99" s="3092"/>
      <c r="O99" s="3093"/>
      <c r="P99" s="3079"/>
      <c r="Q99" s="3091"/>
      <c r="R99" s="3091"/>
    </row>
    <row r="100" spans="2:20" s="3288" customFormat="1" ht="20.100000000000001" customHeight="1" x14ac:dyDescent="0.25">
      <c r="D100" s="3289" t="s">
        <v>888</v>
      </c>
      <c r="E100" s="149" t="s">
        <v>625</v>
      </c>
      <c r="G100" s="1275"/>
      <c r="H100" s="1275"/>
      <c r="I100" s="3290" t="s">
        <v>470</v>
      </c>
      <c r="J100" s="3291"/>
      <c r="K100" s="3291"/>
      <c r="L100" s="3292"/>
      <c r="M100" s="3293"/>
      <c r="N100" s="3294" t="str">
        <f>IF(M100=0," ",M100/M65)</f>
        <v xml:space="preserve"> </v>
      </c>
      <c r="O100" s="3295"/>
      <c r="P100" s="3292"/>
      <c r="Q100" s="3293"/>
      <c r="R100" s="3293"/>
    </row>
    <row r="101" spans="2:20" s="3288" customFormat="1" ht="20.100000000000001" customHeight="1" x14ac:dyDescent="0.25">
      <c r="D101" s="3289" t="s">
        <v>543</v>
      </c>
      <c r="E101" s="149" t="s">
        <v>626</v>
      </c>
      <c r="G101" s="1275"/>
      <c r="H101" s="1275"/>
      <c r="I101" s="3290" t="s">
        <v>245</v>
      </c>
      <c r="J101" s="3291"/>
      <c r="K101" s="3291"/>
      <c r="L101" s="3292"/>
      <c r="M101" s="3293">
        <f>M28+M29</f>
        <v>0</v>
      </c>
      <c r="N101" s="3294" t="str">
        <f>IF(M101=0," ",M101/M65)</f>
        <v xml:space="preserve"> </v>
      </c>
      <c r="O101" s="3295"/>
      <c r="P101" s="3293">
        <f>P29</f>
        <v>0</v>
      </c>
      <c r="Q101" s="3293">
        <f>Q29</f>
        <v>0</v>
      </c>
      <c r="R101" s="3293"/>
    </row>
    <row r="102" spans="2:20" s="3288" customFormat="1" ht="20.100000000000001" customHeight="1" x14ac:dyDescent="0.25">
      <c r="D102" s="3289" t="s">
        <v>544</v>
      </c>
      <c r="E102" s="149" t="s">
        <v>627</v>
      </c>
      <c r="G102" s="1275"/>
      <c r="H102" s="1275"/>
      <c r="I102" s="3290" t="s">
        <v>39</v>
      </c>
      <c r="J102" s="3291"/>
      <c r="K102" s="3291"/>
      <c r="L102" s="3292"/>
      <c r="M102" s="3293">
        <f>IF(caf_5&lt;0,0,caf_5)</f>
        <v>0</v>
      </c>
      <c r="N102" s="3294" t="str">
        <f>IF(M102=0," ",M102/M65)</f>
        <v xml:space="preserve"> </v>
      </c>
      <c r="O102" s="3295"/>
      <c r="P102" s="3293">
        <f>IF(caf_6&lt;0,0,caf_6)</f>
        <v>0</v>
      </c>
      <c r="Q102" s="3293">
        <f>IF(caf_7&lt;0,0,caf_7)</f>
        <v>0</v>
      </c>
      <c r="R102" s="3293"/>
    </row>
    <row r="103" spans="2:20" s="3288" customFormat="1" ht="20.100000000000001" customHeight="1" x14ac:dyDescent="0.25">
      <c r="D103" s="3289" t="s">
        <v>434</v>
      </c>
      <c r="E103" s="149" t="s">
        <v>622</v>
      </c>
      <c r="F103" s="1275"/>
      <c r="G103" s="1275"/>
      <c r="H103" s="1275"/>
      <c r="I103" s="3290" t="s">
        <v>566</v>
      </c>
      <c r="J103" s="3291"/>
      <c r="K103" s="3291"/>
      <c r="L103" s="3292"/>
      <c r="M103" s="3293">
        <f>apport_K_5</f>
        <v>0</v>
      </c>
      <c r="N103" s="3294" t="str">
        <f>IF(M103=0," ",M103/M65)</f>
        <v xml:space="preserve"> </v>
      </c>
      <c r="O103" s="3295"/>
      <c r="P103" s="3293">
        <f>apport_K_6</f>
        <v>0</v>
      </c>
      <c r="Q103" s="3293">
        <f>apport_K_7</f>
        <v>0</v>
      </c>
      <c r="R103" s="3293"/>
    </row>
    <row r="104" spans="2:20" s="3288" customFormat="1" ht="20.100000000000001" customHeight="1" x14ac:dyDescent="0.25">
      <c r="B104" s="3296" t="s">
        <v>310</v>
      </c>
      <c r="D104" s="3289" t="s">
        <v>432</v>
      </c>
      <c r="E104" s="149" t="s">
        <v>623</v>
      </c>
      <c r="F104" s="1275"/>
      <c r="G104" s="1275"/>
      <c r="H104" s="1275"/>
      <c r="I104" s="3290" t="s">
        <v>567</v>
      </c>
      <c r="J104" s="3291"/>
      <c r="K104" s="3291"/>
      <c r="L104" s="3292"/>
      <c r="M104" s="3293">
        <f ca="1">SUMIF($E$55:$G$61,"="&amp;$B$110,$M$55:$M$61)</f>
        <v>0</v>
      </c>
      <c r="N104" s="3294" t="str">
        <f ca="1">IF(M104=0," ",M104/M65)</f>
        <v xml:space="preserve"> </v>
      </c>
      <c r="O104" s="3295"/>
      <c r="P104" s="3293">
        <f ca="1">SUMIF($E$55:$G$61,"="&amp;$B$110,$P$55:$P$61)</f>
        <v>0</v>
      </c>
      <c r="Q104" s="3293">
        <f ca="1">SUMIF($E$55:$G$61,"="&amp;$B$110,$Q$55:$Q$61)</f>
        <v>0</v>
      </c>
      <c r="R104" s="3293"/>
    </row>
    <row r="105" spans="2:20" s="3288" customFormat="1" ht="20.100000000000001" customHeight="1" x14ac:dyDescent="0.25">
      <c r="B105" s="3296" t="s">
        <v>311</v>
      </c>
      <c r="D105" s="3289" t="s">
        <v>546</v>
      </c>
      <c r="E105" s="149" t="s">
        <v>621</v>
      </c>
      <c r="G105" s="1275"/>
      <c r="H105" s="1275"/>
      <c r="I105" s="3290" t="s">
        <v>568</v>
      </c>
      <c r="J105" s="3291"/>
      <c r="K105" s="3291"/>
      <c r="L105" s="3292"/>
      <c r="M105" s="3293">
        <f ca="1">SUMIF($E$55:$G$61,"="&amp;$B$105,$M$55:$M$61)</f>
        <v>0</v>
      </c>
      <c r="N105" s="3294" t="str">
        <f ca="1">IF(M105=0," ",M105/M65)</f>
        <v xml:space="preserve"> </v>
      </c>
      <c r="O105" s="3295"/>
      <c r="P105" s="3293">
        <f ca="1">SUMIF($E$55:$G$61,"="&amp;$B$105,$P$55:$P$61)</f>
        <v>0</v>
      </c>
      <c r="Q105" s="3293">
        <f ca="1">SUMIF($E$55:$G$61,"="&amp;$B$105,$Q$55:$Q$61)</f>
        <v>0</v>
      </c>
      <c r="R105" s="3293"/>
    </row>
    <row r="106" spans="2:20" s="3288" customFormat="1" ht="20.100000000000001" customHeight="1" x14ac:dyDescent="0.25">
      <c r="B106" s="3296" t="s">
        <v>312</v>
      </c>
      <c r="D106" s="3289" t="s">
        <v>630</v>
      </c>
      <c r="E106" s="149"/>
      <c r="G106" s="1275"/>
      <c r="H106" s="1275"/>
      <c r="I106" s="3290" t="s">
        <v>569</v>
      </c>
      <c r="J106" s="3291"/>
      <c r="K106" s="3291"/>
      <c r="L106" s="3292"/>
      <c r="M106" s="3293">
        <f ca="1">SUMIF($E$55:$G$61,"="&amp;$B$106,$M$55:$M$61)</f>
        <v>0</v>
      </c>
      <c r="N106" s="3294" t="str">
        <f ca="1">IF(M106=0," ",M106/M65)</f>
        <v xml:space="preserve"> </v>
      </c>
      <c r="O106" s="3295"/>
      <c r="P106" s="3293">
        <f ca="1">SUMIF($E$55:$G$61,"="&amp;$B$106,$P$55:$P$61)</f>
        <v>0</v>
      </c>
      <c r="Q106" s="3293">
        <f ca="1">SUMIF($E$55:$G$61,"="&amp;$B$106,$Q$55:$Q$61)</f>
        <v>0</v>
      </c>
      <c r="R106" s="3293"/>
    </row>
    <row r="107" spans="2:20" s="3288" customFormat="1" ht="20.100000000000001" customHeight="1" x14ac:dyDescent="0.25">
      <c r="B107" s="3297" t="s">
        <v>313</v>
      </c>
      <c r="D107" s="149" t="s">
        <v>545</v>
      </c>
      <c r="E107" s="149" t="s">
        <v>632</v>
      </c>
      <c r="G107" s="1275"/>
      <c r="H107" s="1275"/>
      <c r="I107" s="3290" t="s">
        <v>210</v>
      </c>
      <c r="J107" s="3291"/>
      <c r="K107" s="3291"/>
      <c r="L107" s="3292"/>
      <c r="M107" s="3293">
        <f ca="1">SUMIF($E$55:$G$61,"="&amp;$B$104,$M$55:$M$61)</f>
        <v>0</v>
      </c>
      <c r="N107" s="3294" t="str">
        <f ca="1">IF(M107=0," ",M107/M65)</f>
        <v xml:space="preserve"> </v>
      </c>
      <c r="O107" s="3295"/>
      <c r="P107" s="3293">
        <f ca="1">SUMIF($E$55:$G$61,"="&amp;$B$104,$P$55:$P$61)</f>
        <v>0</v>
      </c>
      <c r="Q107" s="3293">
        <f ca="1">SUMIF($E$55:$G$61,"="&amp;$B$104,$Q$55:$Q$61)</f>
        <v>0</v>
      </c>
      <c r="R107" s="3293"/>
    </row>
    <row r="108" spans="2:20" s="3288" customFormat="1" ht="20.100000000000001" customHeight="1" x14ac:dyDescent="0.25">
      <c r="B108" s="521" t="s">
        <v>309</v>
      </c>
      <c r="D108" s="3289" t="s">
        <v>435</v>
      </c>
      <c r="E108" s="149" t="s">
        <v>633</v>
      </c>
      <c r="G108" s="1275"/>
      <c r="H108" s="1275"/>
      <c r="I108" s="3290" t="s">
        <v>309</v>
      </c>
      <c r="J108" s="3291"/>
      <c r="K108" s="3291"/>
      <c r="L108" s="3292"/>
      <c r="M108" s="3293">
        <f ca="1">SUMIF($E$55:$G$61,"="&amp;$B$108,$M$55:$M$61)</f>
        <v>0</v>
      </c>
      <c r="N108" s="3294" t="str">
        <f ca="1">IF(M108=0," ",M108/M65)</f>
        <v xml:space="preserve"> </v>
      </c>
      <c r="O108" s="3295"/>
      <c r="P108" s="3293">
        <f ca="1">SUMIF($E$55:$G$61,"="&amp;$B$108,$P$55:$P$61)</f>
        <v>0</v>
      </c>
      <c r="Q108" s="3293">
        <f ca="1">SUMIF($E$55:$G$61,"="&amp;$B$108,$Q$55:$Q$61)</f>
        <v>0</v>
      </c>
      <c r="R108" s="3293"/>
    </row>
    <row r="109" spans="2:20" s="3288" customFormat="1" ht="20.100000000000001" customHeight="1" x14ac:dyDescent="0.25">
      <c r="B109" s="521" t="s">
        <v>314</v>
      </c>
      <c r="D109" s="149" t="s">
        <v>628</v>
      </c>
      <c r="E109" s="149" t="s">
        <v>634</v>
      </c>
      <c r="G109" s="1275"/>
      <c r="H109" s="1275"/>
      <c r="I109" s="3290" t="s">
        <v>315</v>
      </c>
      <c r="J109" s="3291"/>
      <c r="K109" s="3291"/>
      <c r="L109" s="3292"/>
      <c r="M109" s="3293">
        <f ca="1">SUMIF($E$55:$G$61,"="&amp;$B$111,$M$55:$M$61)</f>
        <v>0</v>
      </c>
      <c r="N109" s="3294" t="str">
        <f ca="1">IF(M109=0," ",M109/M65)</f>
        <v xml:space="preserve"> </v>
      </c>
      <c r="O109" s="3295"/>
      <c r="P109" s="3293">
        <f ca="1">SUMIF($E$55:$G$61,"="&amp;$B$111,$P$55:$P$61)</f>
        <v>0</v>
      </c>
      <c r="Q109" s="3293">
        <f ca="1">SUMIF($E$55:$G$61,"="&amp;$B$111,$Q$55:$Q$61)</f>
        <v>0</v>
      </c>
      <c r="R109" s="3293"/>
    </row>
    <row r="110" spans="2:20" s="3288" customFormat="1" ht="20.100000000000001" customHeight="1" x14ac:dyDescent="0.25">
      <c r="B110" s="3289" t="s">
        <v>404</v>
      </c>
      <c r="D110" s="149" t="s">
        <v>629</v>
      </c>
      <c r="E110" s="519"/>
      <c r="G110" s="1275"/>
      <c r="H110" s="1275"/>
      <c r="I110" s="3290" t="s">
        <v>316</v>
      </c>
      <c r="J110" s="3291"/>
      <c r="K110" s="3291"/>
      <c r="L110" s="3292"/>
      <c r="M110" s="3293">
        <f ca="1">SUMIF($E$55:$G$61,"="&amp;$B$109,$M$55:$M$61)</f>
        <v>0</v>
      </c>
      <c r="N110" s="3294" t="str">
        <f ca="1">IF(M110=0," ",M110/M65)</f>
        <v xml:space="preserve"> </v>
      </c>
      <c r="O110" s="3295"/>
      <c r="P110" s="3293">
        <f ca="1">SUMIF($E$55:$G$61,"="&amp;$B$109,$P$55:$P$61)</f>
        <v>0</v>
      </c>
      <c r="Q110" s="3293">
        <f ca="1">SUMIF($E$55:$G$61,"="&amp;$B$109,$Q$55:$Q$61)</f>
        <v>0</v>
      </c>
      <c r="R110" s="3293"/>
    </row>
    <row r="111" spans="2:20" s="3288" customFormat="1" ht="20.100000000000001" customHeight="1" x14ac:dyDescent="0.25">
      <c r="B111" s="521" t="s">
        <v>315</v>
      </c>
      <c r="E111" s="3298"/>
      <c r="I111" s="3290" t="s">
        <v>204</v>
      </c>
      <c r="J111" s="3291"/>
      <c r="K111" s="3291"/>
      <c r="L111" s="3292"/>
      <c r="M111" s="3293">
        <f ca="1">SUMIF($E$55:$G$61,"="&amp;$B$107,$M$55:$M$61)</f>
        <v>0</v>
      </c>
      <c r="N111" s="3294" t="str">
        <f ca="1">IF(M111=0," ",M111/M65)</f>
        <v xml:space="preserve"> </v>
      </c>
      <c r="O111" s="3295"/>
      <c r="P111" s="3293">
        <f ca="1">SUMIF($E$55:$G$61,"="&amp;$B$107,$P$55:$P$61)</f>
        <v>0</v>
      </c>
      <c r="Q111" s="3293">
        <f ca="1">SUMIF($E$55:$G$61,"="&amp;$B$107,$Q$55:$Q$61)</f>
        <v>0</v>
      </c>
      <c r="R111" s="3293"/>
      <c r="T111" s="3299"/>
    </row>
    <row r="112" spans="2:20" s="3288" customFormat="1" ht="20.100000000000001" customHeight="1" x14ac:dyDescent="0.25">
      <c r="E112" s="3298"/>
      <c r="I112" s="3290" t="s">
        <v>244</v>
      </c>
      <c r="J112" s="3291"/>
      <c r="K112" s="3291"/>
      <c r="L112" s="3292"/>
      <c r="M112" s="3293">
        <f>creditbail_5</f>
        <v>0</v>
      </c>
      <c r="N112" s="3294" t="str">
        <f>IF(M112=0," ",M112/M65)</f>
        <v xml:space="preserve"> </v>
      </c>
      <c r="O112" s="3295"/>
      <c r="P112" s="3293">
        <f>creditbail_6</f>
        <v>0</v>
      </c>
      <c r="Q112" s="3293">
        <f>creditbail_7</f>
        <v>0</v>
      </c>
      <c r="R112" s="3293"/>
    </row>
    <row r="113" spans="2:20" s="3288" customFormat="1" ht="20.100000000000001" customHeight="1" x14ac:dyDescent="0.25">
      <c r="B113" s="3296" t="s">
        <v>311</v>
      </c>
      <c r="E113" s="3298"/>
      <c r="I113" s="149" t="s">
        <v>165</v>
      </c>
      <c r="J113" s="1275"/>
      <c r="K113" s="1275"/>
      <c r="L113" s="3300"/>
      <c r="M113" s="3301">
        <f ca="1">IF(NE="oui",r_5+apport_K_5+prime1-dividende_5-quote_part_subv_5,dl_1+r_5+apport_K_5+prime1-dividende_5-quote_part_subv_5)</f>
        <v>0</v>
      </c>
      <c r="N113" s="3302"/>
      <c r="O113" s="3303"/>
      <c r="P113" s="3301">
        <f ca="1">M113+r_6+apport_K_6+prime2-dividende_6-quote_part_subv_6</f>
        <v>0</v>
      </c>
      <c r="Q113" s="3301">
        <f ca="1">P113+r_7+apport_K_7+prime3-dividende_7-quote_part_subv_7</f>
        <v>0</v>
      </c>
      <c r="R113" s="3304"/>
      <c r="T113" s="3299"/>
    </row>
    <row r="114" spans="2:20" s="3288" customFormat="1" ht="20.100000000000001" customHeight="1" x14ac:dyDescent="0.25">
      <c r="B114" s="3296" t="s">
        <v>312</v>
      </c>
      <c r="E114" s="3298"/>
      <c r="I114" s="3305" t="s">
        <v>778</v>
      </c>
      <c r="J114" s="3306"/>
      <c r="K114" s="3306"/>
      <c r="L114" s="3307"/>
      <c r="M114" s="3308">
        <f ca="1">dl_5+M105+M109</f>
        <v>0</v>
      </c>
      <c r="N114" s="3309"/>
      <c r="O114" s="3310"/>
      <c r="P114" s="3308">
        <f ca="1">dl_6+M105+M109+P105+P109</f>
        <v>0</v>
      </c>
      <c r="Q114" s="3308">
        <f ca="1">dl_7+M105+P105+Q105+M109+P109+Q109</f>
        <v>0</v>
      </c>
      <c r="R114" s="3311"/>
    </row>
    <row r="115" spans="2:20" s="3288" customFormat="1" ht="20.100000000000001" customHeight="1" x14ac:dyDescent="0.25">
      <c r="B115" s="521" t="s">
        <v>309</v>
      </c>
      <c r="E115" s="3298"/>
      <c r="I115" s="826" t="s">
        <v>856</v>
      </c>
      <c r="J115" s="1275"/>
      <c r="K115" s="1275"/>
      <c r="L115" s="3300"/>
      <c r="M115" s="1277">
        <f ca="1">ROUND(IF(NE="oui",M106+M107+M108+M110+M111-remb_5A-remb_5B,emp_1-Apurement_5-capitalisation_cc5-remb_5A-remb_5B+M106+M107+M108+M110+M111),0)</f>
        <v>0</v>
      </c>
      <c r="N115" s="3302"/>
      <c r="O115" s="3303"/>
      <c r="P115" s="3301">
        <f ca="1">ROUND(M115-Apurement_6-capitalisation_cc6-remb_6A-remb_6B+P106+P107+P108+P110+P111,0)</f>
        <v>0</v>
      </c>
      <c r="Q115" s="3301">
        <f ca="1">ROUND(P115-Apurement_7-capitalisation_cc7-remb_7A-remb_7B+Q106+Q107+Q108+Q110+Q111,0)</f>
        <v>0</v>
      </c>
      <c r="R115" s="3304"/>
    </row>
    <row r="116" spans="2:20" s="3288" customFormat="1" ht="20.100000000000001" customHeight="1" x14ac:dyDescent="0.25">
      <c r="B116" s="521" t="s">
        <v>314</v>
      </c>
      <c r="E116" s="3298"/>
      <c r="I116" s="3312" t="s">
        <v>179</v>
      </c>
      <c r="J116" s="3306"/>
      <c r="K116" s="3306"/>
      <c r="L116" s="3307"/>
      <c r="M116" s="3308">
        <f ca="1">SUM(M114:M115)</f>
        <v>0</v>
      </c>
      <c r="N116" s="3309"/>
      <c r="O116" s="3310"/>
      <c r="P116" s="3308">
        <f ca="1">SUM(P114:P115)</f>
        <v>0</v>
      </c>
      <c r="Q116" s="3308">
        <f ca="1">SUM(Q114:Q115)</f>
        <v>0</v>
      </c>
      <c r="R116" s="3311"/>
    </row>
    <row r="117" spans="2:20" s="3288" customFormat="1" ht="20.100000000000001" customHeight="1" x14ac:dyDescent="0.25">
      <c r="B117" s="521" t="s">
        <v>315</v>
      </c>
      <c r="E117" s="3298"/>
      <c r="I117" s="826" t="s">
        <v>781</v>
      </c>
      <c r="J117" s="1275"/>
      <c r="K117" s="1275"/>
      <c r="L117" s="3300"/>
      <c r="M117" s="3301">
        <f>ROUND(IF(NE="oui",creditbail_5-amort_créditbail_5, creditbail_1+creditbail_5-amort_créditbail_5),0)</f>
        <v>0</v>
      </c>
      <c r="N117" s="3302"/>
      <c r="O117" s="3303"/>
      <c r="P117" s="1277">
        <f>ROUND(M117+creditbail_6-amort_créditbail_6,0)</f>
        <v>0</v>
      </c>
      <c r="Q117" s="1277">
        <f>ROUND(P117+creditbail_7-amort_créditbail_7,0)</f>
        <v>0</v>
      </c>
      <c r="R117" s="3304"/>
    </row>
    <row r="118" spans="2:20" s="3288" customFormat="1" ht="20.100000000000001" customHeight="1" x14ac:dyDescent="0.25">
      <c r="E118" s="3298"/>
      <c r="I118" s="826" t="s">
        <v>779</v>
      </c>
      <c r="J118" s="1275"/>
      <c r="K118" s="1275"/>
      <c r="L118" s="3300"/>
      <c r="M118" s="3301">
        <f ca="1">ROUND(MAX(emp_5,M115+M117),0)</f>
        <v>0</v>
      </c>
      <c r="N118" s="1277"/>
      <c r="O118" s="3301"/>
      <c r="P118" s="3301">
        <f ca="1">ROUND(MAX(emp_6,P115+P117),0)</f>
        <v>0</v>
      </c>
      <c r="Q118" s="3301">
        <f ca="1">ROUND(MAX(emp_7,Q115+Q117),0)</f>
        <v>0</v>
      </c>
      <c r="R118" s="3304"/>
    </row>
    <row r="119" spans="2:20" s="3288" customFormat="1" ht="20.100000000000001" customHeight="1" x14ac:dyDescent="0.25">
      <c r="E119" s="3298"/>
      <c r="I119" s="826" t="s">
        <v>785</v>
      </c>
      <c r="J119" s="1275"/>
      <c r="K119" s="1275"/>
      <c r="L119" s="3300"/>
      <c r="M119" s="3301">
        <f>IF(tr_5&gt;0,0,tr_5/-1)</f>
        <v>0</v>
      </c>
      <c r="N119" s="1277"/>
      <c r="O119" s="3301"/>
      <c r="P119" s="3301">
        <f>IF(tr_5&gt;0,0,tr_6/-1)</f>
        <v>0</v>
      </c>
      <c r="Q119" s="3301">
        <f>IF(tr_5&gt;0,0,tr_7/-1)</f>
        <v>0</v>
      </c>
      <c r="R119" s="3304"/>
    </row>
    <row r="120" spans="2:20" s="3288" customFormat="1" ht="20.100000000000001" customHeight="1" x14ac:dyDescent="0.25">
      <c r="E120" s="3298"/>
      <c r="I120" s="826" t="s">
        <v>789</v>
      </c>
      <c r="J120" s="1275"/>
      <c r="K120" s="1275"/>
      <c r="L120" s="3300"/>
      <c r="M120" s="3313">
        <f>IF(ISERROR(dx_5+dy_5+autres_dettes_5),0,dx_5+dy_5+autres_dettes_5)</f>
        <v>0</v>
      </c>
      <c r="N120" s="1277"/>
      <c r="O120" s="3301"/>
      <c r="P120" s="1277">
        <f>IF(ISERROR(dx_6+dy_6+autres_dettes_6),0,dx_6+dy_6+autres_dettes_6)</f>
        <v>0</v>
      </c>
      <c r="Q120" s="1277">
        <f>IF(ISERROR(dx_7+dy_7+autres_dettes_7),0,dx_7+dy_7+autres_dettes_7)</f>
        <v>0</v>
      </c>
      <c r="R120" s="3304"/>
    </row>
    <row r="121" spans="2:20" s="3288" customFormat="1" ht="20.100000000000001" customHeight="1" x14ac:dyDescent="0.25">
      <c r="I121" s="149" t="s">
        <v>680</v>
      </c>
      <c r="J121" s="1275"/>
      <c r="K121" s="1275"/>
      <c r="L121" s="3300"/>
      <c r="M121" s="3313">
        <f ca="1">emp_elargi_5+dct_5+M119</f>
        <v>0</v>
      </c>
      <c r="N121" s="3314"/>
      <c r="O121" s="519"/>
      <c r="P121" s="1277">
        <f ca="1">emp_elargi_6+dct_6+P119</f>
        <v>0</v>
      </c>
      <c r="Q121" s="1277">
        <f ca="1">emp_elargi_7+dct_7+Q119</f>
        <v>0</v>
      </c>
      <c r="R121" s="3304"/>
    </row>
    <row r="122" spans="2:20" s="3288" customFormat="1" ht="20.100000000000001" customHeight="1" x14ac:dyDescent="0.25">
      <c r="G122" s="708"/>
      <c r="H122" s="708"/>
      <c r="I122" s="3290" t="s">
        <v>242</v>
      </c>
      <c r="J122" s="3291"/>
      <c r="K122" s="3315">
        <f>IF(ca_1=0,0,IF(K4="oui",0,bfr_1))</f>
        <v>0</v>
      </c>
      <c r="L122" s="3316"/>
      <c r="M122" s="3315">
        <f>IF(ca_5=0,0,bfr_5)</f>
        <v>0</v>
      </c>
      <c r="N122" s="3317" t="str">
        <f>IF(M122=0," ",100%)</f>
        <v xml:space="preserve"> </v>
      </c>
      <c r="O122" s="3318"/>
      <c r="P122" s="3315">
        <f>IF(ca_6=0,0,bfr_6)</f>
        <v>0</v>
      </c>
      <c r="Q122" s="3315">
        <f>IF(ca_7=0,0,bfr_7)</f>
        <v>0</v>
      </c>
      <c r="R122" s="3315"/>
    </row>
    <row r="123" spans="2:20" s="3288" customFormat="1" ht="20.100000000000001" customHeight="1" x14ac:dyDescent="0.25">
      <c r="G123" s="3319"/>
      <c r="H123" s="3319"/>
      <c r="I123" s="3320" t="s">
        <v>450</v>
      </c>
      <c r="J123" s="3291"/>
      <c r="K123" s="3293">
        <f>IF(ca_1=0,0,IF(K5="oui"," ",dfr_1))</f>
        <v>0</v>
      </c>
      <c r="L123" s="3316"/>
      <c r="M123" s="3293">
        <f>IF(ca_5=0,0,dfr_5)</f>
        <v>0</v>
      </c>
      <c r="N123" s="3321"/>
      <c r="O123" s="3318"/>
      <c r="P123" s="3293">
        <f>IF(ca_6=0,0,dfr_6)</f>
        <v>0</v>
      </c>
      <c r="Q123" s="3293">
        <f>IF(ca_7=0,0,dfr_7)</f>
        <v>0</v>
      </c>
      <c r="R123" s="3293"/>
    </row>
    <row r="124" spans="2:20" s="3288" customFormat="1" ht="20.100000000000001" customHeight="1" x14ac:dyDescent="0.25">
      <c r="G124" s="3297"/>
      <c r="H124" s="3297"/>
      <c r="I124" s="3322" t="s">
        <v>5</v>
      </c>
      <c r="J124" s="3323"/>
      <c r="K124" s="3324" t="str">
        <f>IF(ca_1=0," ", IF(K4="oui"," ",fr_1))</f>
        <v xml:space="preserve"> </v>
      </c>
      <c r="L124" s="3295"/>
      <c r="M124" s="3324">
        <f>IF(ISERROR(M122-M123+tr_5),0,M122-M123+tr_5)</f>
        <v>0</v>
      </c>
      <c r="N124" s="3325" t="str">
        <f>IF(ISERROR(M124/M122)," ",M124/M122)</f>
        <v xml:space="preserve"> </v>
      </c>
      <c r="O124" s="3326"/>
      <c r="P124" s="3324">
        <f>IF(ISERROR(P122-P123+tr_6),0,P122-P123+tr_6)</f>
        <v>0</v>
      </c>
      <c r="Q124" s="3324">
        <f>IF(ISERROR(Q122-Q123+tr_7),0,Q122-Q123+tr_7)</f>
        <v>0</v>
      </c>
      <c r="R124" s="3324"/>
    </row>
    <row r="125" spans="2:20" s="368" customFormat="1" ht="20.100000000000001" customHeight="1" x14ac:dyDescent="0.3">
      <c r="G125" s="3319"/>
      <c r="H125" s="3319"/>
      <c r="I125" s="3322" t="s">
        <v>508</v>
      </c>
      <c r="J125" s="3327"/>
      <c r="K125" s="3328"/>
      <c r="L125" s="3295"/>
      <c r="M125" s="3308">
        <f ca="1">cp_5+M120</f>
        <v>0</v>
      </c>
      <c r="N125" s="3325"/>
      <c r="O125" s="3322"/>
      <c r="P125" s="3308">
        <f ca="1">cp_6+P120</f>
        <v>0</v>
      </c>
      <c r="Q125" s="3308">
        <f ca="1">cp_7+Q120</f>
        <v>0</v>
      </c>
      <c r="R125" s="3311"/>
    </row>
    <row r="126" spans="2:20" s="368" customFormat="1" ht="20.100000000000001" customHeight="1" x14ac:dyDescent="0.3">
      <c r="G126" s="3319"/>
      <c r="H126" s="3319"/>
      <c r="I126" s="3322" t="s">
        <v>1024</v>
      </c>
      <c r="J126" s="3327"/>
      <c r="K126" s="3328"/>
      <c r="L126" s="3295"/>
      <c r="M126" s="3308">
        <f ca="1">total_bilan_5+M117+M119</f>
        <v>0</v>
      </c>
      <c r="N126" s="3325"/>
      <c r="O126" s="3322"/>
      <c r="P126" s="3308">
        <f ca="1">total_bilan_6+P117+P119</f>
        <v>0</v>
      </c>
      <c r="Q126" s="3308">
        <f ca="1">total_bilan_7+Q117+Q119</f>
        <v>0</v>
      </c>
      <c r="R126" s="3311"/>
      <c r="S126" s="368" t="e">
        <f ca="1">S114/bilanréévalué_7</f>
        <v>#DIV/0!</v>
      </c>
    </row>
    <row r="127" spans="2:20" s="368" customFormat="1" ht="20.100000000000001" customHeight="1" x14ac:dyDescent="0.3">
      <c r="G127" s="3319"/>
      <c r="H127" s="3319"/>
      <c r="I127" s="3320" t="s">
        <v>790</v>
      </c>
      <c r="J127" s="3291"/>
      <c r="K127" s="1275"/>
      <c r="L127" s="3316"/>
      <c r="M127" s="3329">
        <f>IF(ISERROR(IF(tr_5&gt;=0,tr_5+réalisable_5,réalisable_5)),0,IF(tr_5&gt;=0,tr_5+réalisable_5,réalisable_5))</f>
        <v>0</v>
      </c>
      <c r="N127" s="3321"/>
      <c r="O127" s="844"/>
      <c r="P127" s="3329">
        <f>IF(ISERROR(IF(tr_6&gt;=0,tr_6+réalisable_6,réalisable_6)),0,IF(tr_6&gt;=0,tr_6+réalisable_6,réalisable_6))</f>
        <v>0</v>
      </c>
      <c r="Q127" s="3329">
        <f>IF(ISERROR(IF(tr_7&gt;=0,tr_7+réalisable_7,réalisable_7)),0,IF(tr_7&gt;=0,tr_7+réalisable_7,réalisable_7))</f>
        <v>0</v>
      </c>
      <c r="R127" s="3330"/>
    </row>
    <row r="128" spans="2:20" s="368" customFormat="1" ht="20.100000000000001" customHeight="1" x14ac:dyDescent="0.3">
      <c r="G128" s="3319"/>
      <c r="H128" s="3319"/>
      <c r="I128" s="3320" t="s">
        <v>891</v>
      </c>
      <c r="J128" s="3291"/>
      <c r="K128" s="1275"/>
      <c r="L128" s="3316"/>
      <c r="M128" s="3301">
        <f>fr_5+M123-M122</f>
        <v>0</v>
      </c>
      <c r="N128" s="3321"/>
      <c r="O128" s="3320"/>
      <c r="P128" s="3301">
        <f>fr_6+P123-P122</f>
        <v>0</v>
      </c>
      <c r="Q128" s="3301">
        <f>fr_7+Q123-Q122</f>
        <v>0</v>
      </c>
      <c r="R128" s="3304"/>
    </row>
    <row r="129" spans="4:18" s="368" customFormat="1" ht="20.100000000000001" customHeight="1" x14ac:dyDescent="0.3">
      <c r="G129" s="3319"/>
      <c r="H129" s="3319"/>
      <c r="I129" s="3320" t="s">
        <v>855</v>
      </c>
      <c r="J129" s="3291"/>
      <c r="K129" s="1275"/>
      <c r="L129" s="3316"/>
      <c r="M129" s="3331" t="str">
        <f>IF(ISERROR(IF((M128-tr_5)=0,"ok",M128-tr_5))," ",IF((M128-tr_5)=0,"ok",M128-tr_5))</f>
        <v xml:space="preserve"> </v>
      </c>
      <c r="N129" s="3321"/>
      <c r="O129" s="3332"/>
      <c r="P129" s="3331" t="str">
        <f>IF(ISERROR(IF((P128-tr_6)=0,"ok",P128-tr_6))," ",IF((P128-tr_6)=0,"ok",P128-tr_6))</f>
        <v xml:space="preserve"> </v>
      </c>
      <c r="Q129" s="3331" t="str">
        <f>IF(ISERROR(IF((Q128-tr_7)=0,"ok",Q128-tr_7))," ",IF((Q128-tr_7)=0,"ok",Q128-tr_7))</f>
        <v xml:space="preserve"> </v>
      </c>
      <c r="R129" s="3333"/>
    </row>
    <row r="130" spans="4:18" s="3076" customFormat="1" ht="20.100000000000001" customHeight="1" x14ac:dyDescent="0.25">
      <c r="L130" s="3095"/>
      <c r="M130" s="3096"/>
      <c r="N130" s="3097"/>
      <c r="O130" s="3095"/>
      <c r="P130" s="3079"/>
      <c r="Q130" s="3079"/>
      <c r="R130" s="3079"/>
    </row>
    <row r="131" spans="4:18" s="3094" customFormat="1" ht="20.100000000000001" customHeight="1" x14ac:dyDescent="0.25">
      <c r="D131" s="3076"/>
      <c r="M131" s="3098"/>
      <c r="N131" s="3099"/>
      <c r="P131" s="3100"/>
      <c r="Q131" s="3100"/>
      <c r="R131" s="3100"/>
    </row>
    <row r="132" spans="4:18" s="3094" customFormat="1" ht="20.100000000000001" customHeight="1" x14ac:dyDescent="0.25">
      <c r="M132" s="3098"/>
      <c r="N132" s="3099"/>
      <c r="P132" s="3100"/>
      <c r="Q132" s="3100"/>
      <c r="R132" s="3100"/>
    </row>
    <row r="133" spans="4:18" s="3094" customFormat="1" ht="20.100000000000001" customHeight="1" x14ac:dyDescent="0.25">
      <c r="M133" s="3098"/>
      <c r="N133" s="3099"/>
      <c r="P133" s="3100"/>
      <c r="Q133" s="3100"/>
      <c r="R133" s="3100"/>
    </row>
    <row r="134" spans="4:18" s="3094" customFormat="1" ht="20.100000000000001" customHeight="1" x14ac:dyDescent="0.25">
      <c r="M134" s="3098"/>
      <c r="N134" s="3099"/>
      <c r="P134" s="3100"/>
      <c r="Q134" s="3100"/>
      <c r="R134" s="3100"/>
    </row>
    <row r="135" spans="4:18" s="3076" customFormat="1" ht="20.100000000000001" customHeight="1" x14ac:dyDescent="0.25">
      <c r="D135" s="3094"/>
      <c r="L135" s="3095"/>
      <c r="M135" s="3096"/>
      <c r="N135" s="3097"/>
      <c r="O135" s="3095"/>
      <c r="P135" s="3079"/>
      <c r="Q135" s="3079"/>
      <c r="R135" s="3079"/>
    </row>
  </sheetData>
  <sheetProtection algorithmName="SHA-512" hashValue="DKzbM+x+qJwH4Y7/XRdieWcFiZtav3nCURCcCKcWWyF2uY6j74YqsCQppbkMCzsAkfZ08RNRMUbov9i/XUAAFA==" saltValue="K0sIPo9RBBhLVd+qpXqmjA==" spinCount="100000" sheet="1" formatCells="0" formatColumns="0" formatRows="0" insertColumns="0" insertRows="0" insertHyperlinks="0" deleteColumns="0" deleteRows="0" sort="0" autoFilter="0" pivotTables="0"/>
  <mergeCells count="137">
    <mergeCell ref="S81:S83"/>
    <mergeCell ref="S44:W44"/>
    <mergeCell ref="S48:W48"/>
    <mergeCell ref="B55:D55"/>
    <mergeCell ref="B61:D61"/>
    <mergeCell ref="B16:K16"/>
    <mergeCell ref="B57:D57"/>
    <mergeCell ref="B58:D58"/>
    <mergeCell ref="B53:D54"/>
    <mergeCell ref="E59:G59"/>
    <mergeCell ref="E55:G55"/>
    <mergeCell ref="E60:G60"/>
    <mergeCell ref="I79:K79"/>
    <mergeCell ref="E56:G56"/>
    <mergeCell ref="E53:G54"/>
    <mergeCell ref="E57:G57"/>
    <mergeCell ref="E58:G58"/>
    <mergeCell ref="M33:N33"/>
    <mergeCell ref="B52:F52"/>
    <mergeCell ref="G52:K52"/>
    <mergeCell ref="D36:D39"/>
    <mergeCell ref="I46:K46"/>
    <mergeCell ref="B27:K27"/>
    <mergeCell ref="M23:N23"/>
    <mergeCell ref="B2:D2"/>
    <mergeCell ref="E2:Q2"/>
    <mergeCell ref="M4:N4"/>
    <mergeCell ref="B12:K12"/>
    <mergeCell ref="B15:K15"/>
    <mergeCell ref="P10:P11"/>
    <mergeCell ref="Q10:Q11"/>
    <mergeCell ref="E4:J4"/>
    <mergeCell ref="B3:Q3"/>
    <mergeCell ref="B4:D4"/>
    <mergeCell ref="B6:K6"/>
    <mergeCell ref="F49:G49"/>
    <mergeCell ref="F8:J8"/>
    <mergeCell ref="F9:J9"/>
    <mergeCell ref="B8:E9"/>
    <mergeCell ref="F10:K10"/>
    <mergeCell ref="F11:K11"/>
    <mergeCell ref="M98:N98"/>
    <mergeCell ref="M97:N97"/>
    <mergeCell ref="J98:K98"/>
    <mergeCell ref="J97:K97"/>
    <mergeCell ref="M73:N73"/>
    <mergeCell ref="B91:C91"/>
    <mergeCell ref="B88:C88"/>
    <mergeCell ref="B89:C89"/>
    <mergeCell ref="E75:Q75"/>
    <mergeCell ref="E77:G77"/>
    <mergeCell ref="M77:N77"/>
    <mergeCell ref="B90:C90"/>
    <mergeCell ref="E78:G78"/>
    <mergeCell ref="I95:J95"/>
    <mergeCell ref="E79:G79"/>
    <mergeCell ref="B87:C87"/>
    <mergeCell ref="E83:Q83"/>
    <mergeCell ref="B85:G85"/>
    <mergeCell ref="I78:K78"/>
    <mergeCell ref="B86:C86"/>
    <mergeCell ref="I85:K85"/>
    <mergeCell ref="I81:K81"/>
    <mergeCell ref="I77:K77"/>
    <mergeCell ref="J73:K73"/>
    <mergeCell ref="E86:H86"/>
    <mergeCell ref="B59:D59"/>
    <mergeCell ref="B60:D60"/>
    <mergeCell ref="E81:G81"/>
    <mergeCell ref="M36:N37"/>
    <mergeCell ref="P38:P39"/>
    <mergeCell ref="Q38:Q39"/>
    <mergeCell ref="P36:P37"/>
    <mergeCell ref="Q36:Q37"/>
    <mergeCell ref="P52:Q52"/>
    <mergeCell ref="K38:K39"/>
    <mergeCell ref="M49:N49"/>
    <mergeCell ref="M52:N52"/>
    <mergeCell ref="H42:I42"/>
    <mergeCell ref="H43:I43"/>
    <mergeCell ref="I63:K63"/>
    <mergeCell ref="I65:K65"/>
    <mergeCell ref="M69:N69"/>
    <mergeCell ref="I50:P50"/>
    <mergeCell ref="P61:Q61"/>
    <mergeCell ref="E61:G61"/>
    <mergeCell ref="M38:M39"/>
    <mergeCell ref="N38:N39"/>
    <mergeCell ref="M53:N53"/>
    <mergeCell ref="E89:H89"/>
    <mergeCell ref="E88:H88"/>
    <mergeCell ref="E87:H87"/>
    <mergeCell ref="E91:H91"/>
    <mergeCell ref="E90:H90"/>
    <mergeCell ref="I67:K67"/>
    <mergeCell ref="P44:Q44"/>
    <mergeCell ref="I21:K21"/>
    <mergeCell ref="I32:K32"/>
    <mergeCell ref="H53:J53"/>
    <mergeCell ref="H54:I54"/>
    <mergeCell ref="I71:J71"/>
    <mergeCell ref="H61:I61"/>
    <mergeCell ref="H60:I60"/>
    <mergeCell ref="H59:I59"/>
    <mergeCell ref="H58:I58"/>
    <mergeCell ref="H57:I57"/>
    <mergeCell ref="H56:I56"/>
    <mergeCell ref="H55:I55"/>
    <mergeCell ref="H44:K44"/>
    <mergeCell ref="H36:K37"/>
    <mergeCell ref="H38:I39"/>
    <mergeCell ref="H40:I40"/>
    <mergeCell ref="H41:I41"/>
    <mergeCell ref="E38:E39"/>
    <mergeCell ref="B48:D49"/>
    <mergeCell ref="E46:F46"/>
    <mergeCell ref="G38:G39"/>
    <mergeCell ref="C36:C39"/>
    <mergeCell ref="B36:B39"/>
    <mergeCell ref="E36:G37"/>
    <mergeCell ref="J38:J39"/>
    <mergeCell ref="B10:E11"/>
    <mergeCell ref="F13:K13"/>
    <mergeCell ref="F14:K14"/>
    <mergeCell ref="B17:E18"/>
    <mergeCell ref="F17:K17"/>
    <mergeCell ref="F18:K18"/>
    <mergeCell ref="F28:K28"/>
    <mergeCell ref="F29:K29"/>
    <mergeCell ref="B19:K19"/>
    <mergeCell ref="B35:F35"/>
    <mergeCell ref="B30:K30"/>
    <mergeCell ref="F38:F39"/>
    <mergeCell ref="I48:K48"/>
    <mergeCell ref="B25:K25"/>
    <mergeCell ref="B13:E14"/>
    <mergeCell ref="B28:E29"/>
  </mergeCells>
  <phoneticPr fontId="0" type="noConversion"/>
  <conditionalFormatting sqref="Q49:R49">
    <cfRule type="expression" dxfId="1228" priority="460" stopIfTrue="1">
      <formula>$Q$48&lt;0</formula>
    </cfRule>
    <cfRule type="expression" dxfId="1227" priority="461" stopIfTrue="1">
      <formula>$Q$48&gt;0</formula>
    </cfRule>
  </conditionalFormatting>
  <conditionalFormatting sqref="Q33:R33">
    <cfRule type="expression" dxfId="1226" priority="472" stopIfTrue="1">
      <formula>$Q$32&lt;0</formula>
    </cfRule>
    <cfRule type="expression" dxfId="1225" priority="473" stopIfTrue="1">
      <formula>$Q$32&gt;0</formula>
    </cfRule>
  </conditionalFormatting>
  <conditionalFormatting sqref="K55:K56 K59:K61">
    <cfRule type="cellIs" dxfId="1224" priority="407" stopIfTrue="1" operator="equal">
      <formula>"en cours"</formula>
    </cfRule>
  </conditionalFormatting>
  <conditionalFormatting sqref="M40:N43">
    <cfRule type="cellIs" dxfId="1223" priority="364" stopIfTrue="1" operator="equal">
      <formula>0</formula>
    </cfRule>
  </conditionalFormatting>
  <conditionalFormatting sqref="L46 L51">
    <cfRule type="cellIs" dxfId="1222" priority="366" stopIfTrue="1" operator="greaterThan">
      <formula>0.35</formula>
    </cfRule>
  </conditionalFormatting>
  <conditionalFormatting sqref="P49">
    <cfRule type="expression" dxfId="1221" priority="458" stopIfTrue="1">
      <formula>$P$48&lt;0</formula>
    </cfRule>
    <cfRule type="expression" dxfId="1220" priority="459" stopIfTrue="1">
      <formula>$P$48&gt;0</formula>
    </cfRule>
  </conditionalFormatting>
  <conditionalFormatting sqref="M49:N49">
    <cfRule type="expression" dxfId="1219" priority="479" stopIfTrue="1">
      <formula>$M$48&lt;0</formula>
    </cfRule>
    <cfRule type="expression" dxfId="1218" priority="480" stopIfTrue="1">
      <formula>$M$48&gt;0</formula>
    </cfRule>
  </conditionalFormatting>
  <conditionalFormatting sqref="M33:N33">
    <cfRule type="expression" dxfId="1217" priority="468" stopIfTrue="1">
      <formula>$M$32&lt;0</formula>
    </cfRule>
    <cfRule type="expression" dxfId="1216" priority="469" stopIfTrue="1">
      <formula>$M$32&gt;0</formula>
    </cfRule>
  </conditionalFormatting>
  <conditionalFormatting sqref="P33">
    <cfRule type="expression" dxfId="1215" priority="470" stopIfTrue="1">
      <formula>$P$32&lt;0</formula>
    </cfRule>
    <cfRule type="expression" dxfId="1214" priority="471" stopIfTrue="1">
      <formula>$P$32&gt;0</formula>
    </cfRule>
  </conditionalFormatting>
  <conditionalFormatting sqref="M15 M11 P15:R15 P17:R19 M17:M19">
    <cfRule type="cellIs" dxfId="1213" priority="610" stopIfTrue="1" operator="greaterThan">
      <formula>0</formula>
    </cfRule>
  </conditionalFormatting>
  <conditionalFormatting sqref="B48">
    <cfRule type="cellIs" dxfId="1212" priority="338" stopIfTrue="1" operator="equal">
      <formula>" "</formula>
    </cfRule>
  </conditionalFormatting>
  <conditionalFormatting sqref="N122">
    <cfRule type="expression" dxfId="1211" priority="324" stopIfTrue="1">
      <formula>$M$122=" "</formula>
    </cfRule>
  </conditionalFormatting>
  <conditionalFormatting sqref="G41:H43 K40:K43 M13 G40">
    <cfRule type="cellIs" dxfId="1210" priority="311" stopIfTrue="1" operator="equal">
      <formula>0</formula>
    </cfRule>
  </conditionalFormatting>
  <conditionalFormatting sqref="G44 M44:N44">
    <cfRule type="cellIs" dxfId="1209" priority="303" stopIfTrue="1" operator="equal">
      <formula>0</formula>
    </cfRule>
  </conditionalFormatting>
  <conditionalFormatting sqref="P67:R67 P48:R48 P32:R32 R69">
    <cfRule type="cellIs" dxfId="1208" priority="292" stopIfTrue="1" operator="lessThan">
      <formula>0</formula>
    </cfRule>
  </conditionalFormatting>
  <conditionalFormatting sqref="P28">
    <cfRule type="cellIs" dxfId="1207" priority="279" stopIfTrue="1" operator="equal">
      <formula>"occasion"</formula>
    </cfRule>
  </conditionalFormatting>
  <conditionalFormatting sqref="M100:M112 P101:P112 Q100:R112">
    <cfRule type="cellIs" dxfId="1206" priority="265" stopIfTrue="1" operator="equal">
      <formula>0</formula>
    </cfRule>
  </conditionalFormatting>
  <conditionalFormatting sqref="H44">
    <cfRule type="expression" dxfId="1205" priority="235" stopIfTrue="1">
      <formula>$F$44&gt;0</formula>
    </cfRule>
  </conditionalFormatting>
  <conditionalFormatting sqref="E49">
    <cfRule type="cellIs" dxfId="1204" priority="226" operator="notEqual">
      <formula>0</formula>
    </cfRule>
  </conditionalFormatting>
  <conditionalFormatting sqref="E48">
    <cfRule type="expression" dxfId="1203" priority="225">
      <formula>$E$49&lt;&gt;0</formula>
    </cfRule>
  </conditionalFormatting>
  <conditionalFormatting sqref="B44:C44">
    <cfRule type="cellIs" dxfId="1202" priority="213" operator="equal">
      <formula>0</formula>
    </cfRule>
  </conditionalFormatting>
  <conditionalFormatting sqref="J97">
    <cfRule type="expression" dxfId="1201" priority="2755" stopIfTrue="1">
      <formula>$K$93&lt;(K71/-1)</formula>
    </cfRule>
  </conditionalFormatting>
  <conditionalFormatting sqref="M71">
    <cfRule type="cellIs" dxfId="1200" priority="209" stopIfTrue="1" operator="lessThan">
      <formula>0</formula>
    </cfRule>
  </conditionalFormatting>
  <conditionalFormatting sqref="N71">
    <cfRule type="expression" dxfId="1199" priority="207">
      <formula>M71&lt;0</formula>
    </cfRule>
    <cfRule type="cellIs" dxfId="1198" priority="208" operator="equal">
      <formula>0</formula>
    </cfRule>
  </conditionalFormatting>
  <conditionalFormatting sqref="K71">
    <cfRule type="cellIs" dxfId="1197" priority="204" stopIfTrue="1" operator="lessThan">
      <formula>0</formula>
    </cfRule>
  </conditionalFormatting>
  <conditionalFormatting sqref="Q28:R28">
    <cfRule type="cellIs" dxfId="1196" priority="187" stopIfTrue="1" operator="equal">
      <formula>"occasion"</formula>
    </cfRule>
  </conditionalFormatting>
  <conditionalFormatting sqref="R44">
    <cfRule type="cellIs" dxfId="1195" priority="175" stopIfTrue="1" operator="equal">
      <formula>0</formula>
    </cfRule>
  </conditionalFormatting>
  <conditionalFormatting sqref="P71">
    <cfRule type="cellIs" dxfId="1194" priority="162" stopIfTrue="1" operator="lessThan">
      <formula>0</formula>
    </cfRule>
  </conditionalFormatting>
  <conditionalFormatting sqref="Q71:R71">
    <cfRule type="cellIs" dxfId="1193" priority="159" stopIfTrue="1" operator="lessThan">
      <formula>0</formula>
    </cfRule>
  </conditionalFormatting>
  <conditionalFormatting sqref="M11">
    <cfRule type="cellIs" priority="154" operator="equal">
      <formula>0</formula>
    </cfRule>
    <cfRule type="cellIs" dxfId="1192" priority="156" operator="lessThan">
      <formula>0</formula>
    </cfRule>
  </conditionalFormatting>
  <conditionalFormatting sqref="M16 P16:R16">
    <cfRule type="cellIs" dxfId="1191" priority="153" stopIfTrue="1" operator="greaterThan">
      <formula>0</formula>
    </cfRule>
  </conditionalFormatting>
  <conditionalFormatting sqref="N34">
    <cfRule type="cellIs" dxfId="1190" priority="146" stopIfTrue="1" operator="equal">
      <formula>"J"</formula>
    </cfRule>
    <cfRule type="cellIs" dxfId="1189" priority="147" stopIfTrue="1" operator="equal">
      <formula>"L"</formula>
    </cfRule>
    <cfRule type="cellIs" dxfId="1188" priority="148" stopIfTrue="1" operator="equal">
      <formula>"K"</formula>
    </cfRule>
  </conditionalFormatting>
  <conditionalFormatting sqref="P8:R9 M12 M8:M10 P12:R12">
    <cfRule type="cellIs" dxfId="1187" priority="131" operator="equal">
      <formula>0</formula>
    </cfRule>
  </conditionalFormatting>
  <conditionalFormatting sqref="M28:M29 P29:R29">
    <cfRule type="cellIs" dxfId="1186" priority="130" operator="equal">
      <formula>0</formula>
    </cfRule>
  </conditionalFormatting>
  <conditionalFormatting sqref="M60 P60:R60">
    <cfRule type="cellIs" dxfId="1185" priority="129" operator="equal">
      <formula>0</formula>
    </cfRule>
  </conditionalFormatting>
  <conditionalFormatting sqref="M63 P63:R63">
    <cfRule type="cellIs" dxfId="1184" priority="128" operator="equal">
      <formula>0</formula>
    </cfRule>
  </conditionalFormatting>
  <conditionalFormatting sqref="M46 P46:R46">
    <cfRule type="cellIs" dxfId="1183" priority="127" operator="equal">
      <formula>0</formula>
    </cfRule>
  </conditionalFormatting>
  <conditionalFormatting sqref="Q73:R73">
    <cfRule type="cellIs" dxfId="1182" priority="116" stopIfTrue="1" operator="lessThan">
      <formula>0</formula>
    </cfRule>
  </conditionalFormatting>
  <conditionalFormatting sqref="M73">
    <cfRule type="cellIs" dxfId="1181" priority="118" stopIfTrue="1" operator="lessThan">
      <formula>0</formula>
    </cfRule>
  </conditionalFormatting>
  <conditionalFormatting sqref="P73">
    <cfRule type="cellIs" dxfId="1180" priority="117" stopIfTrue="1" operator="lessThan">
      <formula>0</formula>
    </cfRule>
  </conditionalFormatting>
  <conditionalFormatting sqref="M14">
    <cfRule type="expression" dxfId="1179" priority="100">
      <formula>$K$4="oui"</formula>
    </cfRule>
    <cfRule type="cellIs" dxfId="1178" priority="115" operator="equal">
      <formula>0</formula>
    </cfRule>
  </conditionalFormatting>
  <conditionalFormatting sqref="P14">
    <cfRule type="cellIs" dxfId="1177" priority="114" operator="equal">
      <formula>0</formula>
    </cfRule>
  </conditionalFormatting>
  <conditionalFormatting sqref="Q14:R14">
    <cfRule type="cellIs" dxfId="1176" priority="113" operator="equal">
      <formula>0</formula>
    </cfRule>
  </conditionalFormatting>
  <conditionalFormatting sqref="N67">
    <cfRule type="expression" dxfId="1175" priority="111">
      <formula>M67&lt;0</formula>
    </cfRule>
  </conditionalFormatting>
  <conditionalFormatting sqref="J98:K98">
    <cfRule type="expression" dxfId="1174" priority="3161" stopIfTrue="1">
      <formula>$K$93&lt;($K$71/-1)</formula>
    </cfRule>
  </conditionalFormatting>
  <conditionalFormatting sqref="P34">
    <cfRule type="cellIs" dxfId="1173" priority="108" stopIfTrue="1" operator="equal">
      <formula>"J"</formula>
    </cfRule>
    <cfRule type="cellIs" dxfId="1172" priority="109" stopIfTrue="1" operator="equal">
      <formula>"L"</formula>
    </cfRule>
    <cfRule type="cellIs" dxfId="1171" priority="110" stopIfTrue="1" operator="equal">
      <formula>"K"</formula>
    </cfRule>
  </conditionalFormatting>
  <conditionalFormatting sqref="Q34:R34">
    <cfRule type="cellIs" dxfId="1170" priority="105" stopIfTrue="1" operator="equal">
      <formula>"J"</formula>
    </cfRule>
    <cfRule type="cellIs" dxfId="1169" priority="106" stopIfTrue="1" operator="equal">
      <formula>"L"</formula>
    </cfRule>
    <cfRule type="cellIs" dxfId="1168" priority="107" stopIfTrue="1" operator="equal">
      <formula>"K"</formula>
    </cfRule>
  </conditionalFormatting>
  <conditionalFormatting sqref="S44 S48 X48">
    <cfRule type="expression" dxfId="1167" priority="3172">
      <formula>$F$48&gt;40%</formula>
    </cfRule>
  </conditionalFormatting>
  <conditionalFormatting sqref="X44">
    <cfRule type="expression" dxfId="1166" priority="3174">
      <formula>$F$48&gt;40%</formula>
    </cfRule>
  </conditionalFormatting>
  <conditionalFormatting sqref="J73">
    <cfRule type="cellIs" dxfId="1165" priority="103" stopIfTrue="1" operator="lessThan">
      <formula>0</formula>
    </cfRule>
  </conditionalFormatting>
  <conditionalFormatting sqref="M13">
    <cfRule type="expression" dxfId="1164" priority="102">
      <formula>$K$4="non"</formula>
    </cfRule>
  </conditionalFormatting>
  <conditionalFormatting sqref="N13">
    <cfRule type="expression" dxfId="1163" priority="101">
      <formula>$K$4="non"</formula>
    </cfRule>
  </conditionalFormatting>
  <conditionalFormatting sqref="N14">
    <cfRule type="expression" dxfId="1162" priority="99">
      <formula>$K$4="oui"</formula>
    </cfRule>
  </conditionalFormatting>
  <conditionalFormatting sqref="M28">
    <cfRule type="expression" dxfId="1161" priority="97">
      <formula>$K$4="non"</formula>
    </cfRule>
  </conditionalFormatting>
  <conditionalFormatting sqref="N28">
    <cfRule type="expression" dxfId="1160" priority="96">
      <formula>$K$4="non"</formula>
    </cfRule>
  </conditionalFormatting>
  <conditionalFormatting sqref="M29">
    <cfRule type="expression" dxfId="1159" priority="95">
      <formula>$K$4="oui"</formula>
    </cfRule>
  </conditionalFormatting>
  <conditionalFormatting sqref="N29">
    <cfRule type="expression" dxfId="1158" priority="94">
      <formula>$K$4="oui"</formula>
    </cfRule>
  </conditionalFormatting>
  <conditionalFormatting sqref="Q74:R74 I77 J82 P82:R82 P84:R84 J84">
    <cfRule type="cellIs" dxfId="1157" priority="91" stopIfTrue="1" operator="lessThan">
      <formula>0</formula>
    </cfRule>
  </conditionalFormatting>
  <conditionalFormatting sqref="M74">
    <cfRule type="cellIs" dxfId="1156" priority="93" stopIfTrue="1" operator="lessThan">
      <formula>0</formula>
    </cfRule>
  </conditionalFormatting>
  <conditionalFormatting sqref="P74">
    <cfRule type="cellIs" dxfId="1155" priority="92" stopIfTrue="1" operator="lessThan">
      <formula>0</formula>
    </cfRule>
  </conditionalFormatting>
  <conditionalFormatting sqref="J74">
    <cfRule type="cellIs" dxfId="1154" priority="90" stopIfTrue="1" operator="lessThan">
      <formula>0</formula>
    </cfRule>
  </conditionalFormatting>
  <conditionalFormatting sqref="M99 Q99:R99">
    <cfRule type="cellIs" dxfId="1153" priority="86" stopIfTrue="1" operator="equal">
      <formula>0</formula>
    </cfRule>
  </conditionalFormatting>
  <conditionalFormatting sqref="N78">
    <cfRule type="cellIs" dxfId="1152" priority="74" stopIfTrue="1" operator="equal">
      <formula>"J"</formula>
    </cfRule>
    <cfRule type="cellIs" dxfId="1151" priority="75" stopIfTrue="1" operator="equal">
      <formula>"L"</formula>
    </cfRule>
    <cfRule type="cellIs" dxfId="1150" priority="76" stopIfTrue="1" operator="equal">
      <formula>"K"</formula>
    </cfRule>
  </conditionalFormatting>
  <conditionalFormatting sqref="N79">
    <cfRule type="cellIs" dxfId="1149" priority="71" stopIfTrue="1" operator="equal">
      <formula>"J"</formula>
    </cfRule>
    <cfRule type="cellIs" dxfId="1148" priority="72" stopIfTrue="1" operator="equal">
      <formula>"L"</formula>
    </cfRule>
    <cfRule type="cellIs" dxfId="1147" priority="73" stopIfTrue="1" operator="equal">
      <formula>"K"</formula>
    </cfRule>
  </conditionalFormatting>
  <conditionalFormatting sqref="N81">
    <cfRule type="cellIs" dxfId="1146" priority="65" stopIfTrue="1" operator="equal">
      <formula>"J"</formula>
    </cfRule>
    <cfRule type="cellIs" dxfId="1145" priority="66" stopIfTrue="1" operator="equal">
      <formula>"L"</formula>
    </cfRule>
    <cfRule type="cellIs" dxfId="1144" priority="67" stopIfTrue="1" operator="equal">
      <formula>"K"</formula>
    </cfRule>
  </conditionalFormatting>
  <conditionalFormatting sqref="S46">
    <cfRule type="expression" dxfId="1143" priority="62">
      <formula>$R$46&gt;$B$46</formula>
    </cfRule>
  </conditionalFormatting>
  <conditionalFormatting sqref="N44">
    <cfRule type="cellIs" dxfId="1142" priority="61" operator="greaterThan">
      <formula>0.4</formula>
    </cfRule>
  </conditionalFormatting>
  <conditionalFormatting sqref="K57">
    <cfRule type="cellIs" dxfId="1141" priority="60" stopIfTrue="1" operator="equal">
      <formula>"en cours"</formula>
    </cfRule>
  </conditionalFormatting>
  <conditionalFormatting sqref="K58">
    <cfRule type="cellIs" dxfId="1140" priority="59" stopIfTrue="1" operator="equal">
      <formula>"en cours"</formula>
    </cfRule>
  </conditionalFormatting>
  <conditionalFormatting sqref="M78">
    <cfRule type="cellIs" dxfId="1139" priority="3204" operator="lessThan">
      <formula>$I$78</formula>
    </cfRule>
  </conditionalFormatting>
  <conditionalFormatting sqref="M79">
    <cfRule type="cellIs" dxfId="1138" priority="3205" operator="greaterThan">
      <formula>$I$79</formula>
    </cfRule>
  </conditionalFormatting>
  <conditionalFormatting sqref="M81">
    <cfRule type="cellIs" dxfId="1137" priority="3207" operator="greaterThan">
      <formula>$I$81</formula>
    </cfRule>
  </conditionalFormatting>
  <conditionalFormatting sqref="M84">
    <cfRule type="cellIs" dxfId="1136" priority="3208" operator="greaterThan">
      <formula>$I$81</formula>
    </cfRule>
  </conditionalFormatting>
  <conditionalFormatting sqref="S78">
    <cfRule type="expression" dxfId="1135" priority="50">
      <formula>$R$78=1</formula>
    </cfRule>
  </conditionalFormatting>
  <conditionalFormatting sqref="M82">
    <cfRule type="cellIs" dxfId="1134" priority="49" operator="greaterThan">
      <formula>$I$81</formula>
    </cfRule>
  </conditionalFormatting>
  <conditionalFormatting sqref="S81:S83">
    <cfRule type="expression" dxfId="1133" priority="46">
      <formula>D81&gt;I81</formula>
    </cfRule>
  </conditionalFormatting>
  <conditionalFormatting sqref="S79">
    <cfRule type="expression" dxfId="1132" priority="45">
      <formula>D79&gt;I79</formula>
    </cfRule>
  </conditionalFormatting>
  <conditionalFormatting sqref="E83:Q83">
    <cfRule type="expression" dxfId="1131" priority="43">
      <formula>$T$82=3</formula>
    </cfRule>
    <cfRule type="expression" dxfId="1130" priority="44">
      <formula>$T$82=2</formula>
    </cfRule>
  </conditionalFormatting>
  <conditionalFormatting sqref="I50:P50">
    <cfRule type="expression" dxfId="1129" priority="36">
      <formula>$G$50&lt;&gt;0</formula>
    </cfRule>
  </conditionalFormatting>
  <conditionalFormatting sqref="G50:H50">
    <cfRule type="cellIs" dxfId="1128" priority="34" operator="equal">
      <formula>0</formula>
    </cfRule>
    <cfRule type="cellIs" dxfId="1127" priority="35" operator="notEqual">
      <formula>0</formula>
    </cfRule>
  </conditionalFormatting>
  <conditionalFormatting sqref="P79">
    <cfRule type="cellIs" dxfId="1126" priority="30" operator="greaterThan">
      <formula>$I$79</formula>
    </cfRule>
  </conditionalFormatting>
  <conditionalFormatting sqref="Q79">
    <cfRule type="cellIs" dxfId="1125" priority="28" operator="greaterThan">
      <formula>$I$79</formula>
    </cfRule>
  </conditionalFormatting>
  <conditionalFormatting sqref="P81">
    <cfRule type="cellIs" dxfId="1124" priority="26" operator="greaterThan">
      <formula>$I$81</formula>
    </cfRule>
  </conditionalFormatting>
  <conditionalFormatting sqref="Q81">
    <cfRule type="cellIs" dxfId="1123" priority="24" operator="greaterThan">
      <formula>$I$81</formula>
    </cfRule>
  </conditionalFormatting>
  <conditionalFormatting sqref="P97:R97">
    <cfRule type="expression" dxfId="1122" priority="3306" stopIfTrue="1">
      <formula>P93&lt;(P71/-1)</formula>
    </cfRule>
  </conditionalFormatting>
  <conditionalFormatting sqref="P98:R98">
    <cfRule type="expression" dxfId="1121" priority="3307" stopIfTrue="1">
      <formula>P93&lt;(P71/-1)</formula>
    </cfRule>
  </conditionalFormatting>
  <conditionalFormatting sqref="M97">
    <cfRule type="expression" dxfId="1120" priority="3308" stopIfTrue="1">
      <formula>M93&lt;(M71/-1)</formula>
    </cfRule>
  </conditionalFormatting>
  <conditionalFormatting sqref="M98:N98">
    <cfRule type="expression" dxfId="1119" priority="3309" stopIfTrue="1">
      <formula>M93&lt;(M71/-1)</formula>
    </cfRule>
  </conditionalFormatting>
  <conditionalFormatting sqref="P69">
    <cfRule type="expression" dxfId="1118" priority="18" stopIfTrue="1">
      <formula>P67&lt;0</formula>
    </cfRule>
    <cfRule type="expression" dxfId="1117" priority="19" stopIfTrue="1">
      <formula>P67&gt;0</formula>
    </cfRule>
  </conditionalFormatting>
  <conditionalFormatting sqref="Q69">
    <cfRule type="expression" dxfId="1116" priority="16" stopIfTrue="1">
      <formula>Q67&lt;0</formula>
    </cfRule>
    <cfRule type="expression" dxfId="1115" priority="17" stopIfTrue="1">
      <formula>Q67&gt;0</formula>
    </cfRule>
  </conditionalFormatting>
  <conditionalFormatting sqref="M69:N69">
    <cfRule type="expression" dxfId="1114" priority="13">
      <formula>M21=0</formula>
    </cfRule>
    <cfRule type="expression" dxfId="1113" priority="14" stopIfTrue="1">
      <formula>M67&lt;=0</formula>
    </cfRule>
    <cfRule type="expression" dxfId="1112" priority="15" stopIfTrue="1">
      <formula>M67&gt;0</formula>
    </cfRule>
  </conditionalFormatting>
  <conditionalFormatting sqref="M67">
    <cfRule type="cellIs" dxfId="1111" priority="12" operator="lessThan">
      <formula>0</formula>
    </cfRule>
  </conditionalFormatting>
  <conditionalFormatting sqref="N48">
    <cfRule type="expression" dxfId="1110" priority="9">
      <formula>M48&lt;0</formula>
    </cfRule>
  </conditionalFormatting>
  <conditionalFormatting sqref="M48">
    <cfRule type="cellIs" dxfId="1109" priority="8" operator="lessThan">
      <formula>0</formula>
    </cfRule>
  </conditionalFormatting>
  <conditionalFormatting sqref="N32">
    <cfRule type="expression" dxfId="1108" priority="6">
      <formula>M32&lt;0</formula>
    </cfRule>
  </conditionalFormatting>
  <conditionalFormatting sqref="M32">
    <cfRule type="cellIs" dxfId="1107" priority="5" operator="lessThan">
      <formula>0</formula>
    </cfRule>
  </conditionalFormatting>
  <conditionalFormatting sqref="M44">
    <cfRule type="expression" dxfId="1106" priority="4">
      <formula>$N$44&gt;0.4</formula>
    </cfRule>
  </conditionalFormatting>
  <conditionalFormatting sqref="B46">
    <cfRule type="cellIs" dxfId="1105" priority="3" operator="equal">
      <formula>0</formula>
    </cfRule>
  </conditionalFormatting>
  <conditionalFormatting sqref="C46">
    <cfRule type="cellIs" dxfId="1104" priority="2" operator="equal">
      <formula>0</formula>
    </cfRule>
  </conditionalFormatting>
  <conditionalFormatting sqref="G46">
    <cfRule type="cellIs" dxfId="1103" priority="1" operator="equal">
      <formula>0</formula>
    </cfRule>
  </conditionalFormatting>
  <dataValidations xWindow="438" yWindow="654" count="16">
    <dataValidation allowBlank="1" showInputMessage="1" showErrorMessage="1" sqref="J61 H61 J56:J58" xr:uid="{00000000-0002-0000-0600-000000000000}"/>
    <dataValidation allowBlank="1" showInputMessage="1" showErrorMessage="1" prompt="Ne retenir que les sommes rééllement versées." sqref="P43:R43" xr:uid="{00000000-0002-0000-0600-000001000000}"/>
    <dataValidation allowBlank="1" showInputMessage="1" showErrorMessage="1" promptTitle="Attention !" prompt="L'apport d'Herrikoa est limité à 40% du_x000a_montant total du capital." sqref="E44" xr:uid="{00000000-0002-0000-0600-000002000000}"/>
    <dataValidation allowBlank="1" showInputMessage="1" showErrorMessage="1" prompt="Joindre la méthode de valorisation de la prime d'émission" sqref="J40:J43 F40:F44" xr:uid="{00000000-0002-0000-0600-000003000000}"/>
    <dataValidation allowBlank="1" showInputMessage="1" showErrorMessage="1" prompt="Signe - _x000a_avant le montant" sqref="C40:C44" xr:uid="{00000000-0002-0000-0600-000004000000}"/>
    <dataValidation allowBlank="1" showInputMessage="1" showErrorMessage="1" prompt="Ne pas renseigner si création d'une nouvelle société" sqref="B40:B44" xr:uid="{00000000-0002-0000-0600-000005000000}"/>
    <dataValidation type="list" allowBlank="1" showInputMessage="1" showErrorMessage="1" sqref="K55:K61" xr:uid="{00000000-0002-0000-0600-000006000000}">
      <formula1>"oui, en cours"</formula1>
    </dataValidation>
    <dataValidation type="list" allowBlank="1" showInputMessage="1" showErrorMessage="1" sqref="E55:G59 H56:H59" xr:uid="{00000000-0002-0000-0600-000007000000}">
      <formula1>$B$104:$B$111</formula1>
    </dataValidation>
    <dataValidation allowBlank="1" showInputMessage="1" showErrorMessage="1" prompt="Montant à renseigner" sqref="M15:M19 P15:R19 M11" xr:uid="{00000000-0002-0000-0600-000008000000}"/>
    <dataValidation allowBlank="1" showInputMessage="1" showErrorMessage="1" prompt="A renseigner éventuellement" sqref="M27 P27:R27" xr:uid="{00000000-0002-0000-0600-000009000000}"/>
    <dataValidation type="list" allowBlank="1" showInputMessage="1" showErrorMessage="1" sqref="E61:G61" xr:uid="{00000000-0002-0000-0600-00000A000000}">
      <formula1>$B$113:$B$117</formula1>
    </dataValidation>
    <dataValidation type="list" allowBlank="1" showInputMessage="1" showErrorMessage="1" sqref="I87:I91" xr:uid="{00000000-0002-0000-0600-00000B000000}">
      <formula1>$E$100:$E$105</formula1>
    </dataValidation>
    <dataValidation type="list" allowBlank="1" showInputMessage="1" showErrorMessage="1" sqref="E87:E91" xr:uid="{00000000-0002-0000-0600-00000C000000}">
      <formula1>$E$107:$E$109</formula1>
    </dataValidation>
    <dataValidation type="list" allowBlank="1" showInputMessage="1" showErrorMessage="1" sqref="D87:D91" xr:uid="{00000000-0002-0000-0600-00000D000000}">
      <formula1>$D$100:$D$110</formula1>
    </dataValidation>
    <dataValidation allowBlank="1" showInputMessage="1" showErrorMessage="1" prompt="Joindre le rapport du commissaire aux apports" sqref="H40" xr:uid="{00000000-0002-0000-0600-00000E000000}"/>
    <dataValidation allowBlank="1" showInputMessage="1" showErrorMessage="1" prompt="Information figurant dans l'onglet &quot;Rachat ou reprise&quot;" sqref="K4" xr:uid="{27191F7D-C88C-4C53-B3B9-5CD5C80A0523}"/>
  </dataValidations>
  <hyperlinks>
    <hyperlink ref="K9" location="Investissements!I5" display="voir détail" xr:uid="{00000000-0004-0000-0600-000000000000}"/>
    <hyperlink ref="K8" location="Investissements!J5" display="voir détail" xr:uid="{00000000-0004-0000-0600-000001000000}"/>
    <hyperlink ref="B7:M7" location="Comprendre!A346" display="pour en savoir plus sur le plan de financement à 3 ans" xr:uid="{00000000-0004-0000-0600-000002000000}"/>
    <hyperlink ref="S99" location="Comprendre!A206" display="pour en savoir plus" xr:uid="{00000000-0004-0000-0600-000003000000}"/>
    <hyperlink ref="F7:P7" location="Comprendre!A346" display="pour en savoir plus sur le plan de financement à 3 ans" xr:uid="{00000000-0004-0000-0600-000004000000}"/>
    <hyperlink ref="M7:Q7" location="Comprendre!A346" display="pour en savoir plus sur le plan de financement à 3 ans" xr:uid="{00000000-0004-0000-0600-000005000000}"/>
    <hyperlink ref="L7" location="Comprendre!A346" display="pour en savoir plus sur le plan de financement à 3 ans" xr:uid="{00000000-0004-0000-0600-000006000000}"/>
    <hyperlink ref="P52" location="'Simulation emprunt'!A1" display="Simulation emprunt" xr:uid="{00000000-0004-0000-0600-000007000000}"/>
    <hyperlink ref="P52:Q52" location="'Tableaux d''emprunts'!B1" display="tableaux d'emprunts" xr:uid="{00000000-0004-0000-0600-000008000000}"/>
    <hyperlink ref="F49:G49" location="'Analyse bilan'!F8" display="'Analyse bilan'!F8" xr:uid="{8252EEE8-7C72-4458-A312-60B8951766B4}"/>
  </hyperlinks>
  <printOptions horizontalCentered="1"/>
  <pageMargins left="0" right="0" top="0" bottom="0" header="0" footer="0"/>
  <pageSetup paperSize="9" scale="5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3" id="{2F428FCA-E334-43C9-8766-42044B4E2DF5}">
            <xm:f>'Cpte de résultat prévisionnel'!$H$15=0</xm:f>
            <x14:dxf>
              <font>
                <color theme="0"/>
              </font>
              <fill>
                <patternFill patternType="none">
                  <bgColor auto="1"/>
                </patternFill>
              </fill>
            </x14:dxf>
          </x14:cfRule>
          <xm:sqref>M78</xm:sqref>
        </x14:conditionalFormatting>
        <x14:conditionalFormatting xmlns:xm="http://schemas.microsoft.com/office/excel/2006/main">
          <x14:cfRule type="expression" priority="32" id="{A24A9B4B-0EF0-45F6-AE52-616C06D5213B}">
            <xm:f>'Cpte de résultat prévisionnel'!$H$15=0</xm:f>
            <x14:dxf>
              <font>
                <color theme="0"/>
              </font>
            </x14:dxf>
          </x14:cfRule>
          <xm:sqref>M79</xm:sqref>
        </x14:conditionalFormatting>
        <x14:conditionalFormatting xmlns:xm="http://schemas.microsoft.com/office/excel/2006/main">
          <x14:cfRule type="expression" priority="31" id="{A7ABD514-C64D-47EC-9398-176574532AB8}">
            <xm:f>'Cpte de résultat prévisionnel'!$H$15=0</xm:f>
            <x14:dxf>
              <font>
                <color theme="0"/>
              </font>
            </x14:dxf>
          </x14:cfRule>
          <xm:sqref>M81</xm:sqref>
        </x14:conditionalFormatting>
        <x14:conditionalFormatting xmlns:xm="http://schemas.microsoft.com/office/excel/2006/main">
          <x14:cfRule type="expression" priority="29" id="{9C20CA79-DD40-4B04-96DD-67CC5A417669}">
            <xm:f>'Cpte de résultat prévisionnel'!$K$15=0</xm:f>
            <x14:dxf>
              <font>
                <color theme="0"/>
              </font>
            </x14:dxf>
          </x14:cfRule>
          <xm:sqref>P79</xm:sqref>
        </x14:conditionalFormatting>
        <x14:conditionalFormatting xmlns:xm="http://schemas.microsoft.com/office/excel/2006/main">
          <x14:cfRule type="expression" priority="27" id="{2DF7A36E-3901-42C2-B12F-4CDAD4866A32}">
            <xm:f>'Cpte de résultat prévisionnel'!$N$15=0</xm:f>
            <x14:dxf>
              <font>
                <color theme="0"/>
              </font>
            </x14:dxf>
          </x14:cfRule>
          <xm:sqref>Q79</xm:sqref>
        </x14:conditionalFormatting>
        <x14:conditionalFormatting xmlns:xm="http://schemas.microsoft.com/office/excel/2006/main">
          <x14:cfRule type="expression" priority="25" id="{6147BFB4-C984-43EE-8C78-CA9235C932C6}">
            <xm:f>'Cpte de résultat prévisionnel'!$K$15=0</xm:f>
            <x14:dxf>
              <font>
                <color theme="0"/>
              </font>
            </x14:dxf>
          </x14:cfRule>
          <xm:sqref>P81</xm:sqref>
        </x14:conditionalFormatting>
        <x14:conditionalFormatting xmlns:xm="http://schemas.microsoft.com/office/excel/2006/main">
          <x14:cfRule type="expression" priority="23" id="{E6EACFB3-A33F-4B38-9ACB-46098C50560E}">
            <xm:f>'Cpte de résultat prévisionnel'!$N$15=0</xm:f>
            <x14:dxf>
              <font>
                <color theme="0"/>
              </font>
            </x14:dxf>
          </x14:cfRule>
          <xm:sqref>Q81</xm:sqref>
        </x14:conditionalFormatting>
        <x14:conditionalFormatting xmlns:xm="http://schemas.microsoft.com/office/excel/2006/main">
          <x14:cfRule type="expression" priority="20" id="{4ABC786B-DE28-4E45-AA26-71419EBEC80A}">
            <xm:f>Accueil!$C$5="transmission d'entreprise"</xm:f>
            <x14: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K4</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B1:Z27"/>
  <sheetViews>
    <sheetView showGridLines="0" showRowColHeaders="0" topLeftCell="A5" workbookViewId="0">
      <pane ySplit="7" topLeftCell="A12" activePane="bottomLeft" state="frozenSplit"/>
      <selection activeCell="G7" sqref="G7:G8"/>
      <selection pane="bottomLeft" activeCell="F6" sqref="F6:Z6"/>
    </sheetView>
  </sheetViews>
  <sheetFormatPr baseColWidth="10" defaultColWidth="10.77734375" defaultRowHeight="13.8" x14ac:dyDescent="0.3"/>
  <cols>
    <col min="1" max="1" width="1.77734375" style="860" customWidth="1"/>
    <col min="2" max="2" width="32.77734375" style="860" customWidth="1"/>
    <col min="3" max="3" width="1" style="860" customWidth="1"/>
    <col min="4" max="4" width="12.77734375" style="861" customWidth="1"/>
    <col min="5" max="5" width="8.77734375" style="860" customWidth="1"/>
    <col min="6" max="6" width="0.6640625" style="860" customWidth="1"/>
    <col min="7" max="7" width="8.77734375" style="862" customWidth="1"/>
    <col min="8" max="8" width="12.77734375" style="863" customWidth="1"/>
    <col min="9" max="9" width="0.6640625" style="860" customWidth="1"/>
    <col min="10" max="10" width="10.77734375" style="861" customWidth="1"/>
    <col min="11" max="11" width="1" style="860" customWidth="1"/>
    <col min="12" max="12" width="12.77734375" style="861" customWidth="1"/>
    <col min="13" max="13" width="8.77734375" style="860" customWidth="1"/>
    <col min="14" max="14" width="0.6640625" style="860" customWidth="1"/>
    <col min="15" max="15" width="8.77734375" style="862" customWidth="1"/>
    <col min="16" max="16" width="12.77734375" style="863" customWidth="1"/>
    <col min="17" max="17" width="0.6640625" style="860" customWidth="1"/>
    <col min="18" max="18" width="10.77734375" style="860" customWidth="1"/>
    <col min="19" max="19" width="1" style="860" customWidth="1"/>
    <col min="20" max="20" width="12.77734375" style="861" customWidth="1"/>
    <col min="21" max="21" width="8.77734375" style="860" customWidth="1"/>
    <col min="22" max="22" width="0.6640625" style="860" customWidth="1"/>
    <col min="23" max="23" width="8.77734375" style="862" customWidth="1"/>
    <col min="24" max="24" width="12.77734375" style="863" customWidth="1"/>
    <col min="25" max="25" width="0.6640625" style="860" customWidth="1"/>
    <col min="26" max="26" width="10.77734375" style="861" customWidth="1"/>
    <col min="27" max="16384" width="10.77734375" style="860"/>
  </cols>
  <sheetData>
    <row r="1" spans="2:26" hidden="1" x14ac:dyDescent="0.3"/>
    <row r="2" spans="2:26" s="507" customFormat="1" ht="14.4" hidden="1" x14ac:dyDescent="0.3">
      <c r="B2" s="4327" t="s">
        <v>875</v>
      </c>
      <c r="C2" s="4327"/>
      <c r="D2" s="4327"/>
      <c r="E2" s="4327"/>
      <c r="F2" s="4327"/>
      <c r="G2" s="4327"/>
      <c r="H2" s="4327"/>
      <c r="I2" s="4327"/>
      <c r="J2" s="4327"/>
      <c r="K2" s="4327"/>
      <c r="L2" s="4327"/>
      <c r="M2" s="4327"/>
      <c r="N2" s="4327"/>
      <c r="O2" s="4327"/>
      <c r="P2" s="4327"/>
      <c r="Q2" s="4327"/>
      <c r="R2" s="4327"/>
      <c r="S2" s="4327"/>
      <c r="T2" s="4327"/>
      <c r="U2" s="4327"/>
      <c r="V2" s="864"/>
      <c r="W2" s="864"/>
      <c r="X2" s="865"/>
      <c r="Y2" s="864"/>
      <c r="Z2" s="865"/>
    </row>
    <row r="3" spans="2:26" s="507" customFormat="1" ht="14.4" hidden="1" x14ac:dyDescent="0.3">
      <c r="B3" s="4328" t="s">
        <v>876</v>
      </c>
      <c r="C3" s="4328"/>
      <c r="D3" s="4328"/>
      <c r="E3" s="4328"/>
      <c r="F3" s="4328"/>
      <c r="G3" s="4328"/>
      <c r="H3" s="4328"/>
      <c r="I3" s="4328"/>
      <c r="J3" s="4328"/>
      <c r="K3" s="4328"/>
      <c r="L3" s="4328"/>
      <c r="M3" s="4328"/>
      <c r="N3" s="4328"/>
      <c r="O3" s="4328"/>
      <c r="P3" s="4328"/>
      <c r="Q3" s="4328"/>
      <c r="R3" s="4328"/>
      <c r="S3" s="4328"/>
      <c r="T3" s="4328"/>
      <c r="U3" s="4328"/>
      <c r="V3" s="866"/>
      <c r="W3" s="866"/>
      <c r="X3" s="867"/>
      <c r="Y3" s="866"/>
      <c r="Z3" s="867"/>
    </row>
    <row r="4" spans="2:26" s="507" customFormat="1" ht="14.4" hidden="1" x14ac:dyDescent="0.3">
      <c r="B4" s="868"/>
      <c r="C4" s="869"/>
      <c r="D4" s="870"/>
      <c r="E4" s="871"/>
      <c r="F4" s="871"/>
      <c r="G4" s="872"/>
      <c r="H4" s="873"/>
      <c r="I4" s="871"/>
      <c r="J4" s="870"/>
      <c r="K4" s="871"/>
      <c r="L4" s="870"/>
      <c r="M4" s="871"/>
      <c r="N4" s="871"/>
      <c r="O4" s="872"/>
      <c r="P4" s="873"/>
      <c r="Q4" s="871"/>
      <c r="R4" s="871"/>
      <c r="S4" s="871"/>
      <c r="T4" s="870"/>
      <c r="U4" s="874"/>
      <c r="V4" s="871"/>
      <c r="W4" s="872"/>
      <c r="X4" s="873"/>
      <c r="Y4" s="871"/>
      <c r="Z4" s="870"/>
    </row>
    <row r="5" spans="2:26" s="507" customFormat="1" ht="6" customHeight="1" x14ac:dyDescent="0.3">
      <c r="B5" s="868"/>
      <c r="C5" s="869"/>
      <c r="D5" s="870"/>
      <c r="E5" s="871"/>
      <c r="F5" s="871"/>
      <c r="G5" s="872"/>
      <c r="H5" s="873"/>
      <c r="I5" s="871"/>
      <c r="J5" s="870"/>
      <c r="K5" s="871"/>
      <c r="L5" s="870"/>
      <c r="M5" s="871"/>
      <c r="N5" s="871"/>
      <c r="O5" s="872"/>
      <c r="P5" s="873"/>
      <c r="Q5" s="871"/>
      <c r="R5" s="871"/>
      <c r="S5" s="871"/>
      <c r="T5" s="870"/>
      <c r="U5" s="874"/>
      <c r="V5" s="871"/>
      <c r="W5" s="872"/>
      <c r="X5" s="873"/>
      <c r="Y5" s="871"/>
      <c r="Z5" s="870"/>
    </row>
    <row r="6" spans="2:26" s="507" customFormat="1" ht="21.9" customHeight="1" x14ac:dyDescent="0.3">
      <c r="B6" s="4329" t="str">
        <f>IF(ISBLANK(nom)," ",nom)</f>
        <v xml:space="preserve"> </v>
      </c>
      <c r="C6" s="4330"/>
      <c r="D6" s="4330"/>
      <c r="E6" s="4331"/>
      <c r="F6" s="4332" t="s">
        <v>1014</v>
      </c>
      <c r="G6" s="4332"/>
      <c r="H6" s="4332"/>
      <c r="I6" s="4332"/>
      <c r="J6" s="4332"/>
      <c r="K6" s="4332"/>
      <c r="L6" s="4332"/>
      <c r="M6" s="4332"/>
      <c r="N6" s="4332"/>
      <c r="O6" s="4332"/>
      <c r="P6" s="4332"/>
      <c r="Q6" s="4332"/>
      <c r="R6" s="4332"/>
      <c r="S6" s="4332"/>
      <c r="T6" s="4332"/>
      <c r="U6" s="4332"/>
      <c r="V6" s="4332"/>
      <c r="W6" s="4332"/>
      <c r="X6" s="4332"/>
      <c r="Y6" s="4332"/>
      <c r="Z6" s="4333"/>
    </row>
    <row r="7" spans="2:26" s="507" customFormat="1" ht="14.4" x14ac:dyDescent="0.3">
      <c r="B7" s="868"/>
      <c r="C7" s="869"/>
      <c r="D7" s="870"/>
      <c r="E7" s="871"/>
      <c r="F7" s="871"/>
      <c r="G7" s="872"/>
      <c r="H7" s="873"/>
      <c r="I7" s="871"/>
      <c r="J7" s="870"/>
      <c r="K7" s="871"/>
      <c r="L7" s="870"/>
      <c r="M7" s="871"/>
      <c r="N7" s="871"/>
      <c r="O7" s="872"/>
      <c r="P7" s="873"/>
      <c r="Q7" s="871"/>
      <c r="R7" s="871"/>
      <c r="S7" s="871"/>
      <c r="T7" s="870"/>
      <c r="U7" s="874"/>
      <c r="V7" s="871"/>
      <c r="W7" s="872"/>
      <c r="X7" s="873"/>
      <c r="Y7" s="871"/>
      <c r="Z7" s="870"/>
    </row>
    <row r="8" spans="2:26" s="507" customFormat="1" ht="21.9" customHeight="1" x14ac:dyDescent="0.3">
      <c r="B8" s="1714" t="s">
        <v>877</v>
      </c>
      <c r="C8" s="869"/>
      <c r="D8" s="4334" t="s">
        <v>1010</v>
      </c>
      <c r="E8" s="4335"/>
      <c r="F8" s="4335"/>
      <c r="G8" s="4335"/>
      <c r="H8" s="4335"/>
      <c r="I8" s="4335"/>
      <c r="J8" s="4336"/>
      <c r="K8" s="875"/>
      <c r="L8" s="4334" t="s">
        <v>1011</v>
      </c>
      <c r="M8" s="4335"/>
      <c r="N8" s="4335"/>
      <c r="O8" s="4335"/>
      <c r="P8" s="4335"/>
      <c r="Q8" s="4335"/>
      <c r="R8" s="4336"/>
      <c r="S8" s="875"/>
      <c r="T8" s="4334" t="s">
        <v>1012</v>
      </c>
      <c r="U8" s="4335"/>
      <c r="V8" s="4335"/>
      <c r="W8" s="4335"/>
      <c r="X8" s="4335"/>
      <c r="Y8" s="4335"/>
      <c r="Z8" s="4336"/>
    </row>
    <row r="9" spans="2:26" s="876" customFormat="1" ht="6" customHeight="1" x14ac:dyDescent="0.25">
      <c r="D9" s="886"/>
      <c r="E9" s="886"/>
      <c r="F9" s="877"/>
      <c r="G9" s="887"/>
      <c r="H9" s="887"/>
      <c r="J9" s="878"/>
      <c r="L9" s="886"/>
      <c r="M9" s="886"/>
      <c r="N9" s="877"/>
      <c r="O9" s="887"/>
      <c r="P9" s="887"/>
      <c r="R9" s="878"/>
      <c r="T9" s="886"/>
      <c r="U9" s="886"/>
      <c r="V9" s="877"/>
      <c r="W9" s="887"/>
      <c r="X9" s="887"/>
      <c r="Z9" s="878"/>
    </row>
    <row r="10" spans="2:26" s="876" customFormat="1" ht="20.100000000000001" customHeight="1" x14ac:dyDescent="0.25">
      <c r="B10" s="4325" t="s">
        <v>928</v>
      </c>
      <c r="C10" s="4325"/>
      <c r="D10" s="964" t="s">
        <v>929</v>
      </c>
      <c r="E10" s="1713" t="str">
        <f>IF(ca_5=0," ",(ca_5/ca_1)-1)</f>
        <v xml:space="preserve"> </v>
      </c>
      <c r="F10" s="877"/>
      <c r="G10" s="1031"/>
      <c r="H10" s="955" t="s">
        <v>930</v>
      </c>
      <c r="J10" s="963" t="s">
        <v>931</v>
      </c>
      <c r="L10" s="964" t="s">
        <v>929</v>
      </c>
      <c r="M10" s="1713" t="str">
        <f>IF(ca_6=0," ",(ca_6/ca_5)-1)</f>
        <v xml:space="preserve"> </v>
      </c>
      <c r="N10" s="877"/>
      <c r="O10" s="1031"/>
      <c r="P10" s="955" t="s">
        <v>930</v>
      </c>
      <c r="R10" s="963" t="s">
        <v>931</v>
      </c>
      <c r="T10" s="964" t="s">
        <v>929</v>
      </c>
      <c r="U10" s="1713" t="str">
        <f>IF(ca_7=0," ",(ca_7/ca_6)-1)</f>
        <v xml:space="preserve"> </v>
      </c>
      <c r="V10" s="877"/>
      <c r="W10" s="1031"/>
      <c r="X10" s="955" t="s">
        <v>930</v>
      </c>
      <c r="Z10" s="963" t="s">
        <v>931</v>
      </c>
    </row>
    <row r="11" spans="2:26" s="876" customFormat="1" ht="3" customHeight="1" x14ac:dyDescent="0.25">
      <c r="D11" s="886"/>
      <c r="E11" s="886"/>
      <c r="F11" s="877"/>
      <c r="G11" s="887"/>
      <c r="H11" s="887"/>
      <c r="J11" s="878"/>
      <c r="L11" s="886"/>
      <c r="M11" s="886"/>
      <c r="N11" s="877"/>
      <c r="O11" s="887"/>
      <c r="P11" s="887"/>
      <c r="R11" s="878"/>
      <c r="T11" s="886"/>
      <c r="U11" s="886"/>
      <c r="V11" s="877"/>
      <c r="W11" s="887"/>
      <c r="X11" s="887"/>
      <c r="Z11" s="878"/>
    </row>
    <row r="12" spans="2:26" s="507" customFormat="1" ht="24.9" customHeight="1" x14ac:dyDescent="0.3">
      <c r="B12" s="1691" t="s">
        <v>36</v>
      </c>
      <c r="C12" s="869"/>
      <c r="D12" s="1695">
        <f>ca_5</f>
        <v>0</v>
      </c>
      <c r="E12" s="1811">
        <v>1</v>
      </c>
      <c r="F12" s="877"/>
      <c r="G12" s="1832" t="str">
        <f>IF(ISERROR(H12/D12)," ",H12/D12)</f>
        <v xml:space="preserve"> </v>
      </c>
      <c r="H12" s="1826">
        <f>IF(ISBLANK(G10),0,ca_1*(1+G10))</f>
        <v>0</v>
      </c>
      <c r="I12" s="871"/>
      <c r="J12" s="1698" t="str">
        <f>IF(ISBLANK(G10)," ",H12-D12)</f>
        <v xml:space="preserve"> </v>
      </c>
      <c r="K12" s="871"/>
      <c r="L12" s="1695">
        <f>ca_6</f>
        <v>0</v>
      </c>
      <c r="M12" s="1811">
        <v>1</v>
      </c>
      <c r="N12" s="877"/>
      <c r="O12" s="1832" t="str">
        <f>IF(ISERROR(P12/L12)," ",P12/L12)</f>
        <v xml:space="preserve"> </v>
      </c>
      <c r="P12" s="1826">
        <f>IF(ISBLANK(O10),0,H12*(1+O10))</f>
        <v>0</v>
      </c>
      <c r="Q12" s="871"/>
      <c r="R12" s="1698" t="str">
        <f>IF(ISBLANK(O10)," ",P12-L12)</f>
        <v xml:space="preserve"> </v>
      </c>
      <c r="S12" s="871"/>
      <c r="T12" s="1695">
        <f>ca_7</f>
        <v>0</v>
      </c>
      <c r="U12" s="1811">
        <v>1</v>
      </c>
      <c r="V12" s="877"/>
      <c r="W12" s="1832" t="str">
        <f>IF(ISERROR(X12/T12)," ",X12/T12)</f>
        <v xml:space="preserve"> </v>
      </c>
      <c r="X12" s="1826">
        <f>IF(ISBLANK(W10),0,P12*(1+W10))</f>
        <v>0</v>
      </c>
      <c r="Y12" s="871"/>
      <c r="Z12" s="1698" t="str">
        <f>IF(ISBLANK(W10)," ",X12-T12)</f>
        <v xml:space="preserve"> </v>
      </c>
    </row>
    <row r="13" spans="2:26" s="503" customFormat="1" ht="24.9" customHeight="1" x14ac:dyDescent="0.3">
      <c r="B13" s="1692" t="s">
        <v>878</v>
      </c>
      <c r="C13" s="879"/>
      <c r="D13" s="1696">
        <f>mbt_5</f>
        <v>0</v>
      </c>
      <c r="E13" s="1812" t="str">
        <f>'Cpte de résultat prévisionnel'!I32</f>
        <v xml:space="preserve"> </v>
      </c>
      <c r="F13" s="877"/>
      <c r="G13" s="1833"/>
      <c r="H13" s="1827">
        <f>ROUND(H12*G13,0)</f>
        <v>0</v>
      </c>
      <c r="I13" s="880"/>
      <c r="J13" s="1700" t="str">
        <f>IF(ISBLANK(G10)," ",IF(ISBLANK(G13)," ",H13-D13))</f>
        <v xml:space="preserve"> </v>
      </c>
      <c r="K13" s="880"/>
      <c r="L13" s="1696">
        <f>mbt_6</f>
        <v>0</v>
      </c>
      <c r="M13" s="1812" t="str">
        <f>'Cpte de résultat prévisionnel'!L32</f>
        <v xml:space="preserve"> </v>
      </c>
      <c r="N13" s="877"/>
      <c r="O13" s="1833"/>
      <c r="P13" s="1827">
        <f>ROUND(P12*O13,0)</f>
        <v>0</v>
      </c>
      <c r="Q13" s="880"/>
      <c r="R13" s="1700" t="str">
        <f>IF(ISBLANK(O10)," ",IF(ISBLANK(O13)," ",P13-L13))</f>
        <v xml:space="preserve"> </v>
      </c>
      <c r="S13" s="880"/>
      <c r="T13" s="1696">
        <f>mbt_7</f>
        <v>0</v>
      </c>
      <c r="U13" s="1812" t="str">
        <f>'Cpte de résultat prévisionnel'!O32</f>
        <v xml:space="preserve"> </v>
      </c>
      <c r="V13" s="877"/>
      <c r="W13" s="1833"/>
      <c r="X13" s="1827">
        <f>ROUND(X12*W13,0)</f>
        <v>0</v>
      </c>
      <c r="Y13" s="880"/>
      <c r="Z13" s="1700" t="str">
        <f>IF(ISBLANK(W10)," ",IF(ISBLANK(W13)," ",X13-T13))</f>
        <v xml:space="preserve"> </v>
      </c>
    </row>
    <row r="14" spans="2:26" s="882" customFormat="1" ht="24.9" customHeight="1" x14ac:dyDescent="0.3">
      <c r="B14" s="1693" t="s">
        <v>879</v>
      </c>
      <c r="C14" s="879"/>
      <c r="D14" s="1697">
        <f>ch.variables_5-(D12-mbt_5)</f>
        <v>0</v>
      </c>
      <c r="E14" s="1813" t="str">
        <f>IF(ISERROR(D14/D12)," ",D14/D12)</f>
        <v xml:space="preserve"> </v>
      </c>
      <c r="F14" s="877"/>
      <c r="G14" s="1834"/>
      <c r="H14" s="1827">
        <f>ROUND(IF(ISERROR(H12*G14),0,H12*G14),0)</f>
        <v>0</v>
      </c>
      <c r="I14" s="880"/>
      <c r="J14" s="1701" t="str">
        <f t="shared" ref="J14" si="0">IF(ISBLANK(G14)," ",H14-D14)</f>
        <v xml:space="preserve"> </v>
      </c>
      <c r="K14" s="881"/>
      <c r="L14" s="1697">
        <f>ch.variables_6-(L12-mbt_6)</f>
        <v>0</v>
      </c>
      <c r="M14" s="1813" t="str">
        <f>IF(ISERROR(L14/L12)," ",L14/L12)</f>
        <v xml:space="preserve"> </v>
      </c>
      <c r="N14" s="877"/>
      <c r="O14" s="1834"/>
      <c r="P14" s="1827">
        <f>ROUND(IF(ISERROR(P12*O14),0,P12*O14),0)</f>
        <v>0</v>
      </c>
      <c r="Q14" s="880"/>
      <c r="R14" s="1701" t="str">
        <f t="shared" ref="R14" si="1">IF(ISBLANK(O14)," ",P14-L14)</f>
        <v xml:space="preserve"> </v>
      </c>
      <c r="S14" s="881"/>
      <c r="T14" s="1697">
        <f>ch.variables_7-(T12-mbt_7)</f>
        <v>0</v>
      </c>
      <c r="U14" s="1813" t="str">
        <f>IF(ISERROR(T14/T12)," ",T14/T12)</f>
        <v xml:space="preserve"> </v>
      </c>
      <c r="V14" s="877"/>
      <c r="W14" s="1834"/>
      <c r="X14" s="1827">
        <f>ROUND(IF(ISERROR(X12*W14),0,X12*W14),0)</f>
        <v>0</v>
      </c>
      <c r="Y14" s="880"/>
      <c r="Z14" s="1701" t="str">
        <f t="shared" ref="Z14" si="2">IF(ISBLANK(W14)," ",X14-T14)</f>
        <v xml:space="preserve"> </v>
      </c>
    </row>
    <row r="15" spans="2:26" s="507" customFormat="1" ht="24.9" customHeight="1" x14ac:dyDescent="0.3">
      <c r="B15" s="1798" t="s">
        <v>619</v>
      </c>
      <c r="C15" s="879"/>
      <c r="D15" s="1799">
        <f>D13-D14</f>
        <v>0</v>
      </c>
      <c r="E15" s="1814" t="str">
        <f>IF(ISERROR(D15/D12)," ",D15/D12)</f>
        <v xml:space="preserve"> </v>
      </c>
      <c r="F15" s="876"/>
      <c r="G15" s="1835" t="str">
        <f>IF(ISERROR(H15/H12)," ",H15/H12)</f>
        <v xml:space="preserve"> </v>
      </c>
      <c r="H15" s="1828">
        <f>H13-H14</f>
        <v>0</v>
      </c>
      <c r="I15" s="871"/>
      <c r="J15" s="1800" t="str">
        <f>IF(OR(ISBLANK(G10),G15=0)," ",H15-D15)</f>
        <v xml:space="preserve"> </v>
      </c>
      <c r="K15" s="871"/>
      <c r="L15" s="1799">
        <f>L13-L14</f>
        <v>0</v>
      </c>
      <c r="M15" s="1814" t="str">
        <f>IF(ISERROR(L15/L12)," ",L15/L12)</f>
        <v xml:space="preserve"> </v>
      </c>
      <c r="N15" s="876"/>
      <c r="O15" s="1835" t="str">
        <f>IF(ISERROR(P15/P12)," ",P15/P12)</f>
        <v xml:space="preserve"> </v>
      </c>
      <c r="P15" s="1828">
        <f>P13-P14</f>
        <v>0</v>
      </c>
      <c r="Q15" s="871"/>
      <c r="R15" s="1800" t="str">
        <f>IF(OR(ISBLANK(O10),O15=0)," ",P15-L15)</f>
        <v xml:space="preserve"> </v>
      </c>
      <c r="S15" s="871"/>
      <c r="T15" s="1799">
        <f>T13-T14</f>
        <v>0</v>
      </c>
      <c r="U15" s="1814" t="str">
        <f>IF(ISERROR(T15/T12)," ",T15/T12)</f>
        <v xml:space="preserve"> </v>
      </c>
      <c r="V15" s="876"/>
      <c r="W15" s="1835" t="str">
        <f>IF(ISERROR(X15/X12)," ",X15/X12)</f>
        <v xml:space="preserve"> </v>
      </c>
      <c r="X15" s="1828">
        <f>X13-X14</f>
        <v>0</v>
      </c>
      <c r="Y15" s="871"/>
      <c r="Z15" s="1800" t="str">
        <f>IF(OR(ISBLANK(W91),W15=0)," ",X15-T15)</f>
        <v xml:space="preserve"> </v>
      </c>
    </row>
    <row r="16" spans="2:26" s="503" customFormat="1" ht="24.9" customHeight="1" x14ac:dyDescent="0.3">
      <c r="B16" s="1694" t="s">
        <v>880</v>
      </c>
      <c r="C16" s="879"/>
      <c r="D16" s="1697">
        <f>ch.fixes_5</f>
        <v>0</v>
      </c>
      <c r="E16" s="1815" t="str">
        <f>IF(ISERROR(D16/D12)," ",D16/D12)</f>
        <v xml:space="preserve"> </v>
      </c>
      <c r="F16" s="877"/>
      <c r="G16" s="1834"/>
      <c r="H16" s="1829">
        <f>IF(OR(ISBLANK(G16),ISBLANK(G12)),0,D16*(1+G16))</f>
        <v>0</v>
      </c>
      <c r="I16" s="880"/>
      <c r="J16" s="1700" t="str">
        <f>IF(OR(ISBLANK(G10),ISBLANK(G16))," ",H16-D16)</f>
        <v xml:space="preserve"> </v>
      </c>
      <c r="K16" s="880"/>
      <c r="L16" s="1697">
        <f>ch.fixes_6</f>
        <v>0</v>
      </c>
      <c r="M16" s="1815" t="str">
        <f>IF(ISERROR(L16/L12)," ",L16/L12)</f>
        <v xml:space="preserve"> </v>
      </c>
      <c r="N16" s="877"/>
      <c r="O16" s="1834"/>
      <c r="P16" s="1829">
        <f>IF(OR(ISBLANK(O16),ISBLANK(O12)),0,L16*(1+O16))</f>
        <v>0</v>
      </c>
      <c r="Q16" s="880"/>
      <c r="R16" s="1700" t="str">
        <f>IF(OR(ISBLANK(O10),ISBLANK(O16))," ",P16-L16)</f>
        <v xml:space="preserve"> </v>
      </c>
      <c r="S16" s="880"/>
      <c r="T16" s="1697">
        <f>ch.fixes_7</f>
        <v>0</v>
      </c>
      <c r="U16" s="1815" t="str">
        <f>IF(ISERROR(T16/T12)," ",T16/T12)</f>
        <v xml:space="preserve"> </v>
      </c>
      <c r="V16" s="877"/>
      <c r="W16" s="1834"/>
      <c r="X16" s="1829">
        <f>IF(OR(ISBLANK(W16),ISBLANK(W12)),0,T16*(1+W16))</f>
        <v>0</v>
      </c>
      <c r="Y16" s="880"/>
      <c r="Z16" s="1700" t="str">
        <f>IF(OR(ISBLANK(W10),ISBLANK(W16))," ",X16-T16)</f>
        <v xml:space="preserve"> </v>
      </c>
    </row>
    <row r="17" spans="2:26" s="503" customFormat="1" ht="24.9" customHeight="1" x14ac:dyDescent="0.3">
      <c r="B17" s="1798" t="s">
        <v>881</v>
      </c>
      <c r="C17" s="879"/>
      <c r="D17" s="1801">
        <f>D15-D16</f>
        <v>0</v>
      </c>
      <c r="E17" s="1816" t="str">
        <f>IF(ISERROR(D17/D12)," ",D17/D12)</f>
        <v xml:space="preserve"> </v>
      </c>
      <c r="F17" s="1802"/>
      <c r="G17" s="1836" t="str">
        <f>IF(ISERROR(H17/H12)," ",H17/H12)</f>
        <v xml:space="preserve"> </v>
      </c>
      <c r="H17" s="1830">
        <f>H15-H16</f>
        <v>0</v>
      </c>
      <c r="I17" s="880"/>
      <c r="J17" s="1803" t="str">
        <f>IF(OR(ISBLANK(G10),G17=0)," ",H17-D17)</f>
        <v xml:space="preserve"> </v>
      </c>
      <c r="K17" s="880"/>
      <c r="L17" s="1801">
        <f>L15-L16</f>
        <v>0</v>
      </c>
      <c r="M17" s="1816" t="str">
        <f>IF(ISERROR(L17/L12)," ",L17/L12)</f>
        <v xml:space="preserve"> </v>
      </c>
      <c r="N17" s="876"/>
      <c r="O17" s="1836" t="str">
        <f>IF(ISERROR(P17/P12)," ",P17/P12)</f>
        <v xml:space="preserve"> </v>
      </c>
      <c r="P17" s="1830">
        <f>P15-P16</f>
        <v>0</v>
      </c>
      <c r="Q17" s="880"/>
      <c r="R17" s="1803" t="str">
        <f>IF(OR(ISBLANK(O10),O17=0)," ",P17-L17)</f>
        <v xml:space="preserve"> </v>
      </c>
      <c r="S17" s="880"/>
      <c r="T17" s="1801">
        <f>T15-T16</f>
        <v>0</v>
      </c>
      <c r="U17" s="1816" t="str">
        <f>IF(ISERROR(T17/T12)," ",T17/T12)</f>
        <v xml:space="preserve"> </v>
      </c>
      <c r="V17" s="876"/>
      <c r="W17" s="1836" t="str">
        <f>IF(ISERROR(X17/X12)," ",X17/X12)</f>
        <v xml:space="preserve"> </v>
      </c>
      <c r="X17" s="1830">
        <f>X15-X16</f>
        <v>0</v>
      </c>
      <c r="Y17" s="880"/>
      <c r="Z17" s="1803" t="str">
        <f>IF(OR(ISBLANK(W10),W17=0)," ",X17-T17)</f>
        <v xml:space="preserve"> </v>
      </c>
    </row>
    <row r="18" spans="2:26" s="503" customFormat="1" ht="24.9" customHeight="1" x14ac:dyDescent="0.3">
      <c r="B18" s="1693" t="s">
        <v>882</v>
      </c>
      <c r="C18" s="879"/>
      <c r="D18" s="1697">
        <f>IS_5</f>
        <v>0</v>
      </c>
      <c r="E18" s="1813" t="str">
        <f>IF(ISERROR(D18/(D17+r_except_5-rsp_5))," ",D18/(D17+r_except_5-rsp_5))</f>
        <v xml:space="preserve"> </v>
      </c>
      <c r="F18" s="877"/>
      <c r="G18" s="1834"/>
      <c r="H18" s="1829">
        <f>IF(OR(ISBLANK(G18),ISBLANK(G12),(H17+r_except_5-rsp_5)&lt;=0),0,(H17+r_except_5-rsp_5)*G18)</f>
        <v>0</v>
      </c>
      <c r="I18" s="880"/>
      <c r="J18" s="1699" t="str">
        <f>IF(OR(ISBLANK(G15),G18=0)," ",H18-D18)</f>
        <v xml:space="preserve"> </v>
      </c>
      <c r="K18" s="880"/>
      <c r="L18" s="1697">
        <f>IS_6</f>
        <v>0</v>
      </c>
      <c r="M18" s="1813" t="str">
        <f>IF(ISERROR(L18/(L17+r_except_6-rsp_6))," ",L18/(L17+r_except_6-rsp_6))</f>
        <v xml:space="preserve"> </v>
      </c>
      <c r="N18" s="877"/>
      <c r="O18" s="1834"/>
      <c r="P18" s="1829">
        <f>IF(OR(ISBLANK(O18),ISBLANK(O12),(P17+r_except_6-rsp_6)&lt;=0),0,(P17+r_except_6-rsp_6)*O18)</f>
        <v>0</v>
      </c>
      <c r="Q18" s="880"/>
      <c r="R18" s="1699" t="str">
        <f>IF(OR(ISBLANK(O15),O18=0)," ",P18-L18)</f>
        <v xml:space="preserve"> </v>
      </c>
      <c r="S18" s="880"/>
      <c r="T18" s="1697">
        <f>IS_7</f>
        <v>0</v>
      </c>
      <c r="U18" s="1813" t="str">
        <f>IF(ISERROR(T18/(T17+r_except_7-rsp_7))," ",T18/(T17+r_except_7-rsp_7))</f>
        <v xml:space="preserve"> </v>
      </c>
      <c r="V18" s="877"/>
      <c r="W18" s="1834"/>
      <c r="X18" s="1829">
        <f>IF(OR(ISBLANK(W18),ISBLANK(W12),(X17+r_except_7-rsp_7)&lt;=0),0,(X17+r_except_7-rsp_7)*W18)</f>
        <v>0</v>
      </c>
      <c r="Y18" s="880"/>
      <c r="Z18" s="1699" t="str">
        <f>IF(OR(ISBLANK(W15),W18=0)," ",X18-T18)</f>
        <v xml:space="preserve"> </v>
      </c>
    </row>
    <row r="19" spans="2:26" s="503" customFormat="1" ht="24.9" customHeight="1" x14ac:dyDescent="0.3">
      <c r="B19" s="1804" t="s">
        <v>39</v>
      </c>
      <c r="C19" s="879"/>
      <c r="D19" s="1805">
        <f>caf_5</f>
        <v>0</v>
      </c>
      <c r="E19" s="1817" t="str">
        <f>IF(ISERROR(D19/D12)," ",D19/D12)</f>
        <v xml:space="preserve"> </v>
      </c>
      <c r="F19" s="877"/>
      <c r="G19" s="1837" t="str">
        <f>IF(ISERROR(H19/H12)," ",H19/H12)</f>
        <v xml:space="preserve"> </v>
      </c>
      <c r="H19" s="1831">
        <f>IF(OR(ISBLANK(G10),G17=0),0,H17-H18+prov_nettes_5+ga_5+op_gestion_5+dérogatoire_5-rsp_5)</f>
        <v>0</v>
      </c>
      <c r="I19" s="880"/>
      <c r="J19" s="1806" t="str">
        <f>IF(OR(ISBLANK(G10),G19=0)," ",H19-D19)</f>
        <v xml:space="preserve"> </v>
      </c>
      <c r="K19" s="880"/>
      <c r="L19" s="1805">
        <f>caf_6</f>
        <v>0</v>
      </c>
      <c r="M19" s="1817" t="str">
        <f>IF(ISERROR(L19/L12)," ",L19/L12)</f>
        <v xml:space="preserve"> </v>
      </c>
      <c r="N19" s="877"/>
      <c r="O19" s="1837" t="str">
        <f>IF(ISERROR(P19/P12)," ",P19/P12)</f>
        <v xml:space="preserve"> </v>
      </c>
      <c r="P19" s="1831">
        <f>IF(OR(ISBLANK(O10),O17=0),0,P17-P18+prov_nettes_6+ga_6+op_gestion_6+dérogatoire_6-rsp_6)</f>
        <v>0</v>
      </c>
      <c r="Q19" s="880"/>
      <c r="R19" s="1806" t="str">
        <f>IF(OR(ISBLANK(O10),O19=0)," ",P19-L19)</f>
        <v xml:space="preserve"> </v>
      </c>
      <c r="S19" s="880"/>
      <c r="T19" s="1805">
        <f>caf_7</f>
        <v>0</v>
      </c>
      <c r="U19" s="1817" t="str">
        <f>IF(ISERROR(T19/T12)," ",T19/T12)</f>
        <v xml:space="preserve"> </v>
      </c>
      <c r="V19" s="877"/>
      <c r="W19" s="1837" t="str">
        <f>IF(ISERROR(X19/X12)," ",X19/X12)</f>
        <v xml:space="preserve"> </v>
      </c>
      <c r="X19" s="1831">
        <f>IF(OR(ISBLANK(W10),W17=0),0,X17-X18+prov_nettes_7+ga_7+op_gestion_7+dérogatoire_7-rsp_7)</f>
        <v>0</v>
      </c>
      <c r="Y19" s="880"/>
      <c r="Z19" s="1806" t="str">
        <f>IF(OR(ISBLANK(W10),W19=0)," ",X19-T19)</f>
        <v xml:space="preserve"> </v>
      </c>
    </row>
    <row r="20" spans="2:26" ht="24.9" customHeight="1" x14ac:dyDescent="0.3">
      <c r="B20" s="1702" t="s">
        <v>883</v>
      </c>
      <c r="D20" s="1703" t="str">
        <f>pm_5</f>
        <v xml:space="preserve"> </v>
      </c>
      <c r="E20" s="1818" t="str">
        <f>IF(ISERROR(D20/D12)," ",D20/D12)</f>
        <v xml:space="preserve"> </v>
      </c>
      <c r="G20" s="1838" t="str">
        <f>IF(ISERROR(H20/H12)," ",H20/H12)</f>
        <v xml:space="preserve"> </v>
      </c>
      <c r="H20" s="1704" t="str">
        <f>IF(ISERROR(H16/G15)," ",H16/G15)</f>
        <v xml:space="preserve"> </v>
      </c>
      <c r="J20" s="1705" t="str">
        <f>IF(ISERROR(IF(ISBLANK(G10)," ",H20-D20))," ",IF(ISBLANK(G10)," ",H20-D20))</f>
        <v xml:space="preserve"> </v>
      </c>
      <c r="K20" s="880"/>
      <c r="L20" s="1703" t="str">
        <f>pm_6</f>
        <v xml:space="preserve"> </v>
      </c>
      <c r="M20" s="1818" t="str">
        <f>IF(ISERROR(L20/L12)," ",L20/L12)</f>
        <v xml:space="preserve"> </v>
      </c>
      <c r="O20" s="1838" t="str">
        <f>IF(ISERROR(P20/P12)," ",P20/P12)</f>
        <v xml:space="preserve"> </v>
      </c>
      <c r="P20" s="1704" t="str">
        <f>IF(ISERROR(P16/O15)," ",P16/O15)</f>
        <v xml:space="preserve"> </v>
      </c>
      <c r="R20" s="1705" t="str">
        <f>IF(ISERROR(IF(ISBLANK(O10)," ",P20-L20))," ",IF(ISBLANK(O10)," ",P20-L20))</f>
        <v xml:space="preserve"> </v>
      </c>
      <c r="T20" s="1703" t="str">
        <f>pm_7</f>
        <v xml:space="preserve"> </v>
      </c>
      <c r="U20" s="1818" t="str">
        <f>IF(ISERROR(T20/T12)," ",T20/T12)</f>
        <v xml:space="preserve"> </v>
      </c>
      <c r="W20" s="1838" t="str">
        <f>IF(ISERROR(X20/X12)," ",X20/X12)</f>
        <v xml:space="preserve"> </v>
      </c>
      <c r="X20" s="1704" t="str">
        <f>IF(ISERROR(X16/W15)," ",X16/W15)</f>
        <v xml:space="preserve"> </v>
      </c>
      <c r="Z20" s="1705" t="str">
        <f>IF(ISERROR(IF(ISBLANK(W10)," ",X20-T20))," ",IF(ISBLANK(W10)," ",X20-T20))</f>
        <v xml:space="preserve"> </v>
      </c>
    </row>
    <row r="21" spans="2:26" ht="6" customHeight="1" x14ac:dyDescent="0.3">
      <c r="D21" s="952"/>
      <c r="H21" s="953"/>
      <c r="J21" s="952"/>
      <c r="L21" s="952"/>
      <c r="P21" s="953"/>
      <c r="R21" s="952"/>
      <c r="T21" s="952"/>
      <c r="X21" s="953"/>
      <c r="Z21" s="952"/>
    </row>
    <row r="22" spans="2:26" ht="24.9" customHeight="1" x14ac:dyDescent="0.3">
      <c r="B22" s="1707" t="s">
        <v>884</v>
      </c>
      <c r="C22" s="885"/>
      <c r="D22" s="1819">
        <f>fr_5</f>
        <v>0</v>
      </c>
      <c r="E22" s="1822" t="str">
        <f>IF(ISERROR(D22*(durée_5*30)/ca_5)," ",D22*(durée_5*30)/ca_5)</f>
        <v xml:space="preserve"> </v>
      </c>
      <c r="G22" s="1842" t="str">
        <f>IF(ISBLANK(G10)," ",H22*(durée_5*30)/H12)</f>
        <v xml:space="preserve"> </v>
      </c>
      <c r="H22" s="1839" t="str">
        <f>IF(ISBLANK(G10)," ",fr_5-caf_5+caf_5_révisé)</f>
        <v xml:space="preserve"> </v>
      </c>
      <c r="J22" s="1710" t="str">
        <f>IF(ISBLANK(G10)," ",H22-D22)</f>
        <v xml:space="preserve"> </v>
      </c>
      <c r="L22" s="1819">
        <f>fr_6</f>
        <v>0</v>
      </c>
      <c r="M22" s="1822" t="str">
        <f>IF(ISERROR(L22*(durée_6*30)/ca_6)," ",L22*(durée_6*30)/ca_6)</f>
        <v xml:space="preserve"> </v>
      </c>
      <c r="O22" s="1842" t="str">
        <f>IF(ISBLANK(O10)," ",P22*(durée_6*30)/P12)</f>
        <v xml:space="preserve"> </v>
      </c>
      <c r="P22" s="1839" t="str">
        <f>IF(ISBLANK(O10)," ",fr_6-fr_5+fr_5_révisé-caf_6+caf_6_révisé)</f>
        <v xml:space="preserve"> </v>
      </c>
      <c r="R22" s="1710" t="str">
        <f>IF(ISBLANK(O10)," ",P22-L22)</f>
        <v xml:space="preserve"> </v>
      </c>
      <c r="T22" s="1819">
        <f>fr_7</f>
        <v>0</v>
      </c>
      <c r="U22" s="1822" t="str">
        <f>IF(ISERROR(T22*(durée_7*30)/ca_7)," ",T22*(durée_7*30)/ca_7)</f>
        <v xml:space="preserve"> </v>
      </c>
      <c r="W22" s="1842" t="str">
        <f>IF(ISBLANK(W10)," ",X22*(durée_7*30)/X12)</f>
        <v xml:space="preserve"> </v>
      </c>
      <c r="X22" s="1839" t="str">
        <f>IF(ISBLANK(W10)," ",fr_7-fr_6+fr_6_révisé-caf_7+caf_7_révisé)</f>
        <v xml:space="preserve"> </v>
      </c>
      <c r="Z22" s="1710" t="str">
        <f>IF(ISBLANK(W10)," ",X22-T22)</f>
        <v xml:space="preserve"> </v>
      </c>
    </row>
    <row r="23" spans="2:26" ht="24.9" customHeight="1" x14ac:dyDescent="0.3">
      <c r="B23" s="1708" t="s">
        <v>885</v>
      </c>
      <c r="D23" s="1820">
        <f>bfr_5-dfr_5</f>
        <v>0</v>
      </c>
      <c r="E23" s="1823" t="str">
        <f>IF(ISERROR(D23*(durée_5*30)/ca_5)," ",D23*(durée_5*30)/ca_5)</f>
        <v xml:space="preserve"> </v>
      </c>
      <c r="G23" s="1843"/>
      <c r="H23" s="1840">
        <f>IF(OR(ISBLANK(G10),ISBLANK(G23)),0,H12*G23/(durée_5*30))</f>
        <v>0</v>
      </c>
      <c r="J23" s="1711" t="str">
        <f>IF(OR(ISBLANK(G12),ISBLANK(G23))," ",H23-D23)</f>
        <v xml:space="preserve"> </v>
      </c>
      <c r="L23" s="1820">
        <f>bfr_6-dfr_6</f>
        <v>0</v>
      </c>
      <c r="M23" s="1823" t="str">
        <f>IF(ISERROR(L23*(durée_6*30)/ca_6)," ",L23*(durée_6*30)/ca_6)</f>
        <v xml:space="preserve"> </v>
      </c>
      <c r="O23" s="1843"/>
      <c r="P23" s="1840">
        <f>IF(OR(ISBLANK(O10),ISBLANK(O23)),0,P12*O23/(durée_6*30))</f>
        <v>0</v>
      </c>
      <c r="R23" s="1711" t="str">
        <f>IF(OR(ISBLANK(O10),ISBLANK(O23))," ",P23-L23)</f>
        <v xml:space="preserve"> </v>
      </c>
      <c r="T23" s="1820">
        <f>bfr_7-dfr_7</f>
        <v>0</v>
      </c>
      <c r="U23" s="1823" t="str">
        <f>IF(ISERROR(T23*(durée_7*30)/ca_7)," ",T23*(durée_7*30)/ca_7)</f>
        <v xml:space="preserve"> </v>
      </c>
      <c r="W23" s="1843"/>
      <c r="X23" s="1840">
        <f>IF(OR(ISBLANK(W10),ISBLANK(W23)),0,X12*W23/(durée_7*30))</f>
        <v>0</v>
      </c>
      <c r="Z23" s="1711" t="str">
        <f>IF(OR(ISBLANK(W10),ISBLANK(W23))," ",X23-T23)</f>
        <v xml:space="preserve"> </v>
      </c>
    </row>
    <row r="24" spans="2:26" s="503" customFormat="1" ht="24.9" customHeight="1" x14ac:dyDescent="0.3">
      <c r="B24" s="1807" t="s">
        <v>886</v>
      </c>
      <c r="C24" s="879"/>
      <c r="D24" s="1808" t="str">
        <f>IF(ISERROR(D22/D23)," ",D22/D23)</f>
        <v xml:space="preserve"> </v>
      </c>
      <c r="E24" s="1824"/>
      <c r="F24" s="880"/>
      <c r="G24" s="1844"/>
      <c r="H24" s="1809" t="str">
        <f>IF(ISERROR(H22/H23)," ",H22/H23)</f>
        <v xml:space="preserve"> </v>
      </c>
      <c r="I24" s="880"/>
      <c r="J24" s="1810"/>
      <c r="K24" s="880"/>
      <c r="L24" s="1808" t="str">
        <f>IF(ISERROR(L22/L23)," ",L22/L23)</f>
        <v xml:space="preserve"> </v>
      </c>
      <c r="M24" s="1824"/>
      <c r="N24" s="880"/>
      <c r="O24" s="1844"/>
      <c r="P24" s="1809" t="str">
        <f>IF(ISERROR(P22/P23)," ",P22/P23)</f>
        <v xml:space="preserve"> </v>
      </c>
      <c r="Q24" s="880"/>
      <c r="R24" s="1810"/>
      <c r="S24" s="880"/>
      <c r="T24" s="1808" t="str">
        <f>IF(ISERROR(T22/T23)," ",T22/T23)</f>
        <v xml:space="preserve"> </v>
      </c>
      <c r="U24" s="1824"/>
      <c r="V24" s="880"/>
      <c r="W24" s="1844"/>
      <c r="X24" s="1809" t="str">
        <f>IF(ISERROR(X22/X23)," ",X22/X23)</f>
        <v xml:space="preserve"> </v>
      </c>
      <c r="Y24" s="880"/>
      <c r="Z24" s="1810"/>
    </row>
    <row r="25" spans="2:26" ht="24.9" customHeight="1" x14ac:dyDescent="0.3">
      <c r="B25" s="1709" t="s">
        <v>6</v>
      </c>
      <c r="C25" s="885"/>
      <c r="D25" s="1821">
        <f>D22-D23</f>
        <v>0</v>
      </c>
      <c r="E25" s="1825" t="str">
        <f>IF(ISERROR(D25*(durée_5*30)/ca_5)," ",D25*(durée_5*30)/ca_5)</f>
        <v xml:space="preserve"> </v>
      </c>
      <c r="F25" s="1706"/>
      <c r="G25" s="1845" t="str">
        <f>IF(ISBLANK(G10)," ",H25*(durée_5*30)/H12)</f>
        <v xml:space="preserve"> </v>
      </c>
      <c r="H25" s="1841" t="str">
        <f>IF(ISERROR(H22-H23)," ",H22-H23)</f>
        <v xml:space="preserve"> </v>
      </c>
      <c r="J25" s="1712" t="str">
        <f>IF(OR(ISBLANK(G10),G25=0)," ",H25-D25)</f>
        <v xml:space="preserve"> </v>
      </c>
      <c r="L25" s="1821">
        <f>L22-L23</f>
        <v>0</v>
      </c>
      <c r="M25" s="1825" t="str">
        <f>IF(ISERROR(L25*(durée_6*30)/ca_6)," ",L25*(durée_6*30)/ca_6)</f>
        <v xml:space="preserve"> </v>
      </c>
      <c r="O25" s="1845" t="str">
        <f>IF(ISBLANK(O10)," ",P25*(durée_6*30)/P12)</f>
        <v xml:space="preserve"> </v>
      </c>
      <c r="P25" s="1841" t="str">
        <f>IF(ISERROR(P22-P23)," ",P22-P23)</f>
        <v xml:space="preserve"> </v>
      </c>
      <c r="R25" s="1712" t="str">
        <f>IF(OR(ISBLANK(O10),O25=0)," ",P25-L25)</f>
        <v xml:space="preserve"> </v>
      </c>
      <c r="T25" s="1821">
        <f>T22-T23</f>
        <v>0</v>
      </c>
      <c r="U25" s="1825"/>
      <c r="W25" s="1845" t="str">
        <f>IF(ISBLANK(W10)," ",X25*(durée_7*30)/X12)</f>
        <v xml:space="preserve"> </v>
      </c>
      <c r="X25" s="1841">
        <f>IF(ISERROR(X22-X23),0,X22-X23)</f>
        <v>0</v>
      </c>
      <c r="Z25" s="1712" t="str">
        <f>IF(OR(ISBLANK(W10),W25=0)," ",X25-T25)</f>
        <v xml:space="preserve"> </v>
      </c>
    </row>
    <row r="26" spans="2:26" s="503" customFormat="1" x14ac:dyDescent="0.3">
      <c r="B26" s="883"/>
      <c r="C26" s="879"/>
      <c r="D26" s="884"/>
      <c r="E26" s="880"/>
      <c r="F26" s="880"/>
      <c r="G26" s="872"/>
      <c r="H26" s="873"/>
      <c r="I26" s="880"/>
      <c r="J26" s="884"/>
      <c r="K26" s="880"/>
      <c r="L26" s="884"/>
      <c r="M26" s="880"/>
      <c r="N26" s="880"/>
      <c r="O26" s="872"/>
      <c r="P26" s="873"/>
      <c r="Q26" s="880"/>
      <c r="R26" s="884"/>
      <c r="S26" s="880"/>
      <c r="T26" s="884"/>
      <c r="U26" s="880"/>
      <c r="V26" s="880"/>
      <c r="W26" s="872"/>
      <c r="X26" s="873"/>
      <c r="Y26" s="880"/>
      <c r="Z26" s="884"/>
    </row>
    <row r="27" spans="2:26" ht="24.9" customHeight="1" x14ac:dyDescent="0.3">
      <c r="D27" s="4326" t="str">
        <f>IF(ISERROR(D25*(durée_1*30)/(ca_1*(1+tv)*quotité_tv))," ",D25*(durée_1*30)/(ca_1*(1+tv)*quotité_tv))</f>
        <v xml:space="preserve"> </v>
      </c>
      <c r="E27" s="4326"/>
      <c r="G27" s="4326" t="str">
        <f>IF(ISERROR(H25*(durée_1*30)/(H12*(1+tv)*quotité_tv))," ",H25*(durée_1*30)/(H12*(1+tv)*quotité_tv))</f>
        <v xml:space="preserve"> </v>
      </c>
      <c r="H27" s="4326"/>
      <c r="I27" s="4326"/>
      <c r="L27" s="4326" t="str">
        <f>IF(ISERROR(L25*(durée_2*30)/(ca_2*(1+tv)*quotité_tv))," ",L25*(durée_2*30)/(ca_2*(1+tv)*quotité_tv))</f>
        <v xml:space="preserve"> </v>
      </c>
      <c r="M27" s="4326"/>
      <c r="O27" s="4326" t="str">
        <f>IF(ISERROR(P25*(durée_1*30)/(P12*(1+tv)*quotité_tv))," ",P25*(durée_1*30)/(P12*(1+tv)*quotité_tv))</f>
        <v xml:space="preserve"> </v>
      </c>
      <c r="P27" s="4326"/>
      <c r="Q27" s="4326"/>
      <c r="R27" s="861"/>
      <c r="T27" s="4326" t="str">
        <f>IF(ISERROR(T25*(durée_3*30)/(ca_3*(1+tv)*quotité_tv))," ",T25*(durée_3*30)/(ca_3*(1+tv)*quotité_tv))</f>
        <v xml:space="preserve"> </v>
      </c>
      <c r="U27" s="4326"/>
      <c r="W27" s="4326" t="str">
        <f>IF(ISERROR(X25*(durée_1*30)/(X12*(1+tv)*quotité_tv))," ",X25*(durée_1*30)/(X12*(1+tv)*quotité_tv))</f>
        <v xml:space="preserve"> </v>
      </c>
      <c r="X27" s="4326"/>
      <c r="Y27" s="4326"/>
    </row>
  </sheetData>
  <sheetProtection algorithmName="SHA-512" hashValue="qPjovNWPjNQYTkzYiFfBBmk1vfkFqTms4edPDOD3RS/Q9+lX/MDPJZCHwdqhjDqvOUK/0JVwbmrQyu8l+kLLsQ==" saltValue="LCjx7+iB3+L+FNCZQ9EpaA==" spinCount="100000" sheet="1" formatCells="0" formatColumns="0" formatRows="0" insertColumns="0" insertRows="0" insertHyperlinks="0" deleteColumns="0" deleteRows="0" sort="0" autoFilter="0" pivotTables="0"/>
  <mergeCells count="14">
    <mergeCell ref="B2:U2"/>
    <mergeCell ref="B3:U3"/>
    <mergeCell ref="B6:E6"/>
    <mergeCell ref="F6:Z6"/>
    <mergeCell ref="D8:J8"/>
    <mergeCell ref="L8:R8"/>
    <mergeCell ref="T8:Z8"/>
    <mergeCell ref="B10:C10"/>
    <mergeCell ref="W27:Y27"/>
    <mergeCell ref="D27:E27"/>
    <mergeCell ref="G27:I27"/>
    <mergeCell ref="L27:M27"/>
    <mergeCell ref="O27:Q27"/>
    <mergeCell ref="T27:U27"/>
  </mergeCells>
  <conditionalFormatting sqref="G13:G14 O13:O14 W13:W14">
    <cfRule type="cellIs" dxfId="1094" priority="99" operator="notEqual">
      <formula>0</formula>
    </cfRule>
  </conditionalFormatting>
  <conditionalFormatting sqref="H17">
    <cfRule type="cellIs" dxfId="1093" priority="98" operator="lessThan">
      <formula>0</formula>
    </cfRule>
  </conditionalFormatting>
  <conditionalFormatting sqref="G17">
    <cfRule type="cellIs" dxfId="1092" priority="97" operator="lessThan">
      <formula>0</formula>
    </cfRule>
  </conditionalFormatting>
  <conditionalFormatting sqref="G18">
    <cfRule type="cellIs" dxfId="1091" priority="96" operator="notEqual">
      <formula>0</formula>
    </cfRule>
  </conditionalFormatting>
  <conditionalFormatting sqref="G16">
    <cfRule type="cellIs" dxfId="1090" priority="95" operator="notEqual">
      <formula>0</formula>
    </cfRule>
  </conditionalFormatting>
  <conditionalFormatting sqref="D24">
    <cfRule type="cellIs" dxfId="1089" priority="94" operator="lessThan">
      <formula>$D$51</formula>
    </cfRule>
  </conditionalFormatting>
  <conditionalFormatting sqref="H24">
    <cfRule type="cellIs" dxfId="1088" priority="93" operator="lessThan">
      <formula>0.5</formula>
    </cfRule>
  </conditionalFormatting>
  <conditionalFormatting sqref="G23">
    <cfRule type="cellIs" dxfId="1087" priority="92" operator="notEqual">
      <formula>0</formula>
    </cfRule>
  </conditionalFormatting>
  <conditionalFormatting sqref="D20:E20">
    <cfRule type="cellIs" dxfId="1086" priority="91" stopIfTrue="1" operator="equal">
      <formula>0</formula>
    </cfRule>
  </conditionalFormatting>
  <conditionalFormatting sqref="J20">
    <cfRule type="cellIs" dxfId="1085" priority="90" stopIfTrue="1" operator="equal">
      <formula>0</formula>
    </cfRule>
  </conditionalFormatting>
  <conditionalFormatting sqref="B20">
    <cfRule type="cellIs" dxfId="1084" priority="89" stopIfTrue="1" operator="equal">
      <formula>0</formula>
    </cfRule>
  </conditionalFormatting>
  <conditionalFormatting sqref="H20">
    <cfRule type="cellIs" dxfId="1083" priority="88" stopIfTrue="1" operator="equal">
      <formula>0</formula>
    </cfRule>
  </conditionalFormatting>
  <conditionalFormatting sqref="G20">
    <cfRule type="cellIs" dxfId="1082" priority="87" stopIfTrue="1" operator="equal">
      <formula>0</formula>
    </cfRule>
  </conditionalFormatting>
  <conditionalFormatting sqref="D25">
    <cfRule type="cellIs" dxfId="1081" priority="86" stopIfTrue="1" operator="lessThan">
      <formula>0</formula>
    </cfRule>
  </conditionalFormatting>
  <conditionalFormatting sqref="E25">
    <cfRule type="expression" dxfId="1080" priority="84">
      <formula>D25&lt;0</formula>
    </cfRule>
    <cfRule type="cellIs" dxfId="1079" priority="85" operator="equal">
      <formula>0</formula>
    </cfRule>
  </conditionalFormatting>
  <conditionalFormatting sqref="D27">
    <cfRule type="cellIs" dxfId="1078" priority="83" stopIfTrue="1" operator="lessThan">
      <formula>0</formula>
    </cfRule>
  </conditionalFormatting>
  <conditionalFormatting sqref="G27">
    <cfRule type="cellIs" dxfId="1077" priority="82" stopIfTrue="1" operator="lessThan">
      <formula>0</formula>
    </cfRule>
  </conditionalFormatting>
  <conditionalFormatting sqref="H25">
    <cfRule type="cellIs" dxfId="1076" priority="81" operator="lessThan">
      <formula>0</formula>
    </cfRule>
  </conditionalFormatting>
  <conditionalFormatting sqref="G25">
    <cfRule type="expression" dxfId="1075" priority="80">
      <formula>H25&lt;0</formula>
    </cfRule>
  </conditionalFormatting>
  <conditionalFormatting sqref="D19">
    <cfRule type="cellIs" dxfId="1074" priority="79" operator="lessThan">
      <formula>0</formula>
    </cfRule>
  </conditionalFormatting>
  <conditionalFormatting sqref="E19">
    <cfRule type="cellIs" dxfId="1073" priority="78" operator="lessThan">
      <formula>0</formula>
    </cfRule>
  </conditionalFormatting>
  <conditionalFormatting sqref="H19">
    <cfRule type="cellIs" dxfId="1072" priority="77" operator="lessThan">
      <formula>0</formula>
    </cfRule>
  </conditionalFormatting>
  <conditionalFormatting sqref="G19">
    <cfRule type="cellIs" dxfId="1071" priority="76" operator="lessThan">
      <formula>0</formula>
    </cfRule>
  </conditionalFormatting>
  <conditionalFormatting sqref="O18">
    <cfRule type="cellIs" dxfId="1070" priority="74" operator="notEqual">
      <formula>0</formula>
    </cfRule>
  </conditionalFormatting>
  <conditionalFormatting sqref="O16">
    <cfRule type="cellIs" dxfId="1069" priority="73" operator="notEqual">
      <formula>0</formula>
    </cfRule>
  </conditionalFormatting>
  <conditionalFormatting sqref="L24">
    <cfRule type="cellIs" dxfId="1068" priority="72" operator="lessThan">
      <formula>$D$51</formula>
    </cfRule>
  </conditionalFormatting>
  <conditionalFormatting sqref="P24">
    <cfRule type="cellIs" dxfId="1067" priority="71" operator="lessThan">
      <formula>0.5</formula>
    </cfRule>
  </conditionalFormatting>
  <conditionalFormatting sqref="O23">
    <cfRule type="cellIs" dxfId="1066" priority="70" operator="notEqual">
      <formula>0</formula>
    </cfRule>
  </conditionalFormatting>
  <conditionalFormatting sqref="L20:M20">
    <cfRule type="cellIs" dxfId="1065" priority="69" stopIfTrue="1" operator="equal">
      <formula>0</formula>
    </cfRule>
  </conditionalFormatting>
  <conditionalFormatting sqref="R20">
    <cfRule type="cellIs" dxfId="1064" priority="68" stopIfTrue="1" operator="equal">
      <formula>0</formula>
    </cfRule>
  </conditionalFormatting>
  <conditionalFormatting sqref="P20">
    <cfRule type="cellIs" dxfId="1063" priority="67" stopIfTrue="1" operator="equal">
      <formula>0</formula>
    </cfRule>
  </conditionalFormatting>
  <conditionalFormatting sqref="O20">
    <cfRule type="cellIs" dxfId="1062" priority="66" stopIfTrue="1" operator="equal">
      <formula>0</formula>
    </cfRule>
  </conditionalFormatting>
  <conditionalFormatting sqref="L27">
    <cfRule type="cellIs" dxfId="1061" priority="65" stopIfTrue="1" operator="lessThan">
      <formula>0</formula>
    </cfRule>
  </conditionalFormatting>
  <conditionalFormatting sqref="O27">
    <cfRule type="cellIs" dxfId="1060" priority="64" stopIfTrue="1" operator="lessThan">
      <formula>0</formula>
    </cfRule>
  </conditionalFormatting>
  <conditionalFormatting sqref="P25">
    <cfRule type="cellIs" dxfId="1059" priority="63" operator="lessThan">
      <formula>0</formula>
    </cfRule>
  </conditionalFormatting>
  <conditionalFormatting sqref="W18">
    <cfRule type="cellIs" dxfId="1058" priority="60" operator="notEqual">
      <formula>0</formula>
    </cfRule>
  </conditionalFormatting>
  <conditionalFormatting sqref="W16">
    <cfRule type="cellIs" dxfId="1057" priority="59" operator="notEqual">
      <formula>0</formula>
    </cfRule>
  </conditionalFormatting>
  <conditionalFormatting sqref="T24">
    <cfRule type="cellIs" dxfId="1056" priority="58" operator="lessThan">
      <formula>$D$51</formula>
    </cfRule>
  </conditionalFormatting>
  <conditionalFormatting sqref="X24">
    <cfRule type="cellIs" dxfId="1055" priority="57" operator="lessThan">
      <formula>0.5</formula>
    </cfRule>
  </conditionalFormatting>
  <conditionalFormatting sqref="W23">
    <cfRule type="cellIs" dxfId="1054" priority="56" operator="notEqual">
      <formula>0</formula>
    </cfRule>
  </conditionalFormatting>
  <conditionalFormatting sqref="T20:U20">
    <cfRule type="cellIs" dxfId="1053" priority="55" stopIfTrue="1" operator="equal">
      <formula>0</formula>
    </cfRule>
  </conditionalFormatting>
  <conditionalFormatting sqref="Z20">
    <cfRule type="cellIs" dxfId="1052" priority="54" stopIfTrue="1" operator="equal">
      <formula>0</formula>
    </cfRule>
  </conditionalFormatting>
  <conditionalFormatting sqref="X20">
    <cfRule type="cellIs" dxfId="1051" priority="53" stopIfTrue="1" operator="equal">
      <formula>0</formula>
    </cfRule>
  </conditionalFormatting>
  <conditionalFormatting sqref="W20">
    <cfRule type="cellIs" dxfId="1050" priority="52" stopIfTrue="1" operator="equal">
      <formula>0</formula>
    </cfRule>
  </conditionalFormatting>
  <conditionalFormatting sqref="T27">
    <cfRule type="cellIs" dxfId="1049" priority="51" stopIfTrue="1" operator="lessThan">
      <formula>0</formula>
    </cfRule>
  </conditionalFormatting>
  <conditionalFormatting sqref="W27">
    <cfRule type="cellIs" dxfId="1048" priority="50" stopIfTrue="1" operator="lessThan">
      <formula>0</formula>
    </cfRule>
  </conditionalFormatting>
  <conditionalFormatting sqref="X25">
    <cfRule type="cellIs" dxfId="1047" priority="49" operator="lessThan">
      <formula>0</formula>
    </cfRule>
  </conditionalFormatting>
  <conditionalFormatting sqref="D17">
    <cfRule type="cellIs" dxfId="1046" priority="47" operator="lessThan">
      <formula>0</formula>
    </cfRule>
  </conditionalFormatting>
  <conditionalFormatting sqref="E17">
    <cfRule type="cellIs" dxfId="1045" priority="46" operator="lessThan">
      <formula>0</formula>
    </cfRule>
  </conditionalFormatting>
  <conditionalFormatting sqref="P17">
    <cfRule type="cellIs" dxfId="1044" priority="45" operator="lessThan">
      <formula>0</formula>
    </cfRule>
  </conditionalFormatting>
  <conditionalFormatting sqref="X17">
    <cfRule type="cellIs" dxfId="1043" priority="44" operator="lessThan">
      <formula>0</formula>
    </cfRule>
  </conditionalFormatting>
  <conditionalFormatting sqref="O17">
    <cfRule type="cellIs" dxfId="1042" priority="43" operator="lessThan">
      <formula>0</formula>
    </cfRule>
  </conditionalFormatting>
  <conditionalFormatting sqref="W17">
    <cfRule type="cellIs" dxfId="1041" priority="42" operator="lessThan">
      <formula>0</formula>
    </cfRule>
  </conditionalFormatting>
  <conditionalFormatting sqref="L17">
    <cfRule type="cellIs" dxfId="1040" priority="41" operator="lessThan">
      <formula>0</formula>
    </cfRule>
  </conditionalFormatting>
  <conditionalFormatting sqref="T17">
    <cfRule type="cellIs" dxfId="1039" priority="40" operator="lessThan">
      <formula>0</formula>
    </cfRule>
  </conditionalFormatting>
  <conditionalFormatting sqref="M17">
    <cfRule type="cellIs" dxfId="1038" priority="39" operator="lessThan">
      <formula>0</formula>
    </cfRule>
  </conditionalFormatting>
  <conditionalFormatting sqref="U17">
    <cfRule type="cellIs" dxfId="1037" priority="38" operator="lessThan">
      <formula>0</formula>
    </cfRule>
  </conditionalFormatting>
  <conditionalFormatting sqref="L19">
    <cfRule type="cellIs" dxfId="1036" priority="37" operator="lessThan">
      <formula>0</formula>
    </cfRule>
  </conditionalFormatting>
  <conditionalFormatting sqref="T19">
    <cfRule type="cellIs" dxfId="1035" priority="36" operator="lessThan">
      <formula>0</formula>
    </cfRule>
  </conditionalFormatting>
  <conditionalFormatting sqref="M19">
    <cfRule type="cellIs" dxfId="1034" priority="35" operator="lessThan">
      <formula>0</formula>
    </cfRule>
  </conditionalFormatting>
  <conditionalFormatting sqref="U19">
    <cfRule type="cellIs" dxfId="1033" priority="34" operator="lessThan">
      <formula>0</formula>
    </cfRule>
  </conditionalFormatting>
  <conditionalFormatting sqref="O19">
    <cfRule type="cellIs" dxfId="1032" priority="31" operator="lessThan">
      <formula>0</formula>
    </cfRule>
  </conditionalFormatting>
  <conditionalFormatting sqref="W19">
    <cfRule type="cellIs" dxfId="1031" priority="30" operator="lessThan">
      <formula>0</formula>
    </cfRule>
  </conditionalFormatting>
  <conditionalFormatting sqref="L25">
    <cfRule type="cellIs" dxfId="1030" priority="29" stopIfTrue="1" operator="lessThan">
      <formula>0</formula>
    </cfRule>
  </conditionalFormatting>
  <conditionalFormatting sqref="T25">
    <cfRule type="cellIs" dxfId="1029" priority="28" stopIfTrue="1" operator="lessThan">
      <formula>0</formula>
    </cfRule>
  </conditionalFormatting>
  <conditionalFormatting sqref="J15 J17 J12:J13 R12:R13 Z12:Z13">
    <cfRule type="cellIs" dxfId="1028" priority="23" operator="lessThan">
      <formula>0</formula>
    </cfRule>
  </conditionalFormatting>
  <conditionalFormatting sqref="J22 R22 Z22">
    <cfRule type="cellIs" dxfId="1027" priority="22" operator="lessThan">
      <formula>0</formula>
    </cfRule>
  </conditionalFormatting>
  <conditionalFormatting sqref="J23 R23 Z23">
    <cfRule type="cellIs" dxfId="1026" priority="21" operator="greaterThan">
      <formula>0</formula>
    </cfRule>
  </conditionalFormatting>
  <conditionalFormatting sqref="J16">
    <cfRule type="cellIs" dxfId="1025" priority="20" operator="greaterThan">
      <formula>0</formula>
    </cfRule>
  </conditionalFormatting>
  <conditionalFormatting sqref="J14">
    <cfRule type="cellIs" dxfId="1024" priority="19" operator="greaterThan">
      <formula>0</formula>
    </cfRule>
  </conditionalFormatting>
  <conditionalFormatting sqref="R15 R17">
    <cfRule type="cellIs" dxfId="1023" priority="18" operator="lessThan">
      <formula>0</formula>
    </cfRule>
  </conditionalFormatting>
  <conditionalFormatting sqref="R16">
    <cfRule type="cellIs" dxfId="1022" priority="17" operator="greaterThan">
      <formula>0</formula>
    </cfRule>
  </conditionalFormatting>
  <conditionalFormatting sqref="R14">
    <cfRule type="cellIs" dxfId="1021" priority="16" operator="greaterThan">
      <formula>0</formula>
    </cfRule>
  </conditionalFormatting>
  <conditionalFormatting sqref="Z15 Z17">
    <cfRule type="cellIs" dxfId="1020" priority="15" operator="lessThan">
      <formula>0</formula>
    </cfRule>
  </conditionalFormatting>
  <conditionalFormatting sqref="Z16">
    <cfRule type="cellIs" dxfId="1019" priority="14" operator="greaterThan">
      <formula>0</formula>
    </cfRule>
  </conditionalFormatting>
  <conditionalFormatting sqref="Z14">
    <cfRule type="cellIs" dxfId="1018" priority="13" operator="greaterThan">
      <formula>0</formula>
    </cfRule>
  </conditionalFormatting>
  <conditionalFormatting sqref="Z25 R25">
    <cfRule type="cellIs" dxfId="1017" priority="12" operator="lessThan">
      <formula>0</formula>
    </cfRule>
  </conditionalFormatting>
  <conditionalFormatting sqref="G10">
    <cfRule type="cellIs" dxfId="1016" priority="11" operator="notEqual">
      <formula>0</formula>
    </cfRule>
  </conditionalFormatting>
  <conditionalFormatting sqref="W10 O10">
    <cfRule type="cellIs" dxfId="1015" priority="10" operator="notEqual">
      <formula>0</formula>
    </cfRule>
  </conditionalFormatting>
  <conditionalFormatting sqref="P19">
    <cfRule type="cellIs" dxfId="1014" priority="9" operator="lessThan">
      <formula>0</formula>
    </cfRule>
  </conditionalFormatting>
  <conditionalFormatting sqref="U25 M25">
    <cfRule type="expression" dxfId="1013" priority="7">
      <formula>L25&lt;0</formula>
    </cfRule>
    <cfRule type="cellIs" dxfId="1012" priority="8" operator="equal">
      <formula>0</formula>
    </cfRule>
  </conditionalFormatting>
  <conditionalFormatting sqref="O25">
    <cfRule type="expression" dxfId="1011" priority="6">
      <formula>P25&lt;0</formula>
    </cfRule>
  </conditionalFormatting>
  <conditionalFormatting sqref="W25">
    <cfRule type="expression" dxfId="1010" priority="4">
      <formula>X25&lt;0</formula>
    </cfRule>
  </conditionalFormatting>
  <conditionalFormatting sqref="J25">
    <cfRule type="cellIs" dxfId="1009" priority="3" operator="lessThan">
      <formula>0</formula>
    </cfRule>
  </conditionalFormatting>
  <conditionalFormatting sqref="G12 O12 W12">
    <cfRule type="cellIs" dxfId="1008" priority="2" operator="equal">
      <formula>0</formula>
    </cfRule>
  </conditionalFormatting>
  <conditionalFormatting sqref="X19">
    <cfRule type="cellIs" dxfId="1007" priority="1" operator="lessThan">
      <formula>0</formula>
    </cfRule>
  </conditionalFormatting>
  <dataValidations xWindow="1095" yWindow="389" count="6">
    <dataValidation allowBlank="1" showInputMessage="1" showErrorMessage="1" prompt="Taux de variation des charges fixes_x000a_(+ ou -)_x000a_" sqref="O16 W16 G16" xr:uid="{00000000-0002-0000-0700-000000000000}"/>
    <dataValidation allowBlank="1" showInputMessage="1" showErrorMessage="1" prompt="Jours de chiffre d'affaires HT" sqref="G22:G23 E22:E23 O22:O23 M22:M23 W22:W23 U22:U23" xr:uid="{00000000-0002-0000-0700-000001000000}"/>
    <dataValidation allowBlank="1" showInputMessage="1" showErrorMessage="1" prompt="taux d'IS ?" sqref="G18 O18 W18" xr:uid="{00000000-0002-0000-0700-000002000000}"/>
    <dataValidation allowBlank="1" showInputMessage="1" showErrorMessage="1" prompt="taux des autres charges variables" sqref="G14 O14 W14" xr:uid="{00000000-0002-0000-0700-000003000000}"/>
    <dataValidation allowBlank="1" showInputMessage="1" showErrorMessage="1" prompt="taux de marge brute" sqref="O13 G13 W13" xr:uid="{00000000-0002-0000-0700-000004000000}"/>
    <dataValidation allowBlank="1" showInputMessage="1" showErrorMessage="1" prompt="taux de réalisation du chiffre d'affaires" sqref="G12 O12 W12" xr:uid="{00000000-0002-0000-0700-000005000000}"/>
  </dataValidations>
  <pageMargins left="0" right="0" top="0" bottom="0" header="0" footer="0"/>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tabColor theme="8" tint="-0.499984740745262"/>
    <pageSetUpPr fitToPage="1"/>
  </sheetPr>
  <dimension ref="A1:X91"/>
  <sheetViews>
    <sheetView showGridLines="0" showRowColHeaders="0" zoomScale="95" zoomScaleNormal="95" zoomScalePageLayoutView="115" workbookViewId="0">
      <pane ySplit="8" topLeftCell="A9" activePane="bottomLeft" state="frozenSplit"/>
      <selection pane="bottomLeft" activeCell="E2" sqref="E2:P2"/>
    </sheetView>
  </sheetViews>
  <sheetFormatPr baseColWidth="10" defaultColWidth="10.77734375" defaultRowHeight="13.8" x14ac:dyDescent="0.3"/>
  <cols>
    <col min="1" max="1" width="1.77734375" style="1" customWidth="1"/>
    <col min="2" max="2" width="30.77734375" style="1" customWidth="1"/>
    <col min="3" max="3" width="4.77734375" style="260" customWidth="1"/>
    <col min="4" max="4" width="6.77734375" style="260" customWidth="1"/>
    <col min="5" max="5" width="0.6640625" style="1" customWidth="1"/>
    <col min="6" max="6" width="16.77734375" style="269" customWidth="1"/>
    <col min="7" max="7" width="0.6640625" style="269" customWidth="1"/>
    <col min="8" max="8" width="16.77734375" style="269" customWidth="1"/>
    <col min="9" max="9" width="0.6640625" style="269" customWidth="1"/>
    <col min="10" max="10" width="16.77734375" style="269" customWidth="1"/>
    <col min="11" max="11" width="1.77734375" style="269" customWidth="1"/>
    <col min="12" max="12" width="16.77734375" style="269" customWidth="1"/>
    <col min="13" max="13" width="0.6640625" style="269" customWidth="1"/>
    <col min="14" max="14" width="16.77734375" style="269" customWidth="1"/>
    <col min="15" max="15" width="0.6640625" style="269" customWidth="1"/>
    <col min="16" max="16" width="16.77734375" style="269" customWidth="1"/>
    <col min="17" max="18" width="1.77734375" style="1" customWidth="1"/>
    <col min="19" max="22" width="15.77734375" style="1" customWidth="1"/>
    <col min="23" max="23" width="10.77734375" style="1" customWidth="1"/>
    <col min="24" max="27" width="12.77734375" style="1" customWidth="1"/>
    <col min="28" max="16384" width="10.77734375" style="1"/>
  </cols>
  <sheetData>
    <row r="1" spans="1:24" ht="10.199999999999999" customHeight="1" x14ac:dyDescent="0.3">
      <c r="A1" s="3237"/>
      <c r="B1" s="1486"/>
      <c r="C1" s="3238"/>
      <c r="D1" s="3238"/>
      <c r="E1" s="1486"/>
      <c r="F1" s="3239"/>
      <c r="G1" s="3239"/>
      <c r="H1" s="3239"/>
      <c r="I1" s="3239"/>
      <c r="J1" s="3239"/>
      <c r="K1" s="3239"/>
      <c r="L1" s="3239"/>
      <c r="M1" s="3239"/>
      <c r="N1" s="3239"/>
      <c r="O1" s="3239"/>
      <c r="P1" s="3239"/>
      <c r="Q1" s="3240"/>
    </row>
    <row r="2" spans="1:24" ht="21.9" customHeight="1" x14ac:dyDescent="0.3">
      <c r="A2" s="3241"/>
      <c r="B2" s="4354" t="str">
        <f>IF(ISBLANK(nom)," ",nom)</f>
        <v xml:space="preserve"> </v>
      </c>
      <c r="C2" s="4355"/>
      <c r="D2" s="4355"/>
      <c r="E2" s="4337" t="s">
        <v>903</v>
      </c>
      <c r="F2" s="4337"/>
      <c r="G2" s="4337"/>
      <c r="H2" s="4337"/>
      <c r="I2" s="4337"/>
      <c r="J2" s="4337"/>
      <c r="K2" s="4337"/>
      <c r="L2" s="4337"/>
      <c r="M2" s="4337"/>
      <c r="N2" s="4337"/>
      <c r="O2" s="4337"/>
      <c r="P2" s="4338"/>
      <c r="Q2" s="1556"/>
    </row>
    <row r="3" spans="1:24" ht="15" customHeight="1" x14ac:dyDescent="0.3">
      <c r="A3" s="3241"/>
      <c r="Q3" s="1556"/>
    </row>
    <row r="4" spans="1:24" s="81" customFormat="1" ht="20.100000000000001" customHeight="1" x14ac:dyDescent="0.3">
      <c r="A4" s="3242"/>
      <c r="B4" s="4369" t="str">
        <f>""&amp;stade</f>
        <v/>
      </c>
      <c r="C4" s="4370"/>
      <c r="D4" s="3266"/>
      <c r="E4" s="3267"/>
      <c r="F4" s="4346" t="str">
        <f>IF(ISBLANK(activité)," ",activité)</f>
        <v xml:space="preserve"> </v>
      </c>
      <c r="G4" s="4347"/>
      <c r="H4" s="4348"/>
      <c r="J4" s="4342" t="str">
        <f>IF(stade="transmission d'entreprise","Création d'une nouvelle société  d'exploitation ?"," ")</f>
        <v xml:space="preserve"> </v>
      </c>
      <c r="K4" s="4343"/>
      <c r="L4" s="4343"/>
      <c r="M4" s="4343"/>
      <c r="N4" s="4343"/>
      <c r="O4" s="1227"/>
      <c r="P4" s="1228" t="str">
        <f>IF(AND(stade="transmission d'entreprise",ISBLANK(sté_exploitation)),"Non",IF(AND(stade="transmission d'entreprise",sté_exploitation="non"),"Non",IF(AND(stade="transmission d'entreprise",sté_exploitation="oui"),"Oui"," ")))</f>
        <v xml:space="preserve"> </v>
      </c>
      <c r="Q4" s="3243"/>
    </row>
    <row r="5" spans="1:24" ht="6" customHeight="1" x14ac:dyDescent="0.3">
      <c r="A5" s="3241"/>
      <c r="Q5" s="1556"/>
    </row>
    <row r="6" spans="1:24" ht="20.100000000000001" customHeight="1" x14ac:dyDescent="0.3">
      <c r="A6" s="3241"/>
      <c r="B6" s="718"/>
      <c r="F6" s="4344" t="s">
        <v>766</v>
      </c>
      <c r="G6" s="4344"/>
      <c r="H6" s="4344"/>
      <c r="I6" s="4344"/>
      <c r="J6" s="4344"/>
      <c r="K6" s="694"/>
      <c r="L6" s="4345" t="s">
        <v>767</v>
      </c>
      <c r="M6" s="4345"/>
      <c r="N6" s="4345"/>
      <c r="O6" s="4345"/>
      <c r="P6" s="4345"/>
      <c r="Q6" s="1556"/>
      <c r="S6" s="849" t="str">
        <f>F7</f>
        <v xml:space="preserve"> </v>
      </c>
      <c r="T6" s="849" t="str">
        <f>H7</f>
        <v xml:space="preserve"> </v>
      </c>
      <c r="U6" s="849" t="str">
        <f>J7</f>
        <v xml:space="preserve"> </v>
      </c>
      <c r="V6" s="849" t="str">
        <f>L7</f>
        <v xml:space="preserve"> </v>
      </c>
      <c r="W6" s="849" t="str">
        <f>N7</f>
        <v xml:space="preserve"> </v>
      </c>
      <c r="X6" s="849" t="str">
        <f>P7</f>
        <v xml:space="preserve"> </v>
      </c>
    </row>
    <row r="7" spans="1:24" ht="20.100000000000001" customHeight="1" x14ac:dyDescent="0.3">
      <c r="A7" s="3241"/>
      <c r="B7" s="4366" t="s">
        <v>1314</v>
      </c>
      <c r="C7" s="4360" t="s">
        <v>780</v>
      </c>
      <c r="D7" s="4361"/>
      <c r="F7" s="1743" t="str">
        <f>IF(ISBLANK(An)," ",An-3)</f>
        <v xml:space="preserve"> </v>
      </c>
      <c r="G7" s="618"/>
      <c r="H7" s="1743" t="str">
        <f>IF(ISBLANK(An)," ",An-2)</f>
        <v xml:space="preserve"> </v>
      </c>
      <c r="I7" s="618"/>
      <c r="J7" s="1743" t="str">
        <f>IF(ISBLANK(An)," ",An-1)</f>
        <v xml:space="preserve"> </v>
      </c>
      <c r="K7" s="270"/>
      <c r="L7" s="1745" t="str">
        <f>IF(ISBLANK(An)," ",An)</f>
        <v xml:space="preserve"> </v>
      </c>
      <c r="M7" s="270"/>
      <c r="N7" s="1745" t="str">
        <f>IF(ISBLANK(An)," ",An+1)</f>
        <v xml:space="preserve"> </v>
      </c>
      <c r="O7" s="270"/>
      <c r="P7" s="1745" t="str">
        <f>IF(ISBLANK(An)," ",An+2)</f>
        <v xml:space="preserve"> </v>
      </c>
      <c r="Q7" s="1556"/>
      <c r="S7" s="3335">
        <f>F11/1000</f>
        <v>0</v>
      </c>
      <c r="T7" s="3335">
        <f>H11/1000</f>
        <v>0</v>
      </c>
      <c r="U7" s="3335">
        <f>J11/1000</f>
        <v>0</v>
      </c>
      <c r="V7" s="3335">
        <f>L11/1000</f>
        <v>0</v>
      </c>
      <c r="W7" s="3335">
        <f>N11/1000</f>
        <v>0</v>
      </c>
      <c r="X7" s="3335">
        <f>P11/1000</f>
        <v>0</v>
      </c>
    </row>
    <row r="8" spans="1:24" ht="20.100000000000001" customHeight="1" x14ac:dyDescent="0.3">
      <c r="A8" s="3241"/>
      <c r="B8" s="4367"/>
      <c r="C8" s="4362"/>
      <c r="D8" s="4363"/>
      <c r="F8" s="1744" t="str">
        <f>IF(durée_3=0," ",durée_3)</f>
        <v xml:space="preserve"> </v>
      </c>
      <c r="G8" s="797"/>
      <c r="H8" s="1744" t="str">
        <f>IF(durée_2=0," ",durée_2)</f>
        <v xml:space="preserve"> </v>
      </c>
      <c r="I8" s="797"/>
      <c r="J8" s="1744" t="str">
        <f>IF(durée_1=0," ",durée_1)</f>
        <v xml:space="preserve"> </v>
      </c>
      <c r="K8" s="797"/>
      <c r="L8" s="1746" t="str">
        <f>IF('Cpte de résultat prévisionnel'!H5=0," ",'Cpte de résultat prévisionnel'!H5)</f>
        <v xml:space="preserve"> </v>
      </c>
      <c r="M8" s="797"/>
      <c r="N8" s="1746" t="str">
        <f>IF('Cpte de résultat prévisionnel'!K5=0," ",'Cpte de résultat prévisionnel'!K5)</f>
        <v xml:space="preserve"> </v>
      </c>
      <c r="O8" s="797"/>
      <c r="P8" s="1746" t="str">
        <f>IF('Cpte de résultat prévisionnel'!N5=0," ",'Cpte de résultat prévisionnel'!N5)</f>
        <v xml:space="preserve"> </v>
      </c>
      <c r="Q8" s="1556"/>
      <c r="S8" s="3335">
        <f>IF(ISERROR(F10/1000),0,F10/1000)</f>
        <v>0</v>
      </c>
      <c r="T8" s="3335">
        <f>IF(ISERROR(H10/1000),0,H10/1000)</f>
        <v>0</v>
      </c>
      <c r="U8" s="3335">
        <f>IF(ISERROR(J10/1000),0,J10/1000)</f>
        <v>0</v>
      </c>
      <c r="V8" s="3335">
        <f>IF(ISERROR(L10/1000),0,L10/1000)</f>
        <v>0</v>
      </c>
      <c r="W8" s="3335">
        <f>IF(ISERROR(N10/1000),0,N10/1000)</f>
        <v>0</v>
      </c>
      <c r="X8" s="3335">
        <f>IF(ISERROR(P10/1000),0,P10/1000)</f>
        <v>0</v>
      </c>
    </row>
    <row r="9" spans="1:24" s="183" customFormat="1" ht="15" customHeight="1" x14ac:dyDescent="0.3">
      <c r="A9" s="3244"/>
      <c r="C9" s="4339" t="s">
        <v>483</v>
      </c>
      <c r="D9" s="4340"/>
      <c r="F9" s="46"/>
      <c r="G9" s="294"/>
      <c r="H9" s="827"/>
      <c r="I9" s="281"/>
      <c r="J9" s="828">
        <f>AVERAGE(J11,H11,F11)</f>
        <v>0</v>
      </c>
      <c r="K9" s="808">
        <f>IF(ISERROR(AVERAGE(J8,H8,F8)),0,AVERAGE(J8,H8,F8))</f>
        <v>0</v>
      </c>
      <c r="L9" s="77"/>
      <c r="M9" s="274"/>
      <c r="N9" s="77"/>
      <c r="O9" s="281"/>
      <c r="P9" s="77"/>
      <c r="Q9" s="3245"/>
    </row>
    <row r="10" spans="1:24" s="183" customFormat="1" ht="24.9" customHeight="1" x14ac:dyDescent="0.25">
      <c r="A10" s="3244"/>
      <c r="B10" s="3201" t="s">
        <v>1339</v>
      </c>
      <c r="C10" s="4349" t="s">
        <v>176</v>
      </c>
      <c r="D10" s="4350"/>
      <c r="F10" s="1747" t="str">
        <f>IF(ISERROR(pm_3)," ",pm_3)</f>
        <v xml:space="preserve"> </v>
      </c>
      <c r="G10" s="274"/>
      <c r="H10" s="1747" t="str">
        <f>IF(ISERROR(pm_2)," ",pm_2)</f>
        <v xml:space="preserve"> </v>
      </c>
      <c r="I10" s="281"/>
      <c r="J10" s="1747" t="str">
        <f>IF(ISERROR(pm_1)," ",pm_1)</f>
        <v xml:space="preserve"> </v>
      </c>
      <c r="K10" s="281"/>
      <c r="L10" s="1749" t="str">
        <f>IF(ISERROR(pm_5)," ",pm_5)</f>
        <v xml:space="preserve"> </v>
      </c>
      <c r="M10" s="274"/>
      <c r="N10" s="1749" t="str">
        <f>IF(ISERROR(pm_6)," ",pm_6)</f>
        <v xml:space="preserve"> </v>
      </c>
      <c r="O10" s="281"/>
      <c r="P10" s="1749" t="str">
        <f>IF(ISERROR(pm_7)," ",pm_7)</f>
        <v xml:space="preserve"> </v>
      </c>
      <c r="Q10" s="3245"/>
    </row>
    <row r="11" spans="1:24" ht="24.9" customHeight="1" x14ac:dyDescent="0.3">
      <c r="A11" s="3241"/>
      <c r="B11" s="3202" t="s">
        <v>1340</v>
      </c>
      <c r="C11" s="4364" t="s">
        <v>176</v>
      </c>
      <c r="D11" s="4365"/>
      <c r="F11" s="1748">
        <f>IF(ca_3=0,0,ca_3)</f>
        <v>0</v>
      </c>
      <c r="H11" s="1748">
        <f>IF(ca_2=0,0,ca_2)</f>
        <v>0</v>
      </c>
      <c r="J11" s="1748">
        <f>IF(ca_1=0,0,ca_1)</f>
        <v>0</v>
      </c>
      <c r="L11" s="1750">
        <f>ca_5</f>
        <v>0</v>
      </c>
      <c r="M11" s="284"/>
      <c r="N11" s="1750">
        <f>ca_6</f>
        <v>0</v>
      </c>
      <c r="O11" s="284"/>
      <c r="P11" s="1750">
        <f>ca_7</f>
        <v>0</v>
      </c>
      <c r="Q11" s="1556"/>
    </row>
    <row r="12" spans="1:24" ht="3" customHeight="1" x14ac:dyDescent="0.3">
      <c r="A12" s="3241"/>
      <c r="B12" s="38"/>
      <c r="F12" s="660">
        <f>F11/1000</f>
        <v>0</v>
      </c>
      <c r="G12" s="660"/>
      <c r="H12" s="660">
        <f>H11/1000</f>
        <v>0</v>
      </c>
      <c r="I12" s="660"/>
      <c r="J12" s="660">
        <f>J11/1000</f>
        <v>0</v>
      </c>
      <c r="K12" s="660"/>
      <c r="L12" s="660">
        <f>L11/1000</f>
        <v>0</v>
      </c>
      <c r="M12" s="660"/>
      <c r="N12" s="660">
        <f>N11/1000</f>
        <v>0</v>
      </c>
      <c r="O12" s="660"/>
      <c r="P12" s="660">
        <f>P11/1000</f>
        <v>0</v>
      </c>
      <c r="Q12" s="1556"/>
    </row>
    <row r="13" spans="1:24" ht="16.95" customHeight="1" x14ac:dyDescent="0.3">
      <c r="A13" s="3241"/>
      <c r="B13" s="38"/>
      <c r="F13" s="755" t="str">
        <f>IF(F11=0," ",IF(F11&gt;F10,"J",IF(F11&lt;F10,"L","K")))</f>
        <v xml:space="preserve"> </v>
      </c>
      <c r="H13" s="755" t="str">
        <f>IF(H11=0," ",IF(H11&gt;H10,"J",IF(H11&lt;H10,"L","K")))</f>
        <v xml:space="preserve"> </v>
      </c>
      <c r="J13" s="755" t="str">
        <f>IF(J11=0," ",IF(J11&gt;J10,"J",IF(J11&lt;J10,"L","K")))</f>
        <v xml:space="preserve"> </v>
      </c>
      <c r="L13" s="755" t="str">
        <f>IF(L11=0," ",IF(L11&gt;L10,"J",IF(L11&lt;L10,"L","K")))</f>
        <v xml:space="preserve"> </v>
      </c>
      <c r="N13" s="755" t="str">
        <f>IF(N11=0," ",IF(N11&gt;N10,"J",IF(N11&lt;N10,"L","K")))</f>
        <v xml:space="preserve"> </v>
      </c>
      <c r="P13" s="755" t="str">
        <f>IF(P11=0," ",IF(P11&gt;P10,"J",IF(P11&lt;P10,"L","K")))</f>
        <v xml:space="preserve"> </v>
      </c>
      <c r="Q13" s="1556"/>
    </row>
    <row r="14" spans="1:24" ht="6" customHeight="1" x14ac:dyDescent="0.3">
      <c r="A14" s="3241"/>
      <c r="B14" s="38"/>
      <c r="Q14" s="1556"/>
    </row>
    <row r="15" spans="1:24" s="37" customFormat="1" ht="20.100000000000001" customHeight="1" x14ac:dyDescent="0.25">
      <c r="A15" s="3227"/>
      <c r="B15" s="3151"/>
      <c r="C15" s="4368" t="s">
        <v>802</v>
      </c>
      <c r="D15" s="4368"/>
      <c r="F15" s="3263" t="str">
        <f>IF(ISERROR(IF(F11=0," ",((F11*12/F8)/(ca_4*12/durée_4))-1))," ",IF(F11=0," ",((F11*12/F8)/(ca_4*12/durée_4))-1))</f>
        <v xml:space="preserve"> </v>
      </c>
      <c r="G15" s="283"/>
      <c r="H15" s="3264" t="str">
        <f>IF(ISERROR(IF(H11=0," ",(H11*12/H8)/(F11*12/F8)-1))," ",IF(H11=0," ",(H11*12/H8)/(F11*12/F8)-1))</f>
        <v xml:space="preserve"> </v>
      </c>
      <c r="I15" s="282"/>
      <c r="J15" s="3264" t="str">
        <f>IF(ISERROR(IF(J11=0," ",(J11*12/J8)/(H11*12/H8)-1))," ",IF(J11=0," ",(J11*12/J8)/(H11*12/H8)-1))</f>
        <v xml:space="preserve"> </v>
      </c>
      <c r="K15" s="283"/>
      <c r="L15" s="3264">
        <f>IF(ISERROR(IF(L11=0,0,(L11*12/L8)/(J11*12/J8)-1)),0,IF(L11=0,0,(L11*12/L8)/(J11*12/J8)-1))</f>
        <v>0</v>
      </c>
      <c r="M15" s="283"/>
      <c r="N15" s="3264">
        <f>IF(ISERROR(IF(N11=0,0,(N11*12/N8)/(L11*12/L8)-1)),0,IF(N11=0,0,(N11*12/N8)/(L11*12/L8)-1))</f>
        <v>0</v>
      </c>
      <c r="O15" s="283"/>
      <c r="P15" s="3264">
        <f>IF(ISERROR(IF(P11=0,0,(P11*12/P8)/(N11*12/N8)-1)),0,IF(P11=0,0,(P11*12/P8)/(N11*12/N8)-1))</f>
        <v>0</v>
      </c>
      <c r="Q15" s="3228"/>
    </row>
    <row r="16" spans="1:24" s="275" customFormat="1" ht="3" customHeight="1" x14ac:dyDescent="0.25">
      <c r="A16" s="3246"/>
      <c r="B16" s="3152"/>
      <c r="C16" s="739"/>
      <c r="D16" s="739"/>
      <c r="F16" s="365"/>
      <c r="G16" s="274"/>
      <c r="H16" s="365"/>
      <c r="I16" s="278"/>
      <c r="J16" s="365"/>
      <c r="K16" s="274"/>
      <c r="L16" s="365"/>
      <c r="M16" s="274"/>
      <c r="N16" s="365"/>
      <c r="O16" s="278"/>
      <c r="P16" s="365"/>
      <c r="Q16" s="3247"/>
    </row>
    <row r="17" spans="1:18" s="37" customFormat="1" ht="15" customHeight="1" x14ac:dyDescent="0.25">
      <c r="A17" s="3227"/>
      <c r="B17" s="3151"/>
      <c r="C17" s="715"/>
      <c r="D17" s="715"/>
      <c r="F17" s="272"/>
      <c r="G17" s="271"/>
      <c r="H17" s="272"/>
      <c r="I17" s="272"/>
      <c r="J17" s="4351" t="str">
        <f>IF(OR(L15=" ",N15=" ",P15=" ")," ",IF(OR(L15&gt;10%,N15&gt;10%,P15&gt;10%),"Hypothèses de croissance du CA justifiées ?"," "))</f>
        <v xml:space="preserve"> </v>
      </c>
      <c r="K17" s="3568"/>
      <c r="L17" s="3568"/>
      <c r="M17" s="3568"/>
      <c r="N17" s="3568"/>
      <c r="O17" s="3265">
        <f>IF(AND(ISBLANK(P17),J17="Hypothèses de croissance du CA justifiées ?"),1,0)</f>
        <v>0</v>
      </c>
      <c r="P17" s="3176"/>
      <c r="Q17" s="3262" t="str">
        <f>IF(O17=1,"?"," ")</f>
        <v xml:space="preserve"> </v>
      </c>
    </row>
    <row r="18" spans="1:18" s="275" customFormat="1" ht="12" customHeight="1" x14ac:dyDescent="0.25">
      <c r="A18" s="3246"/>
      <c r="B18" s="3152"/>
      <c r="C18" s="4341" t="s">
        <v>483</v>
      </c>
      <c r="D18" s="4341"/>
      <c r="F18" s="273"/>
      <c r="G18" s="274"/>
      <c r="H18" s="273"/>
      <c r="I18" s="273"/>
      <c r="J18" s="273"/>
      <c r="K18" s="274"/>
      <c r="L18" s="273"/>
      <c r="M18" s="274"/>
      <c r="N18" s="273"/>
      <c r="O18" s="274"/>
      <c r="P18" s="273"/>
      <c r="Q18" s="3247"/>
    </row>
    <row r="19" spans="1:18" s="275" customFormat="1" ht="25.2" customHeight="1" x14ac:dyDescent="0.25">
      <c r="A19" s="3246"/>
      <c r="B19" s="3203" t="s">
        <v>1341</v>
      </c>
      <c r="C19" s="4358"/>
      <c r="D19" s="4359"/>
      <c r="E19" s="327"/>
      <c r="F19" s="3170" t="str">
        <f>IF(ISERROR('Analyse CR'!L27)," ",'Analyse CR'!L27)</f>
        <v xml:space="preserve"> </v>
      </c>
      <c r="G19" s="738"/>
      <c r="H19" s="3170" t="str">
        <f>IF(ISERROR('Analyse CR'!I27)," ",'Analyse CR'!I27)</f>
        <v xml:space="preserve"> </v>
      </c>
      <c r="I19" s="314"/>
      <c r="J19" s="3170" t="str">
        <f>IF(ISERROR('Analyse CR'!F27)," ",'Analyse CR'!F27)</f>
        <v xml:space="preserve"> </v>
      </c>
      <c r="K19" s="738"/>
      <c r="L19" s="3171" t="str">
        <f>IF(ISERROR('Cpte de résultat prévisionnel'!I24)," ",'Cpte de résultat prévisionnel'!I24)</f>
        <v xml:space="preserve"> </v>
      </c>
      <c r="M19" s="738"/>
      <c r="N19" s="3171" t="str">
        <f>IF(ISERROR('Cpte de résultat prévisionnel'!L24)," ",'Cpte de résultat prévisionnel'!L24)</f>
        <v xml:space="preserve"> </v>
      </c>
      <c r="O19" s="314"/>
      <c r="P19" s="3171" t="str">
        <f>IF(ISERROR('Cpte de résultat prévisionnel'!O24)," ",'Cpte de résultat prévisionnel'!O24)</f>
        <v xml:space="preserve"> </v>
      </c>
      <c r="Q19" s="3248"/>
      <c r="R19" s="58"/>
    </row>
    <row r="20" spans="1:18" s="275" customFormat="1" ht="3" customHeight="1" x14ac:dyDescent="0.25">
      <c r="A20" s="3246"/>
      <c r="B20" s="3152"/>
      <c r="C20" s="739"/>
      <c r="D20" s="739"/>
      <c r="F20" s="365"/>
      <c r="G20" s="274"/>
      <c r="H20" s="365"/>
      <c r="I20" s="278"/>
      <c r="J20" s="365"/>
      <c r="K20" s="274"/>
      <c r="L20" s="365"/>
      <c r="M20" s="274"/>
      <c r="N20" s="365"/>
      <c r="O20" s="278"/>
      <c r="P20" s="365"/>
      <c r="Q20" s="3247"/>
    </row>
    <row r="21" spans="1:18" s="275" customFormat="1" ht="20.100000000000001" customHeight="1" x14ac:dyDescent="0.25">
      <c r="A21" s="3246"/>
      <c r="B21" s="3152"/>
      <c r="C21" s="739"/>
      <c r="D21" s="739"/>
      <c r="F21" s="778" t="str">
        <f>IF(ISBLANK($C$19)," ",IF(F19=" "," ",IF(F19&gt;=$C$19,"ok","&lt; au secteur")))</f>
        <v xml:space="preserve"> </v>
      </c>
      <c r="G21" s="274"/>
      <c r="H21" s="778" t="str">
        <f>IF(ISBLANK($C$19)," ",IF(H19=" "," ",IF(H19&gt;=$C$19,"ok","&lt; au secteur")))</f>
        <v xml:space="preserve"> </v>
      </c>
      <c r="I21" s="278"/>
      <c r="J21" s="778" t="str">
        <f>IF(ISBLANK($C$19)," ",IF(J19=" "," ",IF(J19&gt;=$C$19,"ok","&lt; au secteur")))</f>
        <v xml:space="preserve"> </v>
      </c>
      <c r="K21" s="274"/>
      <c r="L21" s="778" t="str">
        <f>IF(ISBLANK($C$19)," ",IF(L19=" "," ",IF(L19&gt;=$C$19,"ok","&lt; au secteur")))</f>
        <v xml:space="preserve"> </v>
      </c>
      <c r="M21" s="274"/>
      <c r="N21" s="778" t="str">
        <f>IF(ISBLANK($C$19)," ",IF(N19=" "," ",IF(N19&gt;=$C$19,"ok","&lt; au secteur")))</f>
        <v xml:space="preserve"> </v>
      </c>
      <c r="O21" s="278"/>
      <c r="P21" s="778" t="str">
        <f>IF(ISBLANK($C$19)," ",IF(P19=" "," ",IF(P19&gt;=$C$19,"ok","&lt; au secteur")))</f>
        <v xml:space="preserve"> </v>
      </c>
      <c r="Q21" s="3247"/>
    </row>
    <row r="22" spans="1:18" s="275" customFormat="1" ht="3" customHeight="1" x14ac:dyDescent="0.25">
      <c r="A22" s="3246"/>
      <c r="B22" s="3152"/>
      <c r="C22" s="739"/>
      <c r="D22" s="739"/>
      <c r="E22" s="739"/>
      <c r="F22" s="739"/>
      <c r="G22" s="739"/>
      <c r="H22" s="739"/>
      <c r="I22" s="739"/>
      <c r="J22" s="739"/>
      <c r="K22" s="739"/>
      <c r="L22" s="739"/>
      <c r="M22" s="739"/>
      <c r="N22" s="739"/>
      <c r="O22" s="739"/>
      <c r="P22" s="739"/>
      <c r="Q22" s="3247"/>
    </row>
    <row r="23" spans="1:18" s="275" customFormat="1" ht="16.95" customHeight="1" x14ac:dyDescent="0.25">
      <c r="A23" s="3246"/>
      <c r="B23" s="3151"/>
      <c r="C23" s="715"/>
      <c r="D23" s="715"/>
      <c r="E23" s="37"/>
      <c r="F23" s="755" t="str">
        <f>IF(ISBLANK($C$19)," ",IF(F19=" "," ",IF(F19&gt;$C$19,"J",IF(F19&lt;$C$19,"L","K"))))</f>
        <v xml:space="preserve"> </v>
      </c>
      <c r="G23" s="276"/>
      <c r="H23" s="755" t="str">
        <f>IF(ISBLANK($C$19)," ",IF(H19=" "," ",IF(H19&gt;$C$19,"J",IF(H19&lt;$C$19,"L","K"))))</f>
        <v xml:space="preserve"> </v>
      </c>
      <c r="I23" s="277"/>
      <c r="J23" s="755" t="str">
        <f>IF(ISBLANK($C$19)," ",IF(J19=" "," ",IF(J19&gt;$C$19,"J",IF(J19&lt;$C$19,"L","K"))))</f>
        <v xml:space="preserve"> </v>
      </c>
      <c r="K23" s="276"/>
      <c r="L23" s="755" t="str">
        <f>IF(ISBLANK($C$19)," ",IF(L19=" "," ",IF(L19&gt;$C$19,"J",IF(L19&lt;$C$19,"L","K"))))</f>
        <v xml:space="preserve"> </v>
      </c>
      <c r="M23" s="363"/>
      <c r="N23" s="755" t="str">
        <f>IF(ISBLANK($C$19)," ",IF(N19=" "," ",IF(N19&gt;$C$19,"J",IF(N19&lt;$C$19,"L","K"))))</f>
        <v xml:space="preserve"> </v>
      </c>
      <c r="O23" s="364"/>
      <c r="P23" s="755" t="str">
        <f>IF(ISBLANK($C$19)," ",IF(P19=" "," ",IF(P19&gt;$C$19,"J",IF(P19&lt;$C$19,"L","K"))))</f>
        <v xml:space="preserve"> </v>
      </c>
      <c r="Q23" s="3228"/>
      <c r="R23" s="37"/>
    </row>
    <row r="24" spans="1:18" s="275" customFormat="1" ht="3" customHeight="1" x14ac:dyDescent="0.25">
      <c r="A24" s="3246"/>
      <c r="B24" s="3151"/>
      <c r="C24" s="715"/>
      <c r="D24" s="715"/>
      <c r="E24" s="37"/>
      <c r="F24" s="755"/>
      <c r="G24" s="276"/>
      <c r="H24" s="755"/>
      <c r="I24" s="277"/>
      <c r="J24" s="755"/>
      <c r="K24" s="276"/>
      <c r="L24" s="755"/>
      <c r="M24" s="363"/>
      <c r="N24" s="755"/>
      <c r="O24" s="364"/>
      <c r="P24" s="755"/>
      <c r="Q24" s="3228"/>
      <c r="R24" s="37"/>
    </row>
    <row r="25" spans="1:18" s="275" customFormat="1" ht="15" customHeight="1" x14ac:dyDescent="0.25">
      <c r="A25" s="3246"/>
      <c r="B25" s="3151"/>
      <c r="C25" s="715"/>
      <c r="D25" s="715"/>
      <c r="E25" s="37"/>
      <c r="F25" s="743"/>
      <c r="G25" s="276"/>
      <c r="H25" s="743"/>
      <c r="I25" s="277"/>
      <c r="J25" s="4351" t="str">
        <f>IF(OR(J19=" ",L19=" ",N19=" ",P19=" ")," ",IF(OR(L19&gt;(J19+5%),N19&gt;(J19+5%),N19&gt;(L19+5%),P19&gt;(J19+5%),P19&gt;(N19+5%)),"Progression du taux de marge justifiée ?"," "))</f>
        <v xml:space="preserve"> </v>
      </c>
      <c r="K25" s="3568"/>
      <c r="L25" s="3568"/>
      <c r="M25" s="3568"/>
      <c r="N25" s="3568"/>
      <c r="O25" s="3265">
        <f>IF(AND(ISBLANK(P25),J25="Progression du taux de marge justifiée ?"),1,0)</f>
        <v>0</v>
      </c>
      <c r="P25" s="3176"/>
      <c r="Q25" s="3262" t="str">
        <f>IF(O25=1,"?"," ")</f>
        <v xml:space="preserve"> </v>
      </c>
      <c r="R25" s="37"/>
    </row>
    <row r="26" spans="1:18" s="275" customFormat="1" ht="12" customHeight="1" x14ac:dyDescent="0.25">
      <c r="A26" s="3246"/>
      <c r="B26" s="3152"/>
      <c r="C26" s="739"/>
      <c r="D26" s="739"/>
      <c r="F26" s="365"/>
      <c r="G26" s="274"/>
      <c r="H26" s="365"/>
      <c r="I26" s="278"/>
      <c r="J26" s="365"/>
      <c r="K26" s="274"/>
      <c r="L26" s="365"/>
      <c r="M26" s="274"/>
      <c r="N26" s="365"/>
      <c r="O26" s="278"/>
      <c r="P26" s="365"/>
      <c r="Q26" s="3247"/>
    </row>
    <row r="27" spans="1:18" s="275" customFormat="1" ht="25.2" customHeight="1" x14ac:dyDescent="0.25">
      <c r="A27" s="3246"/>
      <c r="B27" s="3203" t="s">
        <v>1342</v>
      </c>
      <c r="C27" s="4358"/>
      <c r="D27" s="4359"/>
      <c r="E27" s="739"/>
      <c r="F27" s="3170" t="str">
        <f>IF(ISERROR('Analyse CR'!L36)," ",'Analyse CR'!L36)</f>
        <v xml:space="preserve"> </v>
      </c>
      <c r="G27" s="740"/>
      <c r="H27" s="3170" t="str">
        <f>IF(ISERROR('Analyse CR'!I36)," ",'Analyse CR'!I36)</f>
        <v xml:space="preserve"> </v>
      </c>
      <c r="I27" s="741"/>
      <c r="J27" s="3170" t="str">
        <f>IF(ISERROR('Analyse CR'!F36)," ",'Analyse CR'!F36)</f>
        <v xml:space="preserve"> </v>
      </c>
      <c r="K27" s="742"/>
      <c r="L27" s="3171" t="str">
        <f>IF(ISERROR('Cpte de résultat prévisionnel'!I32)," ",'Cpte de résultat prévisionnel'!I32)</f>
        <v xml:space="preserve"> </v>
      </c>
      <c r="M27" s="738"/>
      <c r="N27" s="3171" t="str">
        <f>IF(ISERROR('Cpte de résultat prévisionnel'!L32)," ",'Cpte de résultat prévisionnel'!L32)</f>
        <v xml:space="preserve"> </v>
      </c>
      <c r="O27" s="314"/>
      <c r="P27" s="3171" t="str">
        <f>IF(ISERROR('Cpte de résultat prévisionnel'!O32)," ",'Cpte de résultat prévisionnel'!O32)</f>
        <v xml:space="preserve"> </v>
      </c>
      <c r="Q27" s="3247"/>
    </row>
    <row r="28" spans="1:18" s="275" customFormat="1" ht="3" customHeight="1" x14ac:dyDescent="0.25">
      <c r="A28" s="3246"/>
      <c r="B28" s="3152"/>
      <c r="C28" s="739"/>
      <c r="D28" s="739"/>
      <c r="F28" s="365"/>
      <c r="G28" s="274"/>
      <c r="H28" s="365"/>
      <c r="I28" s="278"/>
      <c r="J28" s="365"/>
      <c r="K28" s="274"/>
      <c r="L28" s="365"/>
      <c r="M28" s="274"/>
      <c r="N28" s="365"/>
      <c r="O28" s="278"/>
      <c r="P28" s="365"/>
      <c r="Q28" s="3247"/>
    </row>
    <row r="29" spans="1:18" s="275" customFormat="1" ht="20.100000000000001" customHeight="1" x14ac:dyDescent="0.25">
      <c r="A29" s="3246"/>
      <c r="B29" s="3152"/>
      <c r="C29" s="739"/>
      <c r="D29" s="739"/>
      <c r="F29" s="778" t="str">
        <f>IF(ISBLANK($C$27)," ",IF(F27=" "," ",IF(F27&gt;=$C$27,"ok","&lt; au secteur")))</f>
        <v xml:space="preserve"> </v>
      </c>
      <c r="G29" s="274"/>
      <c r="H29" s="778" t="str">
        <f>IF(ISBLANK($C$27)," ",IF(H27=" "," ",IF(H27&gt;=$C$27,"ok","&lt; au secteur")))</f>
        <v xml:space="preserve"> </v>
      </c>
      <c r="I29" s="278"/>
      <c r="J29" s="778" t="str">
        <f>IF(ISBLANK($C$27)," ",IF(J27=" "," ",IF(J27&gt;=$C$27,"ok","&lt; au secteur")))</f>
        <v xml:space="preserve"> </v>
      </c>
      <c r="K29" s="274"/>
      <c r="L29" s="778" t="str">
        <f>IF(ISBLANK($C$27)," ",IF(L27=" "," ",IF(L27&gt;=$C$27,"ok","&lt; au secteur")))</f>
        <v xml:space="preserve"> </v>
      </c>
      <c r="M29" s="274"/>
      <c r="N29" s="778" t="str">
        <f>IF(ISBLANK($C$27)," ",IF(N27=" "," ",IF(N27&gt;=$C$27,"ok","&lt; au secteur")))</f>
        <v xml:space="preserve"> </v>
      </c>
      <c r="O29" s="278"/>
      <c r="P29" s="778" t="str">
        <f>IF(ISBLANK($C$27)," ",IF(P27=" "," ",IF(P27&gt;=$C$27,"ok","&lt; au secteur")))</f>
        <v xml:space="preserve"> </v>
      </c>
      <c r="Q29" s="3247"/>
    </row>
    <row r="30" spans="1:18" s="275" customFormat="1" ht="3" customHeight="1" x14ac:dyDescent="0.25">
      <c r="A30" s="3246"/>
      <c r="B30" s="3152"/>
      <c r="C30" s="739"/>
      <c r="D30" s="739"/>
      <c r="E30" s="739"/>
      <c r="F30" s="739"/>
      <c r="G30" s="739"/>
      <c r="H30" s="739"/>
      <c r="I30" s="739"/>
      <c r="J30" s="739"/>
      <c r="K30" s="739"/>
      <c r="L30" s="739"/>
      <c r="M30" s="739"/>
      <c r="N30" s="739"/>
      <c r="O30" s="739"/>
      <c r="P30" s="739"/>
      <c r="Q30" s="3247"/>
    </row>
    <row r="31" spans="1:18" s="37" customFormat="1" ht="16.95" customHeight="1" x14ac:dyDescent="0.25">
      <c r="A31" s="3227"/>
      <c r="B31" s="3151"/>
      <c r="C31" s="715"/>
      <c r="D31" s="715"/>
      <c r="F31" s="755" t="str">
        <f>IF(ISBLANK($C$27)," ",IF(F27=" "," ",IF(F27&gt;$C$27,"J",IF(F27&lt;$C$27,"L","K"))))</f>
        <v xml:space="preserve"> </v>
      </c>
      <c r="G31" s="744"/>
      <c r="H31" s="755" t="str">
        <f>IF(ISBLANK($C$27)," ",IF(H27=" "," ",IF(H27&gt;$C$27,"J",IF(H27&lt;$C$27,"L","K"))))</f>
        <v xml:space="preserve"> </v>
      </c>
      <c r="I31" s="745"/>
      <c r="J31" s="755" t="str">
        <f>IF(ISBLANK($C$27)," ",IF(J27=" "," ",IF(J27&gt;$C$27,"J",IF(J27&lt;$C$27,"L","K"))))</f>
        <v xml:space="preserve"> </v>
      </c>
      <c r="K31" s="744"/>
      <c r="L31" s="755" t="str">
        <f>IF(ISBLANK($C$27)," ",IF(L27=" "," ",IF(L27&gt;$C$27,"J",IF(L27&lt;$C$27,"L","K"))))</f>
        <v xml:space="preserve"> </v>
      </c>
      <c r="M31" s="744"/>
      <c r="N31" s="755" t="str">
        <f>IF(ISBLANK($C$27)," ",IF(N27=" "," ",IF(N27&gt;$C$27,"J",IF(N27&lt;$C$27,"L","K"))))</f>
        <v xml:space="preserve"> </v>
      </c>
      <c r="O31" s="745"/>
      <c r="P31" s="755" t="str">
        <f>IF(ISBLANK($C$27)," ",IF(P27=" "," ",IF(P27&gt;$C$27,"J",IF(P27&lt;$C$27,"L","K"))))</f>
        <v xml:space="preserve"> </v>
      </c>
      <c r="Q31" s="3228"/>
    </row>
    <row r="32" spans="1:18" s="37" customFormat="1" ht="3" customHeight="1" x14ac:dyDescent="0.25">
      <c r="A32" s="3227"/>
      <c r="B32" s="3151"/>
      <c r="C32" s="715"/>
      <c r="D32" s="715"/>
      <c r="F32" s="755"/>
      <c r="G32" s="744"/>
      <c r="H32" s="755"/>
      <c r="I32" s="745"/>
      <c r="J32" s="755"/>
      <c r="K32" s="744"/>
      <c r="L32" s="755"/>
      <c r="M32" s="744"/>
      <c r="N32" s="755"/>
      <c r="O32" s="745"/>
      <c r="P32" s="755"/>
      <c r="Q32" s="3228"/>
    </row>
    <row r="33" spans="1:17" s="37" customFormat="1" ht="15" customHeight="1" x14ac:dyDescent="0.25">
      <c r="A33" s="3227"/>
      <c r="B33" s="3151"/>
      <c r="C33" s="715"/>
      <c r="D33" s="715"/>
      <c r="F33" s="743"/>
      <c r="G33" s="744"/>
      <c r="H33" s="743"/>
      <c r="I33" s="745"/>
      <c r="J33" s="4351" t="str">
        <f>IF(OR(J27=" ",L27=" ",N27=" ",P27=" ")," ",IF(OR(L27&gt;(J27+5%),N27&gt;(J27+5%),N27&gt;(L27+5%),P27&gt;(J27+5%),P27&gt;(N27+5%)),"Progression du taux de marge justifiée ?"," "))</f>
        <v xml:space="preserve"> </v>
      </c>
      <c r="K33" s="3568"/>
      <c r="L33" s="3568"/>
      <c r="M33" s="3568"/>
      <c r="N33" s="3568"/>
      <c r="O33" s="3265">
        <f>IF(AND(ISBLANK(P33),J33="Progression du taux de marge justifiée ?"),1,0)</f>
        <v>0</v>
      </c>
      <c r="P33" s="3176"/>
      <c r="Q33" s="3262" t="str">
        <f>IF(O33=1,"?"," ")</f>
        <v xml:space="preserve"> </v>
      </c>
    </row>
    <row r="34" spans="1:17" s="275" customFormat="1" ht="15" customHeight="1" x14ac:dyDescent="0.25">
      <c r="A34" s="3246"/>
      <c r="B34" s="3152"/>
      <c r="C34" s="4339" t="s">
        <v>483</v>
      </c>
      <c r="D34" s="4340"/>
      <c r="F34" s="938">
        <f>D38</f>
        <v>0.8</v>
      </c>
      <c r="G34" s="3158"/>
      <c r="H34" s="938">
        <f>D38</f>
        <v>0.8</v>
      </c>
      <c r="I34" s="3159"/>
      <c r="J34" s="938">
        <f>D38</f>
        <v>0.8</v>
      </c>
      <c r="K34" s="3158"/>
      <c r="L34" s="938">
        <f>D38</f>
        <v>0.8</v>
      </c>
      <c r="M34" s="3158"/>
      <c r="N34" s="938">
        <f>D38</f>
        <v>0.8</v>
      </c>
      <c r="O34" s="3159"/>
      <c r="P34" s="938">
        <f>D38</f>
        <v>0.8</v>
      </c>
      <c r="Q34" s="3247"/>
    </row>
    <row r="35" spans="1:17" ht="20.100000000000001" customHeight="1" x14ac:dyDescent="0.3">
      <c r="A35" s="3241"/>
      <c r="B35" s="4375" t="s">
        <v>1343</v>
      </c>
      <c r="C35" s="4381" t="s">
        <v>176</v>
      </c>
      <c r="D35" s="4382"/>
      <c r="E35" s="1753"/>
      <c r="F35" s="1751">
        <f>IF(ISERROR(va_3)," ",va_3)</f>
        <v>0</v>
      </c>
      <c r="H35" s="1751">
        <f>IF(ISERROR(va_2)," ",va_2)</f>
        <v>0</v>
      </c>
      <c r="J35" s="1751">
        <f>IF(ISERROR(va_1)," ",va_1)</f>
        <v>0</v>
      </c>
      <c r="L35" s="1752">
        <f>IF(ISERROR('Cpte de résultat prévisionnel'!H40)," ",'Cpte de résultat prévisionnel'!H40)</f>
        <v>0</v>
      </c>
      <c r="M35" s="284"/>
      <c r="N35" s="1752">
        <f>IF(ISERROR('Cpte de résultat prévisionnel'!K40)," ",'Cpte de résultat prévisionnel'!K40)</f>
        <v>0</v>
      </c>
      <c r="O35" s="284"/>
      <c r="P35" s="1752">
        <f>IF(ISERROR('Cpte de résultat prévisionnel'!N40)," ",'Cpte de résultat prévisionnel'!N40)</f>
        <v>0</v>
      </c>
      <c r="Q35" s="1556"/>
    </row>
    <row r="36" spans="1:17" s="183" customFormat="1" ht="20.100000000000001" customHeight="1" x14ac:dyDescent="0.25">
      <c r="A36" s="3244"/>
      <c r="B36" s="4376"/>
      <c r="C36" s="4352"/>
      <c r="D36" s="4353"/>
      <c r="F36" s="3156" t="str">
        <f>IF(ca_3=0," ",F35/pr_3)</f>
        <v xml:space="preserve"> </v>
      </c>
      <c r="G36" s="276"/>
      <c r="H36" s="3156" t="str">
        <f>IF(ca_2=0," ",H35/pr_2)</f>
        <v xml:space="preserve"> </v>
      </c>
      <c r="I36" s="277"/>
      <c r="J36" s="3156" t="str">
        <f>IF(ca_1=0," ",J35/pr_1)</f>
        <v xml:space="preserve"> </v>
      </c>
      <c r="K36" s="274"/>
      <c r="L36" s="3157" t="str">
        <f>IF(ISERROR(L35/pr_5)," ",L35/pr_5)</f>
        <v xml:space="preserve"> </v>
      </c>
      <c r="M36" s="279"/>
      <c r="N36" s="3157" t="str">
        <f>IF(ISERROR(N35/pr_6)," ",N35/pr_6)</f>
        <v xml:space="preserve"> </v>
      </c>
      <c r="O36" s="280"/>
      <c r="P36" s="3157" t="str">
        <f>IF(ISERROR(P35/pr_7)," ",P35/pr_7)</f>
        <v xml:space="preserve"> </v>
      </c>
      <c r="Q36" s="3245"/>
    </row>
    <row r="37" spans="1:17" ht="6" customHeight="1" x14ac:dyDescent="0.3">
      <c r="A37" s="3241"/>
      <c r="Q37" s="1556"/>
    </row>
    <row r="38" spans="1:17" ht="25.05" customHeight="1" x14ac:dyDescent="0.3">
      <c r="A38" s="3241"/>
      <c r="B38" s="3268" t="s">
        <v>1344</v>
      </c>
      <c r="C38" s="3269" t="s">
        <v>672</v>
      </c>
      <c r="D38" s="3270">
        <f>IF(activité="Production de biens",75%,80%)</f>
        <v>0.8</v>
      </c>
      <c r="F38" s="3271">
        <f>IF(ISERROR(p_3/va_3),0,p_3/va_3)</f>
        <v>0</v>
      </c>
      <c r="H38" s="3271">
        <f>IF(ISERROR(p_2/va_2),0,p_2/va_2)</f>
        <v>0</v>
      </c>
      <c r="J38" s="3271">
        <f>IF(ISERROR(p_1/va_1),0,p_1/va_1)</f>
        <v>0</v>
      </c>
      <c r="L38" s="3272">
        <f>IF(ISERROR(p_5/va_5),0,p_5/va_5)</f>
        <v>0</v>
      </c>
      <c r="M38" s="284"/>
      <c r="N38" s="3272">
        <f>IF(ISERROR(p_6/va_6),0,p_6/va_6)</f>
        <v>0</v>
      </c>
      <c r="O38" s="284"/>
      <c r="P38" s="3272">
        <f>IF(ISERROR(p_7/va_7),0,p_7/va_7)</f>
        <v>0</v>
      </c>
      <c r="Q38" s="1556"/>
    </row>
    <row r="39" spans="1:17" ht="3" customHeight="1" x14ac:dyDescent="0.3">
      <c r="A39" s="3241"/>
      <c r="B39" s="38"/>
      <c r="F39" s="661">
        <f>F38</f>
        <v>0</v>
      </c>
      <c r="G39" s="662"/>
      <c r="H39" s="661">
        <f>H38</f>
        <v>0</v>
      </c>
      <c r="I39" s="662"/>
      <c r="J39" s="661">
        <f>J38</f>
        <v>0</v>
      </c>
      <c r="K39" s="662"/>
      <c r="L39" s="661">
        <f>L38</f>
        <v>0</v>
      </c>
      <c r="M39" s="662"/>
      <c r="N39" s="661">
        <f>N38</f>
        <v>0</v>
      </c>
      <c r="O39" s="662"/>
      <c r="P39" s="661">
        <f>P38</f>
        <v>0</v>
      </c>
      <c r="Q39" s="1556"/>
    </row>
    <row r="40" spans="1:17" s="37" customFormat="1" ht="16.95" customHeight="1" x14ac:dyDescent="0.25">
      <c r="A40" s="3227"/>
      <c r="B40" s="3151"/>
      <c r="C40" s="715"/>
      <c r="D40" s="718"/>
      <c r="F40" s="755" t="str">
        <f>IF(ca_3=0," ",IF(F38=" "," ",IF(F35&lt;0,"L",IF(F38&lt;$D$38,"J",IF(F38&gt;$D$38,"L","K")))))</f>
        <v xml:space="preserve"> </v>
      </c>
      <c r="G40" s="744"/>
      <c r="H40" s="755" t="str">
        <f>IF(ca_2=0," ",IF(H38=" "," ",IF(H35&lt;0,"L",IF(H38&lt;$D$38,"J",IF(H38&gt;$D$38,"L","K")))))</f>
        <v xml:space="preserve"> </v>
      </c>
      <c r="I40" s="745"/>
      <c r="J40" s="755" t="str">
        <f>IF(ca_1=0," ",IF(J38=" "," ",IF(J35&lt;0,"L",IF(J38&lt;$D$38,"J",IF(J38&gt;$D$38,"L","K")))))</f>
        <v xml:space="preserve"> </v>
      </c>
      <c r="K40" s="744"/>
      <c r="L40" s="755" t="str">
        <f>IF(ca_5=0," ",IF(L38=" "," ",IF(L35&lt;0,"L",IF(L38&lt;$D$38,"J",IF(L38&gt;$D$38,"L","K")))))</f>
        <v xml:space="preserve"> </v>
      </c>
      <c r="M40" s="744"/>
      <c r="N40" s="755" t="str">
        <f>IF(ca_6=0," ",IF(N38=" "," ",IF(N35&lt;0,"L",IF(N38&lt;$D$38,"J",IF(N38&gt;$D$38,"L","K")))))</f>
        <v xml:space="preserve"> </v>
      </c>
      <c r="O40" s="745"/>
      <c r="P40" s="755" t="str">
        <f>IF(ca_7=0," ",IF(P38=" "," ",IF(P35&lt;0,"L",IF(P38&lt;$D$38,"J",IF(P38&gt;$D$38,"L","K")))))</f>
        <v xml:space="preserve"> </v>
      </c>
      <c r="Q40" s="3228"/>
    </row>
    <row r="41" spans="1:17" s="37" customFormat="1" ht="3" customHeight="1" x14ac:dyDescent="0.25">
      <c r="A41" s="3227"/>
      <c r="B41" s="3151"/>
      <c r="C41" s="715"/>
      <c r="D41" s="718"/>
      <c r="F41" s="755"/>
      <c r="G41" s="744"/>
      <c r="H41" s="755"/>
      <c r="I41" s="745"/>
      <c r="J41" s="755"/>
      <c r="K41" s="744"/>
      <c r="L41" s="755"/>
      <c r="M41" s="744"/>
      <c r="N41" s="755"/>
      <c r="O41" s="745"/>
      <c r="P41" s="755"/>
      <c r="Q41" s="3228"/>
    </row>
    <row r="42" spans="1:17" s="11" customFormat="1" ht="20.100000000000001" customHeight="1" x14ac:dyDescent="0.3">
      <c r="A42" s="3249"/>
      <c r="B42" s="3153"/>
      <c r="C42" s="746"/>
      <c r="F42" s="3147" t="str">
        <f>IF(F38=" "," ",IF(F35&lt;0,"VA négative !",IF(F38&lt;=75%," ",IF(F38&lt;=80%,"Mauvais","Très mauvais"))))</f>
        <v xml:space="preserve"> </v>
      </c>
      <c r="G42" s="269"/>
      <c r="H42" s="3147" t="str">
        <f>IF(H38=" "," ",IF(H35&lt;0,"VA négative !",IF(H38&lt;=75%," ",IF(H38&lt;=80%,"Mauvais","Très mauvais"))))</f>
        <v xml:space="preserve"> </v>
      </c>
      <c r="I42" s="269"/>
      <c r="J42" s="3147" t="str">
        <f>IF(J38=" "," ",IF(J35&lt;0,"VA négative !",IF(J38&lt;=75%," ",IF(J38&lt;=80%,"Mauvais","Très mauvais"))))</f>
        <v xml:space="preserve"> </v>
      </c>
      <c r="K42" s="269"/>
      <c r="L42" s="3147" t="str">
        <f>IF(L38=" "," ",IF(L35&lt;0,"VA négative !",IF(L38&lt;=75%," ",IF(L38&lt;=80%,"Mauvais","Très mauvais"))))</f>
        <v xml:space="preserve"> </v>
      </c>
      <c r="M42" s="269"/>
      <c r="N42" s="3147" t="str">
        <f>IF(N38=" "," ",IF(N35&lt;0,"VA négative !",IF(N38&lt;=75%," ",IF(N38&lt;=80%,"Mauvais","Très mauvais"))))</f>
        <v xml:space="preserve"> </v>
      </c>
      <c r="O42" s="269"/>
      <c r="P42" s="3147" t="str">
        <f>IF(P38=" "," ",IF(P35&lt;0,"VA négative !",IF(P38&lt;=75%," ",IF(P38&lt;=80%,"Mauvais","Très mauvais"))))</f>
        <v xml:space="preserve"> </v>
      </c>
      <c r="Q42" s="3250"/>
    </row>
    <row r="43" spans="1:17" ht="12" customHeight="1" x14ac:dyDescent="0.3">
      <c r="A43" s="3241"/>
      <c r="B43" s="38"/>
      <c r="C43" s="4339" t="s">
        <v>483</v>
      </c>
      <c r="D43" s="4340"/>
      <c r="F43" s="660">
        <f>IF(ca_3=0,0,1)</f>
        <v>0</v>
      </c>
      <c r="G43" s="777"/>
      <c r="H43" s="660">
        <f>IF(ca_2=0,0,1)</f>
        <v>0</v>
      </c>
      <c r="I43" s="777"/>
      <c r="J43" s="660">
        <f>IF(ca_1=0,0,1)</f>
        <v>0</v>
      </c>
      <c r="K43" s="777"/>
      <c r="L43" s="660">
        <f>IF(ca_5=0,0,1)</f>
        <v>0</v>
      </c>
      <c r="M43" s="777"/>
      <c r="N43" s="660">
        <f>IF(ca_6=0,0,1)</f>
        <v>0</v>
      </c>
      <c r="O43" s="777"/>
      <c r="P43" s="660">
        <f>IF(ca_7=0,0,1)</f>
        <v>0</v>
      </c>
      <c r="Q43" s="1556"/>
    </row>
    <row r="44" spans="1:17" ht="20.100000000000001" customHeight="1" x14ac:dyDescent="0.3">
      <c r="A44" s="3241"/>
      <c r="B44" s="4375" t="s">
        <v>1345</v>
      </c>
      <c r="C44" s="4377" t="s">
        <v>176</v>
      </c>
      <c r="D44" s="4378"/>
      <c r="F44" s="1754" t="str">
        <f>IF(ISERROR(IF(ca_3=0," ",ebe_3))," ",IF(ca_3=0," ",ebe_3))</f>
        <v xml:space="preserve"> </v>
      </c>
      <c r="H44" s="1754" t="str">
        <f>IF(ISERROR(IF(ca_2=0," ",ebe_2))," ",IF(ca_2=0," ",ebe_2))</f>
        <v xml:space="preserve"> </v>
      </c>
      <c r="J44" s="1754" t="str">
        <f>IF(ISERROR(IF(ca_1=0," ",ebe_1))," ",IF(ca_1=0," ",ebe_1))</f>
        <v xml:space="preserve"> </v>
      </c>
      <c r="L44" s="1755" t="str">
        <f>IF(ISERROR(IF(ca_5=0," ",ebe_5))," ",IF(ca_5=0," ",ebe_5))</f>
        <v xml:space="preserve"> </v>
      </c>
      <c r="M44" s="284"/>
      <c r="N44" s="1755" t="str">
        <f>IF(ISERROR(IF(ca_6=0," ",ebe_6))," ",IF(ca_6=0," ",ebe_6))</f>
        <v xml:space="preserve"> </v>
      </c>
      <c r="O44" s="284"/>
      <c r="P44" s="1755" t="str">
        <f>IF(ISERROR(IF(ca_7=0," ",ebe_7))," ",IF(ca_7=0," ",ebe_7))</f>
        <v xml:space="preserve"> </v>
      </c>
      <c r="Q44" s="1556"/>
    </row>
    <row r="45" spans="1:17" ht="20.100000000000001" customHeight="1" x14ac:dyDescent="0.3">
      <c r="A45" s="3241"/>
      <c r="B45" s="4376"/>
      <c r="C45" s="4356"/>
      <c r="D45" s="4357"/>
      <c r="F45" s="3156" t="str">
        <f>IF(ca_3=0," ",F44/pr_3)</f>
        <v xml:space="preserve"> </v>
      </c>
      <c r="G45" s="285"/>
      <c r="H45" s="3156" t="str">
        <f>IF(ca_2=0," ",H44/pr_2)</f>
        <v xml:space="preserve"> </v>
      </c>
      <c r="I45" s="286"/>
      <c r="J45" s="3156" t="str">
        <f>IF(ca_1=0," ",J44/pr_1)</f>
        <v xml:space="preserve"> </v>
      </c>
      <c r="K45" s="285"/>
      <c r="L45" s="3157" t="str">
        <f>IF(ISERROR(L44/pr_5)," ",L44/pr_5)</f>
        <v xml:space="preserve"> </v>
      </c>
      <c r="M45" s="287"/>
      <c r="N45" s="3157" t="str">
        <f>IF(ISERROR(N44/pr_6)," ",N44/pr_6)</f>
        <v xml:space="preserve"> </v>
      </c>
      <c r="O45" s="288"/>
      <c r="P45" s="3157" t="str">
        <f>IF(ISERROR(P44/pr_7)," ",P44/pr_7)</f>
        <v xml:space="preserve"> </v>
      </c>
      <c r="Q45" s="1556"/>
    </row>
    <row r="46" spans="1:17" s="11" customFormat="1" ht="3" customHeight="1" x14ac:dyDescent="0.25">
      <c r="A46" s="3249"/>
      <c r="B46" s="3153"/>
      <c r="C46" s="746"/>
      <c r="D46" s="746"/>
      <c r="F46" s="289"/>
      <c r="G46" s="276"/>
      <c r="H46" s="289"/>
      <c r="I46" s="277"/>
      <c r="J46" s="289"/>
      <c r="K46" s="276"/>
      <c r="L46" s="289"/>
      <c r="M46" s="276"/>
      <c r="N46" s="289"/>
      <c r="O46" s="277"/>
      <c r="P46" s="289"/>
      <c r="Q46" s="3250"/>
    </row>
    <row r="47" spans="1:17" s="11" customFormat="1" ht="19.95" customHeight="1" x14ac:dyDescent="0.25">
      <c r="A47" s="3249"/>
      <c r="B47" s="3153"/>
      <c r="C47" s="746"/>
      <c r="D47" s="746"/>
      <c r="F47" s="3143" t="str">
        <f>IF(F45=" "," ",IF(F45&lt;0%,"Critique !",IF(F45&lt;7%,"Médiocre",IF(F45&lt;15%,"Moyen",IF(F45&lt;35%,"Bon","Excellent")))))</f>
        <v xml:space="preserve"> </v>
      </c>
      <c r="G47" s="285"/>
      <c r="H47" s="3143" t="str">
        <f>IF(H45=" "," ",IF(H45&lt;0%,"Critique !",IF(H45&lt;7%,"Médiocre",IF(H45&lt;15%,"Moyen",IF(H45&lt;35%,"Bon","Excellent")))))</f>
        <v xml:space="preserve"> </v>
      </c>
      <c r="I47" s="286"/>
      <c r="J47" s="3143" t="str">
        <f>IF(J45=" "," ",IF(J45&lt;0%,"Critique !",IF(J45&lt;7%,"Médiocre",IF(J45&lt;15%,"Moyen",IF(J45&lt;35%,"Bon","Excellent")))))</f>
        <v xml:space="preserve"> </v>
      </c>
      <c r="K47" s="285"/>
      <c r="L47" s="3143" t="str">
        <f>IF(L45=" "," ",IF(L45&lt;0%,"Critique !",IF(L45&lt;7%,"Médiocre",IF(L45&lt;15%,"Moyen",IF(L45&lt;35%,"Bon","Excellent")))))</f>
        <v xml:space="preserve"> </v>
      </c>
      <c r="M47" s="285"/>
      <c r="N47" s="3143" t="str">
        <f>IF(N45=" "," ",IF(N45&lt;0%,"Critique !",IF(N45&lt;7%,"Médiocre",IF(N45&lt;15%,"Moyen",IF(N45&lt;35%,"Bon","Excellent")))))</f>
        <v xml:space="preserve"> </v>
      </c>
      <c r="O47" s="286"/>
      <c r="P47" s="3143" t="str">
        <f>IF(P45=" "," ",IF(P45&lt;0%,"Critique !",IF(P45&lt;7%,"Médiocre",IF(P45&lt;15%,"Moyen",IF(P45&lt;35%,"Bon","Excellent")))))</f>
        <v xml:space="preserve"> </v>
      </c>
      <c r="Q47" s="3250"/>
    </row>
    <row r="48" spans="1:17" s="11" customFormat="1" ht="3" customHeight="1" x14ac:dyDescent="0.25">
      <c r="A48" s="3249"/>
      <c r="B48" s="3153"/>
      <c r="C48" s="746"/>
      <c r="D48" s="746"/>
      <c r="E48" s="746"/>
      <c r="F48" s="746"/>
      <c r="G48" s="746"/>
      <c r="H48" s="746"/>
      <c r="I48" s="746"/>
      <c r="J48" s="746"/>
      <c r="K48" s="746"/>
      <c r="L48" s="746"/>
      <c r="M48" s="746"/>
      <c r="N48" s="746"/>
      <c r="O48" s="746"/>
      <c r="P48" s="746"/>
      <c r="Q48" s="3250"/>
    </row>
    <row r="49" spans="1:23" s="11" customFormat="1" ht="20.100000000000001" customHeight="1" x14ac:dyDescent="0.25">
      <c r="A49" s="3249"/>
      <c r="B49" s="3153"/>
      <c r="C49" s="746"/>
      <c r="D49" s="746"/>
      <c r="F49" s="755" t="str">
        <f>IF(F44&lt;0,"L"," ")</f>
        <v xml:space="preserve"> </v>
      </c>
      <c r="G49" s="276"/>
      <c r="H49" s="755" t="str">
        <f>IF(H44&lt;0,"L"," ")</f>
        <v xml:space="preserve"> </v>
      </c>
      <c r="I49" s="277"/>
      <c r="J49" s="755" t="str">
        <f>IF(J44&lt;0,"L"," ")</f>
        <v xml:space="preserve"> </v>
      </c>
      <c r="K49" s="276"/>
      <c r="L49" s="755" t="str">
        <f>IF(L44&lt;0,"L"," ")</f>
        <v xml:space="preserve"> </v>
      </c>
      <c r="M49" s="274"/>
      <c r="N49" s="755" t="str">
        <f>IF(N44&lt;0,"L"," ")</f>
        <v xml:space="preserve"> </v>
      </c>
      <c r="O49" s="278"/>
      <c r="P49" s="755" t="str">
        <f>IF(P44&lt;0,"L"," ")</f>
        <v xml:space="preserve"> </v>
      </c>
      <c r="Q49" s="3250"/>
    </row>
    <row r="50" spans="1:23" s="11" customFormat="1" ht="12" customHeight="1" x14ac:dyDescent="0.3">
      <c r="A50" s="3249"/>
      <c r="B50" s="3153"/>
      <c r="C50" s="746"/>
      <c r="D50" s="746"/>
      <c r="F50" s="660">
        <f>IF(ca_3=0,0,1)</f>
        <v>0</v>
      </c>
      <c r="G50" s="777"/>
      <c r="H50" s="660">
        <f>IF(ca_2=0,0,1)</f>
        <v>0</v>
      </c>
      <c r="I50" s="777"/>
      <c r="J50" s="660">
        <f>IF(ca_1=0,0,1)</f>
        <v>0</v>
      </c>
      <c r="K50" s="777"/>
      <c r="L50" s="660">
        <f>IF(ca_5=0,0,1)</f>
        <v>0</v>
      </c>
      <c r="M50" s="777"/>
      <c r="N50" s="660">
        <f>IF(ca_6=0,0,1)</f>
        <v>0</v>
      </c>
      <c r="O50" s="777"/>
      <c r="P50" s="660">
        <f>IF(ca_7=0,0,1)</f>
        <v>0</v>
      </c>
      <c r="Q50" s="3250"/>
    </row>
    <row r="51" spans="1:23" ht="20.100000000000001" customHeight="1" x14ac:dyDescent="0.3">
      <c r="A51" s="3241"/>
      <c r="B51" s="4375" t="s">
        <v>1349</v>
      </c>
      <c r="C51" s="4377" t="s">
        <v>176</v>
      </c>
      <c r="D51" s="4378"/>
      <c r="F51" s="1754">
        <f>IF(ISERROR(re_3)," ",re_3)</f>
        <v>0</v>
      </c>
      <c r="H51" s="1754">
        <f>IF(ISERROR(re_2)," ",re_2)</f>
        <v>0</v>
      </c>
      <c r="J51" s="1754">
        <f>IF(ISERROR(re_1)," ",re_1)</f>
        <v>0</v>
      </c>
      <c r="L51" s="1755">
        <f>IF(ISERROR('Cpte de résultat prévisionnel'!H57)," ",'Cpte de résultat prévisionnel'!H57)</f>
        <v>0</v>
      </c>
      <c r="M51" s="284"/>
      <c r="N51" s="1755">
        <f>IF(ISERROR('Cpte de résultat prévisionnel'!K57)," ",'Cpte de résultat prévisionnel'!K57)</f>
        <v>0</v>
      </c>
      <c r="O51" s="284"/>
      <c r="P51" s="1755">
        <f>IF(ISERROR('Cpte de résultat prévisionnel'!N57)," ",'Cpte de résultat prévisionnel'!N57)</f>
        <v>0</v>
      </c>
      <c r="Q51" s="1556"/>
    </row>
    <row r="52" spans="1:23" s="2" customFormat="1" ht="20.100000000000001" customHeight="1" x14ac:dyDescent="0.3">
      <c r="A52" s="3251"/>
      <c r="B52" s="4376"/>
      <c r="C52" s="4356"/>
      <c r="D52" s="4357"/>
      <c r="F52" s="3156" t="str">
        <f>IF(ca_3=0," ",F51/pr_3)</f>
        <v xml:space="preserve"> </v>
      </c>
      <c r="G52" s="285"/>
      <c r="H52" s="3156" t="str">
        <f>IF(ca_2=0," ",H51/pr_2)</f>
        <v xml:space="preserve"> </v>
      </c>
      <c r="I52" s="286"/>
      <c r="J52" s="3156" t="str">
        <f>IF(ca_1=0," ",J51/pr_1)</f>
        <v xml:space="preserve"> </v>
      </c>
      <c r="K52" s="914"/>
      <c r="L52" s="3157" t="str">
        <f>IF(ISERROR(L51/pr_5)," ",L51/pr_5)</f>
        <v xml:space="preserve"> </v>
      </c>
      <c r="M52" s="287"/>
      <c r="N52" s="3157" t="str">
        <f>IF(ISERROR(N51/pr_6)," ",N51/pr_6)</f>
        <v xml:space="preserve"> </v>
      </c>
      <c r="O52" s="288"/>
      <c r="P52" s="3157" t="str">
        <f>IF(ISERROR(P51/pr_7)," ",P51/pr_7)</f>
        <v xml:space="preserve"> </v>
      </c>
      <c r="Q52" s="3252"/>
    </row>
    <row r="53" spans="1:23" s="183" customFormat="1" ht="3" customHeight="1" x14ac:dyDescent="0.3">
      <c r="A53" s="3244"/>
      <c r="B53" s="3154"/>
      <c r="C53" s="747"/>
      <c r="D53" s="747"/>
      <c r="F53" s="289"/>
      <c r="G53" s="276"/>
      <c r="H53" s="289"/>
      <c r="I53" s="277"/>
      <c r="J53" s="289"/>
      <c r="K53" s="216"/>
      <c r="L53" s="289"/>
      <c r="M53" s="276"/>
      <c r="N53" s="289"/>
      <c r="O53" s="277"/>
      <c r="P53" s="289"/>
      <c r="Q53" s="3245"/>
      <c r="W53" s="2"/>
    </row>
    <row r="54" spans="1:23" s="183" customFormat="1" ht="20.100000000000001" customHeight="1" x14ac:dyDescent="0.3">
      <c r="A54" s="3244"/>
      <c r="B54" s="3154"/>
      <c r="C54" s="747"/>
      <c r="D54" s="747"/>
      <c r="F54" s="3144" t="str">
        <f>IF(F52=" "," ",IF(F52&lt;-10%,"Très mauvais",IF(F52&lt;0%,"Mauvais",IF(F52&lt;5%,"Médiocre",IF(F52&lt;10%,"Moyen",IF(F52&lt;25%,"Bon","Excellent"))))))</f>
        <v xml:space="preserve"> </v>
      </c>
      <c r="G54" s="663"/>
      <c r="H54" s="3144" t="str">
        <f>IF(H52=" "," ",IF(H52&lt;-10%,"Très mauvais",IF(H52&lt;0%,"Mauvais",IF(H52&lt;5%,"Médiocre",IF(H52&lt;10%,"Moyen",IF(H52&lt;25%,"Bon","Excellent"))))))</f>
        <v xml:space="preserve"> </v>
      </c>
      <c r="I54" s="246"/>
      <c r="J54" s="3144" t="str">
        <f>IF(J52=" "," ",IF(J52&lt;-10%,"Très mauvais",IF(J52&lt;0%,"Mauvais",IF(J52&lt;5%,"Médiocre",IF(J52&lt;10%,"Moyen",IF(J52&lt;25%,"Bon","Excellent"))))))</f>
        <v xml:space="preserve"> </v>
      </c>
      <c r="K54" s="914"/>
      <c r="L54" s="3144" t="str">
        <f>IF(L52=" "," ",IF(L52&lt;-10%,"Très mauvais",IF(L52&lt;0%,"Mauvais",IF(L52&lt;5%,"Médiocre",IF(L52&lt;10%,"Moyen",IF(L52&lt;25%,"Bon","Excellent"))))))</f>
        <v xml:space="preserve"> </v>
      </c>
      <c r="M54" s="663"/>
      <c r="N54" s="3144" t="str">
        <f>IF(N52=" "," ",IF(N52&lt;-10%,"Très mauvais",IF(N52&lt;0%,"Mauvais",IF(N52&lt;5%,"Médiocre",IF(N52&lt;10%,"Moyen",IF(N52&lt;25%,"Bon","Excellent"))))))</f>
        <v xml:space="preserve"> </v>
      </c>
      <c r="O54" s="246"/>
      <c r="P54" s="3144" t="str">
        <f>IF(P52=" "," ",IF(P52&lt;-10%,"Très mauvais",IF(P52&lt;0%,"Mauvais",IF(P52&lt;5%,"Médiocre",IF(P52&lt;10%,"Moyen",IF(P52&lt;25%,"Bon","Excellent"))))))</f>
        <v xml:space="preserve"> </v>
      </c>
      <c r="Q54" s="3245"/>
      <c r="W54" s="2"/>
    </row>
    <row r="55" spans="1:23" ht="12" customHeight="1" x14ac:dyDescent="0.3">
      <c r="A55" s="3241"/>
      <c r="B55" s="38"/>
      <c r="F55" s="660">
        <f>IF(ca_3=0,0,1)</f>
        <v>0</v>
      </c>
      <c r="G55" s="777"/>
      <c r="H55" s="660">
        <f>IF(ca_2=0,0,1)</f>
        <v>0</v>
      </c>
      <c r="I55" s="777"/>
      <c r="J55" s="660">
        <f>IF(ca_1=0,0,1)</f>
        <v>0</v>
      </c>
      <c r="K55" s="777"/>
      <c r="L55" s="660">
        <f>IF(ca_5=0,0,1)</f>
        <v>0</v>
      </c>
      <c r="M55" s="777"/>
      <c r="N55" s="660">
        <f>IF(ca_6=0,0,1)</f>
        <v>0</v>
      </c>
      <c r="O55" s="777"/>
      <c r="P55" s="660">
        <f>IF(ca_7=0,0,1)</f>
        <v>0</v>
      </c>
      <c r="Q55" s="1556"/>
    </row>
    <row r="56" spans="1:23" ht="20.100000000000001" customHeight="1" x14ac:dyDescent="0.3">
      <c r="A56" s="3241"/>
      <c r="B56" s="4375" t="s">
        <v>1346</v>
      </c>
      <c r="C56" s="4383" t="s">
        <v>176</v>
      </c>
      <c r="D56" s="4384"/>
      <c r="F56" s="1754">
        <f>IF(ISERROR(rc_3)," ",rc_3)</f>
        <v>0</v>
      </c>
      <c r="H56" s="1754">
        <f>IF(ISERROR(rc_2)," ",rc_2)</f>
        <v>0</v>
      </c>
      <c r="J56" s="1754">
        <f>IF(ISERROR(rc_1)," ",rc_1)</f>
        <v>0</v>
      </c>
      <c r="L56" s="1755">
        <f>IF(ISERROR('Cpte de résultat prévisionnel'!H68)," ",'Cpte de résultat prévisionnel'!H68)</f>
        <v>0</v>
      </c>
      <c r="N56" s="1755">
        <f>IF(ISERROR('Cpte de résultat prévisionnel'!K68)," ",'Cpte de résultat prévisionnel'!K68)</f>
        <v>0</v>
      </c>
      <c r="P56" s="1755">
        <f>IF(ISERROR('Cpte de résultat prévisionnel'!N68)," ",'Cpte de résultat prévisionnel'!N68)</f>
        <v>0</v>
      </c>
      <c r="Q56" s="1556"/>
    </row>
    <row r="57" spans="1:23" ht="20.100000000000001" customHeight="1" x14ac:dyDescent="0.3">
      <c r="A57" s="3241"/>
      <c r="B57" s="4376"/>
      <c r="C57" s="4356"/>
      <c r="D57" s="4357"/>
      <c r="F57" s="3156" t="str">
        <f>IF(ca_3=0," ",F56/pr_3)</f>
        <v xml:space="preserve"> </v>
      </c>
      <c r="G57" s="285"/>
      <c r="H57" s="3156" t="str">
        <f>IF(ca_2=0," ",H56/pr_2)</f>
        <v xml:space="preserve"> </v>
      </c>
      <c r="I57" s="286"/>
      <c r="J57" s="3156" t="str">
        <f>IF(ca_1=0," ",J56/pr_1)</f>
        <v xml:space="preserve"> </v>
      </c>
      <c r="K57" s="914"/>
      <c r="L57" s="3157" t="str">
        <f>IF(ISERROR(L56/pr_5)," ",L56/pr_5)</f>
        <v xml:space="preserve"> </v>
      </c>
      <c r="M57" s="287"/>
      <c r="N57" s="3157" t="str">
        <f>IF(ISERROR(N56/pr_6)," ",N56/pr_6)</f>
        <v xml:space="preserve"> </v>
      </c>
      <c r="O57" s="288"/>
      <c r="P57" s="3157" t="str">
        <f>IF(ISERROR(P56/pr_7)," ",P56/pr_7)</f>
        <v xml:space="preserve"> </v>
      </c>
      <c r="Q57" s="1556"/>
    </row>
    <row r="58" spans="1:23" ht="3" customHeight="1" x14ac:dyDescent="0.3">
      <c r="A58" s="3241"/>
      <c r="B58" s="38"/>
      <c r="F58" s="290"/>
      <c r="H58" s="290"/>
      <c r="J58" s="290"/>
      <c r="L58" s="291"/>
      <c r="N58" s="291"/>
      <c r="P58" s="291"/>
      <c r="Q58" s="1556"/>
    </row>
    <row r="59" spans="1:23" s="11" customFormat="1" ht="20.100000000000001" customHeight="1" x14ac:dyDescent="0.3">
      <c r="A59" s="3249"/>
      <c r="B59" s="3153"/>
      <c r="C59" s="746"/>
      <c r="D59" s="746"/>
      <c r="F59" s="3144" t="str">
        <f>IF(F57=" "," ",IF(F57&lt;-7%,"Très mauvais",IF(F57&lt;0%,"Mauvais",IF(F57&lt;3%,"Médiocre",IF(F57&lt;6%,"Moyen",IF(F57&lt;12%,"Bon","Excellent"))))))</f>
        <v xml:space="preserve"> </v>
      </c>
      <c r="G59" s="269"/>
      <c r="H59" s="3144" t="str">
        <f>IF(H57=" "," ",IF(H57&lt;-7%,"Très mauvais",IF(H57&lt;0%,"Mauvais",IF(H57&lt;3%,"Médiocre",IF(H57&lt;6%,"Moyen",IF(H57&lt;12%,"Bon","Excellent"))))))</f>
        <v xml:space="preserve"> </v>
      </c>
      <c r="I59" s="269"/>
      <c r="J59" s="3144" t="str">
        <f>IF(J57=" "," ",IF(J57&lt;-7%,"Très mauvais",IF(J57&lt;0%,"Mauvais",IF(J57&lt;3%,"Médiocre",IF(J57&lt;6%,"Moyen",IF(J57&lt;12%,"Bon","Excellent"))))))</f>
        <v xml:space="preserve"> </v>
      </c>
      <c r="K59" s="269"/>
      <c r="L59" s="3144" t="str">
        <f>IF(L57=" "," ",IF(L57&lt;-7%,"Très mauvais",IF(L57&lt;0%,"Mauvais",IF(L57&lt;3%,"Médiocre",IF(L57&lt;6%,"Moyen",IF(L57&lt;12%,"Bon","Excellent"))))))</f>
        <v xml:space="preserve"> </v>
      </c>
      <c r="M59" s="269"/>
      <c r="N59" s="3144" t="str">
        <f>IF(N57=" "," ",IF(N57&lt;-7%,"Très mauvais",IF(N57&lt;0%,"Mauvais",IF(N57&lt;3%,"Médiocre",IF(N57&lt;6%,"Moyen",IF(N57&lt;12%,"Bon","Excellent"))))))</f>
        <v xml:space="preserve"> </v>
      </c>
      <c r="O59" s="269"/>
      <c r="P59" s="3144" t="str">
        <f>IF(P57=" "," ",IF(P57&lt;-7%,"Très mauvais",IF(P57&lt;0%,"Mauvais",IF(P57&lt;3%,"Médiocre",IF(P57&lt;6%,"Moyen",IF(P57&lt;12%,"Bon","Excellent"))))))</f>
        <v xml:space="preserve"> </v>
      </c>
      <c r="Q59" s="3250"/>
    </row>
    <row r="60" spans="1:23" s="11" customFormat="1" ht="12" customHeight="1" x14ac:dyDescent="0.25">
      <c r="A60" s="3249"/>
      <c r="B60" s="3153"/>
      <c r="C60" s="746"/>
      <c r="D60" s="746"/>
      <c r="F60" s="292"/>
      <c r="G60" s="212"/>
      <c r="H60" s="292"/>
      <c r="I60" s="212"/>
      <c r="J60" s="292"/>
      <c r="K60" s="212"/>
      <c r="L60" s="208"/>
      <c r="M60" s="212"/>
      <c r="N60" s="208"/>
      <c r="O60" s="212"/>
      <c r="P60" s="208"/>
      <c r="Q60" s="3250"/>
    </row>
    <row r="61" spans="1:23" ht="20.100000000000001" customHeight="1" x14ac:dyDescent="0.3">
      <c r="A61" s="3241"/>
      <c r="B61" s="4375" t="s">
        <v>1347</v>
      </c>
      <c r="C61" s="4377" t="s">
        <v>176</v>
      </c>
      <c r="D61" s="4378"/>
      <c r="F61" s="1754">
        <f>IF(ISERROR(r_3)," ",r_3)</f>
        <v>0</v>
      </c>
      <c r="H61" s="1754">
        <f>IF(ISERROR(r_2)," ",r_2)</f>
        <v>0</v>
      </c>
      <c r="J61" s="1754">
        <f>IF(ISERROR(r_1)," ",r_1)</f>
        <v>0</v>
      </c>
      <c r="L61" s="1755">
        <f>IF(ISERROR('Cpte de résultat prévisionnel'!H77)," ",'Cpte de résultat prévisionnel'!H77)</f>
        <v>0</v>
      </c>
      <c r="N61" s="1755">
        <f>IF(ISERROR('Cpte de résultat prévisionnel'!K77)," ",'Cpte de résultat prévisionnel'!K77)</f>
        <v>0</v>
      </c>
      <c r="P61" s="1755">
        <f>IF(ISERROR('Cpte de résultat prévisionnel'!N77)," ",'Cpte de résultat prévisionnel'!N77)</f>
        <v>0</v>
      </c>
      <c r="Q61" s="1556"/>
    </row>
    <row r="62" spans="1:23" s="183" customFormat="1" ht="20.100000000000001" customHeight="1" x14ac:dyDescent="0.25">
      <c r="A62" s="3244"/>
      <c r="B62" s="4376"/>
      <c r="C62" s="4356"/>
      <c r="D62" s="4357"/>
      <c r="F62" s="3156" t="str">
        <f>IF(ca_3=0," ",F61/pr_3)</f>
        <v xml:space="preserve"> </v>
      </c>
      <c r="G62" s="285"/>
      <c r="H62" s="3156" t="str">
        <f>IF(ca_2=0," ",H61/pr_2)</f>
        <v xml:space="preserve"> </v>
      </c>
      <c r="I62" s="286"/>
      <c r="J62" s="3156" t="str">
        <f>IF(ca_1=0," ",J61/pr_1)</f>
        <v xml:space="preserve"> </v>
      </c>
      <c r="K62" s="216"/>
      <c r="L62" s="3157" t="str">
        <f>IF(ISERROR(L61/pr_5)," ",L61/pr_5)</f>
        <v xml:space="preserve"> </v>
      </c>
      <c r="M62" s="287"/>
      <c r="N62" s="3157" t="str">
        <f>IF(ISERROR(N61/pr_6)," ",N61/pr_6)</f>
        <v xml:space="preserve"> </v>
      </c>
      <c r="O62" s="288"/>
      <c r="P62" s="3157" t="str">
        <f>IF(ISERROR(P61/pr_7)," ",P61/pr_7)</f>
        <v xml:space="preserve"> </v>
      </c>
      <c r="Q62" s="3245"/>
    </row>
    <row r="63" spans="1:23" s="183" customFormat="1" ht="3" customHeight="1" x14ac:dyDescent="0.25">
      <c r="A63" s="3244"/>
      <c r="B63" s="3154"/>
      <c r="C63" s="747"/>
      <c r="D63" s="747"/>
      <c r="F63" s="241"/>
      <c r="G63" s="285"/>
      <c r="H63" s="241"/>
      <c r="I63" s="286"/>
      <c r="J63" s="241"/>
      <c r="K63" s="216"/>
      <c r="L63" s="241"/>
      <c r="M63" s="285"/>
      <c r="N63" s="241"/>
      <c r="O63" s="286"/>
      <c r="P63" s="241"/>
      <c r="Q63" s="3245"/>
    </row>
    <row r="64" spans="1:23" ht="20.100000000000001" customHeight="1" x14ac:dyDescent="0.3">
      <c r="A64" s="3251"/>
      <c r="B64" s="3155"/>
      <c r="C64" s="748"/>
      <c r="D64" s="748"/>
      <c r="E64" s="2"/>
      <c r="F64" s="3145" t="str">
        <f>IF(F61&lt;0,"Déficitaire"," ")</f>
        <v xml:space="preserve"> </v>
      </c>
      <c r="H64" s="3145" t="str">
        <f>IF(H61&lt;0,"Déficitaire"," ")</f>
        <v xml:space="preserve"> </v>
      </c>
      <c r="J64" s="3145" t="str">
        <f>IF(J61&lt;0,"Déficitaire"," ")</f>
        <v xml:space="preserve"> </v>
      </c>
      <c r="L64" s="3146" t="str">
        <f>IF(L61&lt;0,"Déficitaire"," ")</f>
        <v xml:space="preserve"> </v>
      </c>
      <c r="N64" s="3146" t="str">
        <f>IF(N61&lt;0,"Déficitaire"," ")</f>
        <v xml:space="preserve"> </v>
      </c>
      <c r="P64" s="3146" t="str">
        <f>IF(P61&lt;0,"Déficitaire"," ")</f>
        <v xml:space="preserve"> </v>
      </c>
      <c r="Q64" s="1556"/>
    </row>
    <row r="65" spans="1:23" ht="1.95" customHeight="1" x14ac:dyDescent="0.3">
      <c r="A65" s="3251"/>
      <c r="B65" s="3155"/>
      <c r="C65" s="748"/>
      <c r="D65" s="748"/>
      <c r="E65" s="2"/>
      <c r="F65" s="774">
        <f>IF(ca_3=0,0,1)</f>
        <v>0</v>
      </c>
      <c r="G65" s="774"/>
      <c r="H65" s="774">
        <f>IF(ca_2=0,0,1)</f>
        <v>0</v>
      </c>
      <c r="I65" s="774"/>
      <c r="J65" s="774">
        <f>IF(ca_1=0,0,1)</f>
        <v>0</v>
      </c>
      <c r="K65" s="774"/>
      <c r="L65" s="774">
        <f>IF(ca_5=0,0,1)</f>
        <v>0</v>
      </c>
      <c r="M65" s="774"/>
      <c r="N65" s="774">
        <f>IF(ca_6=0,0,1)</f>
        <v>0</v>
      </c>
      <c r="O65" s="774"/>
      <c r="P65" s="774">
        <f>IF(ca_7=0,0,1)</f>
        <v>0</v>
      </c>
      <c r="Q65" s="1556"/>
    </row>
    <row r="66" spans="1:23" ht="9.9" hidden="1" customHeight="1" x14ac:dyDescent="0.3">
      <c r="A66" s="3251"/>
      <c r="B66" s="3155"/>
      <c r="C66" s="748"/>
      <c r="D66" s="748"/>
      <c r="E66" s="2"/>
      <c r="F66" s="772">
        <f>bfe_3-bfe_4</f>
        <v>0</v>
      </c>
      <c r="G66" s="774"/>
      <c r="H66" s="772">
        <f>bfe_2-bfe_3</f>
        <v>0</v>
      </c>
      <c r="I66" s="774"/>
      <c r="J66" s="772">
        <f>bfe_1-bfe_2</f>
        <v>0</v>
      </c>
      <c r="K66" s="775"/>
      <c r="L66" s="772">
        <f>IF(NE="oui",0,bfr_5-bfr_1)</f>
        <v>0</v>
      </c>
      <c r="M66" s="774"/>
      <c r="N66" s="772">
        <f>bfr_6-bfr_5</f>
        <v>0</v>
      </c>
      <c r="O66" s="774"/>
      <c r="P66" s="772">
        <f>bfr_7-bfr_6</f>
        <v>0</v>
      </c>
      <c r="Q66" s="1556"/>
    </row>
    <row r="67" spans="1:23" ht="12" customHeight="1" x14ac:dyDescent="0.3">
      <c r="A67" s="3241"/>
      <c r="B67" s="38"/>
      <c r="C67" s="4339" t="s">
        <v>483</v>
      </c>
      <c r="D67" s="4340"/>
      <c r="F67" s="774">
        <f>amort_3</f>
        <v>0</v>
      </c>
      <c r="G67" s="776"/>
      <c r="H67" s="774">
        <f>amort_2</f>
        <v>0</v>
      </c>
      <c r="I67" s="776"/>
      <c r="J67" s="774">
        <f>amort_1</f>
        <v>0</v>
      </c>
      <c r="K67" s="773"/>
      <c r="L67" s="774">
        <f>amort_5</f>
        <v>0</v>
      </c>
      <c r="M67" s="776"/>
      <c r="N67" s="774">
        <f>amort_6</f>
        <v>0</v>
      </c>
      <c r="O67" s="776"/>
      <c r="P67" s="774">
        <f>amort_7</f>
        <v>0</v>
      </c>
      <c r="Q67" s="1556"/>
    </row>
    <row r="68" spans="1:23" ht="20.100000000000001" customHeight="1" x14ac:dyDescent="0.3">
      <c r="A68" s="3251"/>
      <c r="B68" s="4371" t="s">
        <v>1348</v>
      </c>
      <c r="C68" s="4379" t="s">
        <v>176</v>
      </c>
      <c r="D68" s="4380"/>
      <c r="E68" s="2"/>
      <c r="F68" s="1756">
        <f>IF(ISERROR(caf_retraitée_3)," ",caf_retraitée_3)</f>
        <v>0</v>
      </c>
      <c r="H68" s="1756">
        <f>IF(ISERROR(caf_retraitée_2)," ",caf_retraitée_2)</f>
        <v>0</v>
      </c>
      <c r="J68" s="1756">
        <f>IF(ISERROR(caf_retraitée_1)," ",caf_retraitée_1)</f>
        <v>0</v>
      </c>
      <c r="L68" s="1758">
        <f>IF(ISERROR(caf_retraitée_5)," ",caf_retraitée_5)</f>
        <v>0</v>
      </c>
      <c r="M68" s="284"/>
      <c r="N68" s="1758">
        <f>IF(ISERROR(caf_retraitée_6)," ",caf_retraitée_6)</f>
        <v>0</v>
      </c>
      <c r="O68" s="284"/>
      <c r="P68" s="1758">
        <f>IF(ISERROR(caf_retraitée_7)," ",caf_retraitée_7)</f>
        <v>0</v>
      </c>
      <c r="Q68" s="1556"/>
    </row>
    <row r="69" spans="1:23" s="183" customFormat="1" ht="20.100000000000001" customHeight="1" x14ac:dyDescent="0.25">
      <c r="A69" s="3244"/>
      <c r="B69" s="4372"/>
      <c r="C69" s="4373"/>
      <c r="D69" s="4374"/>
      <c r="F69" s="1757" t="str">
        <f>IF(ca_3=0," ",F68/pr_3)</f>
        <v xml:space="preserve"> </v>
      </c>
      <c r="G69" s="285"/>
      <c r="H69" s="1757" t="str">
        <f>IF(ca_2=0," ",H68/pr_2)</f>
        <v xml:space="preserve"> </v>
      </c>
      <c r="I69" s="286"/>
      <c r="J69" s="1757" t="str">
        <f>IF(ca_1=0," ",J68/pr_1)</f>
        <v xml:space="preserve"> </v>
      </c>
      <c r="K69" s="216"/>
      <c r="L69" s="1759" t="str">
        <f>IF(ISERROR(L68/pr_5)," ",L68/pr_5)</f>
        <v xml:space="preserve"> </v>
      </c>
      <c r="M69" s="287"/>
      <c r="N69" s="1759" t="str">
        <f>IF(ISERROR(N68/pr_6)," ",N68/pr_6)</f>
        <v xml:space="preserve"> </v>
      </c>
      <c r="O69" s="288"/>
      <c r="P69" s="1759" t="str">
        <f>IF(ISERROR(P68/pr_7)," ",P68/pr_7)</f>
        <v xml:space="preserve"> </v>
      </c>
      <c r="Q69" s="3245"/>
    </row>
    <row r="70" spans="1:23" s="183" customFormat="1" ht="3" customHeight="1" x14ac:dyDescent="0.25">
      <c r="A70" s="3244"/>
      <c r="C70" s="747"/>
      <c r="D70" s="747"/>
      <c r="F70" s="241"/>
      <c r="G70" s="285"/>
      <c r="H70" s="241"/>
      <c r="I70" s="286"/>
      <c r="J70" s="241"/>
      <c r="K70" s="216"/>
      <c r="L70" s="241"/>
      <c r="M70" s="285"/>
      <c r="N70" s="241"/>
      <c r="O70" s="286"/>
      <c r="P70" s="241"/>
      <c r="Q70" s="3245"/>
    </row>
    <row r="71" spans="1:23" s="183" customFormat="1" ht="45" customHeight="1" x14ac:dyDescent="0.25">
      <c r="A71" s="3244"/>
      <c r="C71" s="747"/>
      <c r="D71" s="747"/>
      <c r="F71" s="77" t="str">
        <f>IF(ca_3=0," ",IF(F68&lt;0,"l'activité ne 
dégage aucune 
ressource financière",IF(F68&lt;F67,"CAF insuffisante",IF(F68&lt;F66,"CAF insuffisante"," "))))</f>
        <v xml:space="preserve"> </v>
      </c>
      <c r="G71" s="274"/>
      <c r="H71" s="77" t="str">
        <f>IF(ca_2=0," ",IF(H68&lt;0,"l'activité ne 
dégage aucune 
ressource financière",IF(H68&lt;H67,"CAF insuffisante",IF(H68&lt;H66,"CAF insuffisante"," "))))</f>
        <v xml:space="preserve"> </v>
      </c>
      <c r="I71" s="281"/>
      <c r="J71" s="77" t="str">
        <f>IF(ca_1=0," ",IF(J68&lt;0,"l'activité ne 
dégage aucune 
ressource financière",IF(J68&lt;J67,"CAF insuffisante",IF(J68&lt;J66,"CAF insuffisante"," "))))</f>
        <v xml:space="preserve"> </v>
      </c>
      <c r="K71" s="281"/>
      <c r="L71" s="77" t="str">
        <f>IF(ca_5=0," ",IF(L68&lt;0,"l'activité ne 
dégage aucune 
ressource financière",IF(L68&lt;L67,"CAF insuffisante",IF(L68&lt;L66,"CAF insuffisante"," "))))</f>
        <v xml:space="preserve"> </v>
      </c>
      <c r="M71" s="274"/>
      <c r="N71" s="77" t="str">
        <f>IF(ca_6=0," ",IF(N68&lt;0,"l'activité ne 
dégage aucune 
ressource financière",IF(N68&lt;N67,"CAF insuffisante",IF(N68&lt;N66,"CAF insuffisante"," "))))</f>
        <v xml:space="preserve"> </v>
      </c>
      <c r="O71" s="281"/>
      <c r="P71" s="77" t="str">
        <f>IF(ca_7=0," ",IF(P68&lt;0,"l'activité ne 
dégage aucune 
ressource financière",IF(P68&lt;P67,"CAF insuffisante",IF(P68&lt;P66,"CAF insuffisante"," "))))</f>
        <v xml:space="preserve"> </v>
      </c>
      <c r="Q71" s="3245"/>
    </row>
    <row r="72" spans="1:23" s="183" customFormat="1" ht="3" customHeight="1" x14ac:dyDescent="0.25">
      <c r="A72" s="3244"/>
      <c r="C72" s="747"/>
      <c r="D72" s="747"/>
      <c r="E72" s="747"/>
      <c r="F72" s="747"/>
      <c r="G72" s="747"/>
      <c r="H72" s="747"/>
      <c r="I72" s="747"/>
      <c r="J72" s="747"/>
      <c r="K72" s="747"/>
      <c r="L72" s="747"/>
      <c r="M72" s="747"/>
      <c r="N72" s="747"/>
      <c r="O72" s="747"/>
      <c r="P72" s="747"/>
      <c r="Q72" s="3245"/>
    </row>
    <row r="73" spans="1:23" s="529" customFormat="1" ht="16.95" customHeight="1" x14ac:dyDescent="0.25">
      <c r="A73" s="3253"/>
      <c r="C73" s="749"/>
      <c r="D73" s="749"/>
      <c r="F73" s="755" t="str">
        <f>IF(F69=" "," ",IF(OR(F68&lt;F67,F68&lt;F66,F68&lt;0),"L"," "))</f>
        <v xml:space="preserve"> </v>
      </c>
      <c r="H73" s="755" t="str">
        <f>IF(H69=" "," ",IF(OR(H68&lt;H67,H68&lt;H66,H68&lt;0),"L"," "))</f>
        <v xml:space="preserve"> </v>
      </c>
      <c r="I73" s="656"/>
      <c r="J73" s="755" t="str">
        <f>IF(J69=" "," ",IF(OR(J68&lt;J67,J68&lt;J66,J68&lt;0),"L"," "))</f>
        <v xml:space="preserve"> </v>
      </c>
      <c r="K73" s="528"/>
      <c r="L73" s="755" t="str">
        <f>IF(L69=" "," ",IF(OR(L68&lt;L67,L68&lt;L66,L68&lt;0),"L"," "))</f>
        <v xml:space="preserve"> </v>
      </c>
      <c r="M73" s="528"/>
      <c r="N73" s="755" t="str">
        <f>IF(N69=" "," ",IF(OR(N68&lt;N67,N68&lt;N66,N68&lt;0),"L"," "))</f>
        <v xml:space="preserve"> </v>
      </c>
      <c r="O73" s="656"/>
      <c r="P73" s="755" t="str">
        <f>IF(P69=" "," ",IF(OR(P68&lt;P67,P68&lt;P66,P68&lt;0),"L"," "))</f>
        <v xml:space="preserve"> </v>
      </c>
      <c r="Q73" s="3254"/>
      <c r="S73" s="528"/>
      <c r="T73" s="528"/>
      <c r="U73" s="528"/>
      <c r="V73" s="528"/>
      <c r="W73" s="528"/>
    </row>
    <row r="74" spans="1:23" ht="10.199999999999999" customHeight="1" x14ac:dyDescent="0.3">
      <c r="A74" s="3255"/>
      <c r="B74" s="3256"/>
      <c r="C74" s="3257"/>
      <c r="D74" s="3257"/>
      <c r="E74" s="3256"/>
      <c r="F74" s="3258"/>
      <c r="G74" s="3256"/>
      <c r="H74" s="3258"/>
      <c r="I74" s="3259"/>
      <c r="J74" s="3258"/>
      <c r="K74" s="3260"/>
      <c r="L74" s="3258"/>
      <c r="M74" s="3260"/>
      <c r="N74" s="3258"/>
      <c r="O74" s="3259"/>
      <c r="P74" s="3258"/>
      <c r="Q74" s="3261"/>
    </row>
    <row r="75" spans="1:23" ht="20.100000000000001" customHeight="1" x14ac:dyDescent="0.3">
      <c r="F75" s="728"/>
      <c r="H75" s="728"/>
      <c r="J75" s="728"/>
      <c r="L75" s="728"/>
      <c r="N75" s="728"/>
      <c r="P75" s="728"/>
    </row>
    <row r="76" spans="1:23" ht="19.95" customHeight="1" x14ac:dyDescent="0.3">
      <c r="B76" s="4385" t="s">
        <v>678</v>
      </c>
      <c r="C76" s="4386"/>
      <c r="D76" s="4386"/>
      <c r="E76" s="4386"/>
      <c r="F76" s="4386"/>
      <c r="G76" s="4386"/>
      <c r="H76" s="4386"/>
      <c r="I76" s="654"/>
      <c r="J76" s="657"/>
    </row>
    <row r="77" spans="1:23" ht="12.75" customHeight="1" x14ac:dyDescent="0.3"/>
    <row r="78" spans="1:23" ht="22.05" customHeight="1" x14ac:dyDescent="0.3">
      <c r="F78" s="658">
        <f>IF(ISBLANK(An),0,IF(IP="oui",An-3,0))</f>
        <v>0</v>
      </c>
      <c r="G78" s="270"/>
      <c r="H78" s="658">
        <f>IF(ISBLANK(An),0,IF(IP="oui",An-2,0))</f>
        <v>0</v>
      </c>
      <c r="I78" s="270"/>
      <c r="J78" s="658">
        <f>IF(ISBLANK(An),0,IF(IP="oui",An-1,0))</f>
        <v>0</v>
      </c>
      <c r="L78" s="658">
        <f>IF(IP="oui",An,0)</f>
        <v>0</v>
      </c>
      <c r="M78" s="270"/>
      <c r="N78" s="658">
        <f>IF(ISBLANK(An),0,IF(IP="oui",An+1,0))</f>
        <v>0</v>
      </c>
      <c r="O78" s="270"/>
      <c r="P78" s="658">
        <f>IF(ISBLANK(An),0,IF(IP="oui",An+2,0))</f>
        <v>0</v>
      </c>
    </row>
    <row r="79" spans="1:23" s="58" customFormat="1" ht="6" customHeight="1" x14ac:dyDescent="0.3">
      <c r="B79" s="1"/>
      <c r="C79" s="260"/>
      <c r="D79" s="260"/>
      <c r="E79" s="1"/>
      <c r="F79" s="269"/>
      <c r="G79" s="269"/>
      <c r="H79" s="269"/>
      <c r="I79" s="269"/>
      <c r="J79" s="269"/>
      <c r="K79" s="269"/>
      <c r="L79" s="269"/>
      <c r="M79" s="269"/>
      <c r="N79" s="269"/>
      <c r="O79" s="269"/>
      <c r="P79" s="269"/>
      <c r="S79" s="1"/>
      <c r="T79" s="1"/>
    </row>
    <row r="80" spans="1:23" s="296" customFormat="1" ht="19.95" customHeight="1" x14ac:dyDescent="0.25">
      <c r="B80" s="4387" t="str">
        <f>IF(IP="oui","Chiffre d'affaires"," ")</f>
        <v xml:space="preserve"> </v>
      </c>
      <c r="C80" s="4388" t="str">
        <f>IF(IP="oui","Réalisé"," ")</f>
        <v xml:space="preserve"> </v>
      </c>
      <c r="D80" s="4388" t="str">
        <f>IF(IP="oui","Réalisé"," ")</f>
        <v xml:space="preserve"> </v>
      </c>
      <c r="E80" s="58"/>
      <c r="F80" s="2319">
        <f>IF(IP="oui",ca_3,0)</f>
        <v>0</v>
      </c>
      <c r="G80" s="295"/>
      <c r="H80" s="2319">
        <f>IF(IP="oui",ca_2,0)</f>
        <v>0</v>
      </c>
      <c r="I80" s="295"/>
      <c r="J80" s="2320">
        <f>IF(IP="oui",ca_1,0)</f>
        <v>0</v>
      </c>
      <c r="K80" s="285"/>
      <c r="L80" s="2320">
        <f>IF(IP="oui",ca_5,0)</f>
        <v>0</v>
      </c>
      <c r="M80" s="295"/>
      <c r="N80" s="2320">
        <f>IF(IP="oui",ca_6,0)</f>
        <v>0</v>
      </c>
      <c r="O80" s="295"/>
      <c r="P80" s="2320">
        <f>IF(IP="oui",ca_7,0)</f>
        <v>0</v>
      </c>
      <c r="Q80" s="4393" t="str">
        <f>IF(IP="oui","2ème prévision"," ")</f>
        <v xml:space="preserve"> </v>
      </c>
      <c r="R80" s="3378"/>
      <c r="S80" s="3378"/>
      <c r="T80" s="3337"/>
    </row>
    <row r="81" spans="1:20" s="58" customFormat="1" ht="19.95" customHeight="1" x14ac:dyDescent="0.25">
      <c r="B81" s="4387"/>
      <c r="C81" s="4389" t="str">
        <f>IF(IP="oui","Prévu"," ")</f>
        <v xml:space="preserve"> </v>
      </c>
      <c r="D81" s="4389" t="str">
        <f>IF(IP="oui","Prévu"," ")</f>
        <v xml:space="preserve"> </v>
      </c>
      <c r="E81" s="296"/>
      <c r="F81" s="297"/>
      <c r="G81" s="297"/>
      <c r="H81" s="297"/>
      <c r="I81" s="297"/>
      <c r="J81" s="297"/>
      <c r="K81" s="287"/>
      <c r="L81" s="297"/>
      <c r="M81" s="297"/>
      <c r="N81" s="297"/>
      <c r="O81" s="297"/>
      <c r="P81" s="297"/>
      <c r="Q81" s="4391" t="str">
        <f>IF(IP="oui","Prévision initiale"," ")</f>
        <v xml:space="preserve"> </v>
      </c>
      <c r="R81" s="3378"/>
      <c r="S81" s="3378"/>
      <c r="T81" s="3336"/>
    </row>
    <row r="82" spans="1:20" ht="19.95" customHeight="1" x14ac:dyDescent="0.3">
      <c r="B82" s="4387"/>
      <c r="C82" s="4390" t="str">
        <f>IF(IP="oui","Ecart"," ")</f>
        <v xml:space="preserve"> </v>
      </c>
      <c r="D82" s="4390" t="str">
        <f>IF(IP="oui","Ecart"," ")</f>
        <v xml:space="preserve"> </v>
      </c>
      <c r="E82" s="58"/>
      <c r="F82" s="299" t="str">
        <f>IF(ISERROR((F80/F81)-1)," ",(F80/F81)-1)</f>
        <v xml:space="preserve"> </v>
      </c>
      <c r="G82" s="295"/>
      <c r="H82" s="299" t="str">
        <f>IF(ISERROR((H80/H81)-1)," ",(H80/H81)-1)</f>
        <v xml:space="preserve"> </v>
      </c>
      <c r="I82" s="295"/>
      <c r="J82" s="299" t="str">
        <f>IF(ISERROR((J80/J81)-1)," ",(J80/J81)-1)</f>
        <v xml:space="preserve"> </v>
      </c>
      <c r="K82" s="285"/>
      <c r="L82" s="299" t="str">
        <f>IF(ISERROR((L80/L81)-1)," ",(L80/L81)-1)</f>
        <v xml:space="preserve"> </v>
      </c>
      <c r="M82" s="295"/>
      <c r="N82" s="299" t="str">
        <f>IF(ISERROR((N80/N81)-1)," ",(N80/N81)-1)</f>
        <v xml:space="preserve"> </v>
      </c>
      <c r="O82" s="295"/>
      <c r="P82" s="299" t="str">
        <f>IF(ISERROR((P80/P81)-1)," ",(P80/P81)-1)</f>
        <v xml:space="preserve"> </v>
      </c>
      <c r="Q82" s="4392" t="str">
        <f>IF(IP="oui","Ecart"," ")</f>
        <v xml:space="preserve"> </v>
      </c>
      <c r="R82" s="3378"/>
      <c r="S82" s="3378"/>
      <c r="T82" s="3338"/>
    </row>
    <row r="83" spans="1:20" s="58" customFormat="1" ht="3" customHeight="1" x14ac:dyDescent="0.3">
      <c r="A83" s="140"/>
      <c r="B83" s="1"/>
      <c r="C83" s="3339"/>
      <c r="D83" s="3339"/>
      <c r="E83" s="1"/>
      <c r="F83" s="269"/>
      <c r="G83" s="269"/>
      <c r="H83" s="269"/>
      <c r="I83" s="269"/>
      <c r="J83" s="269"/>
      <c r="K83" s="269"/>
      <c r="L83" s="269"/>
      <c r="M83" s="269"/>
      <c r="N83" s="269"/>
      <c r="O83" s="269"/>
      <c r="P83" s="269"/>
      <c r="Q83" s="387"/>
      <c r="T83" s="1"/>
    </row>
    <row r="84" spans="1:20" s="58" customFormat="1" ht="19.95" customHeight="1" x14ac:dyDescent="0.25">
      <c r="A84" s="140"/>
      <c r="B84" s="4387" t="str">
        <f>IF(IP="oui","Résultat courant avant impôts"," ")</f>
        <v xml:space="preserve"> </v>
      </c>
      <c r="C84" s="4388" t="str">
        <f>IF(IP="oui","Réalisé"," ")</f>
        <v xml:space="preserve"> </v>
      </c>
      <c r="D84" s="4388" t="str">
        <f>IF(IP="oui","Réalisé"," ")</f>
        <v xml:space="preserve"> </v>
      </c>
      <c r="E84" s="140"/>
      <c r="F84" s="2320">
        <f>IF(IP="oui",rc_3,0)</f>
        <v>0</v>
      </c>
      <c r="G84" s="295"/>
      <c r="H84" s="2320">
        <f>IF(IP="oui",rc_2,0)</f>
        <v>0</v>
      </c>
      <c r="I84" s="295"/>
      <c r="J84" s="2320">
        <f>IF(IP="oui",rc_1,0)</f>
        <v>0</v>
      </c>
      <c r="K84" s="285"/>
      <c r="L84" s="2320">
        <f>IF(IP="oui",rc_5,0)</f>
        <v>0</v>
      </c>
      <c r="M84" s="295"/>
      <c r="N84" s="2320">
        <f>IF(IP="oui",rc_6,0)</f>
        <v>0</v>
      </c>
      <c r="O84" s="295"/>
      <c r="P84" s="2320">
        <f>IF(IP="oui",rc_7,0)</f>
        <v>0</v>
      </c>
      <c r="Q84" s="4393" t="str">
        <f>IF(IP="oui","2ème prévision"," ")</f>
        <v xml:space="preserve"> </v>
      </c>
      <c r="R84" s="3378"/>
      <c r="S84" s="3378"/>
      <c r="T84" s="3337"/>
    </row>
    <row r="85" spans="1:20" s="58" customFormat="1" ht="19.95" customHeight="1" x14ac:dyDescent="0.25">
      <c r="A85" s="140"/>
      <c r="B85" s="4387"/>
      <c r="C85" s="4389" t="str">
        <f>IF(IP="oui","Prévu"," ")</f>
        <v xml:space="preserve"> </v>
      </c>
      <c r="D85" s="4389" t="str">
        <f>IF(IP="oui","Prévu"," ")</f>
        <v xml:space="preserve"> </v>
      </c>
      <c r="E85" s="140"/>
      <c r="F85" s="295"/>
      <c r="G85" s="295"/>
      <c r="H85" s="295"/>
      <c r="I85" s="295"/>
      <c r="J85" s="295"/>
      <c r="K85" s="285"/>
      <c r="L85" s="295"/>
      <c r="M85" s="295"/>
      <c r="N85" s="295"/>
      <c r="O85" s="295"/>
      <c r="P85" s="295"/>
      <c r="Q85" s="4391" t="str">
        <f>IF(IP="oui","Prévision initiale"," ")</f>
        <v xml:space="preserve"> </v>
      </c>
      <c r="R85" s="3378"/>
      <c r="S85" s="3378"/>
      <c r="T85" s="3336"/>
    </row>
    <row r="86" spans="1:20" ht="19.95" customHeight="1" x14ac:dyDescent="0.3">
      <c r="B86" s="4387"/>
      <c r="C86" s="4390" t="str">
        <f>IF(IP="oui","Ecart"," ")</f>
        <v xml:space="preserve"> </v>
      </c>
      <c r="D86" s="4390" t="str">
        <f>IF(IP="oui","Ecart"," ")</f>
        <v xml:space="preserve"> </v>
      </c>
      <c r="E86" s="140"/>
      <c r="F86" s="299" t="str">
        <f>IF(ISERROR((F84/F85)-1)," ",(F84/F85)-1)</f>
        <v xml:space="preserve"> </v>
      </c>
      <c r="G86" s="295"/>
      <c r="H86" s="299" t="str">
        <f>IF(ISERROR((H84/H85)-1)," ",(H84/H85)-1)</f>
        <v xml:space="preserve"> </v>
      </c>
      <c r="I86" s="295"/>
      <c r="J86" s="299" t="str">
        <f>IF(ISERROR((J84/J85)-1)," ",(J84/J85)-1)</f>
        <v xml:space="preserve"> </v>
      </c>
      <c r="K86" s="285"/>
      <c r="L86" s="299" t="str">
        <f>IF(ISERROR((L84/L85)-1)," ",(L84/L85)-1)</f>
        <v xml:space="preserve"> </v>
      </c>
      <c r="M86" s="295"/>
      <c r="N86" s="299" t="str">
        <f>IF(ISERROR((N84/N85)-1)," ",(N84/N85)-1)</f>
        <v xml:space="preserve"> </v>
      </c>
      <c r="O86" s="295"/>
      <c r="P86" s="299" t="str">
        <f>IF(ISERROR((P84/P85)-1)," ",(P84/P85)-1)</f>
        <v xml:space="preserve"> </v>
      </c>
      <c r="Q86" s="4392" t="str">
        <f>IF(IP="oui","Ecart"," ")</f>
        <v xml:space="preserve"> </v>
      </c>
      <c r="R86" s="3378"/>
      <c r="S86" s="3378"/>
      <c r="T86" s="3338"/>
    </row>
    <row r="87" spans="1:20" s="58" customFormat="1" ht="3" customHeight="1" x14ac:dyDescent="0.3">
      <c r="A87" s="140"/>
      <c r="B87" s="1"/>
      <c r="C87" s="3339"/>
      <c r="D87" s="3339"/>
      <c r="E87" s="1"/>
      <c r="F87" s="269"/>
      <c r="G87" s="269"/>
      <c r="H87" s="269"/>
      <c r="I87" s="269"/>
      <c r="J87" s="269"/>
      <c r="K87" s="269"/>
      <c r="L87" s="269"/>
      <c r="M87" s="269"/>
      <c r="N87" s="269"/>
      <c r="O87" s="269"/>
      <c r="P87" s="269"/>
      <c r="Q87" s="387"/>
      <c r="T87" s="1"/>
    </row>
    <row r="88" spans="1:20" s="58" customFormat="1" ht="20.100000000000001" customHeight="1" x14ac:dyDescent="0.25">
      <c r="A88" s="140"/>
      <c r="B88" s="4387" t="str">
        <f>IF(IP="oui","Capacité d'autofinancement"," ")</f>
        <v xml:space="preserve"> </v>
      </c>
      <c r="C88" s="4388" t="str">
        <f>IF(IP="oui","Réalisé"," ")</f>
        <v xml:space="preserve"> </v>
      </c>
      <c r="D88" s="4388" t="str">
        <f>IF(IP="oui","Réalisé"," ")</f>
        <v xml:space="preserve"> </v>
      </c>
      <c r="E88" s="140"/>
      <c r="F88" s="2320">
        <f>IF(IP="oui",caf_3,0)</f>
        <v>0</v>
      </c>
      <c r="G88" s="295"/>
      <c r="H88" s="2320">
        <f>IF(IP="oui",caf_2,0)</f>
        <v>0</v>
      </c>
      <c r="I88" s="295"/>
      <c r="J88" s="2320">
        <f>IF(IP="oui",caf_1,0)</f>
        <v>0</v>
      </c>
      <c r="K88" s="285"/>
      <c r="L88" s="2320">
        <f>IF(IP="oui",caf_5,0)</f>
        <v>0</v>
      </c>
      <c r="M88" s="295"/>
      <c r="N88" s="2320">
        <f>IF(IP="oui",caf_6,0)</f>
        <v>0</v>
      </c>
      <c r="O88" s="295"/>
      <c r="P88" s="2320">
        <f>IF(IP="oui",caf_7,0)</f>
        <v>0</v>
      </c>
      <c r="Q88" s="4393" t="str">
        <f>IF(IP="oui","2ème prévision"," ")</f>
        <v xml:space="preserve"> </v>
      </c>
      <c r="R88" s="3378"/>
      <c r="S88" s="3378"/>
      <c r="T88" s="3337"/>
    </row>
    <row r="89" spans="1:20" s="58" customFormat="1" ht="20.100000000000001" customHeight="1" x14ac:dyDescent="0.25">
      <c r="A89" s="140"/>
      <c r="B89" s="4387"/>
      <c r="C89" s="4389" t="str">
        <f>IF(IP="oui","Prévu"," ")</f>
        <v xml:space="preserve"> </v>
      </c>
      <c r="D89" s="4389" t="str">
        <f>IF(IP="oui","Prévu"," ")</f>
        <v xml:space="preserve"> </v>
      </c>
      <c r="E89" s="140"/>
      <c r="F89" s="295"/>
      <c r="G89" s="295"/>
      <c r="H89" s="295"/>
      <c r="I89" s="295"/>
      <c r="J89" s="295"/>
      <c r="K89" s="285"/>
      <c r="L89" s="295"/>
      <c r="M89" s="295"/>
      <c r="N89" s="295"/>
      <c r="O89" s="295"/>
      <c r="P89" s="295"/>
      <c r="Q89" s="4391" t="str">
        <f>IF(IP="oui","Prévision initiale"," ")</f>
        <v xml:space="preserve"> </v>
      </c>
      <c r="R89" s="3378"/>
      <c r="S89" s="3378"/>
      <c r="T89" s="3336"/>
    </row>
    <row r="90" spans="1:20" ht="20.100000000000001" customHeight="1" x14ac:dyDescent="0.3">
      <c r="B90" s="4387"/>
      <c r="C90" s="4390" t="str">
        <f>IF(IP="oui","Ecart"," ")</f>
        <v xml:space="preserve"> </v>
      </c>
      <c r="D90" s="4390" t="str">
        <f>IF(IP="oui","Ecart"," ")</f>
        <v xml:space="preserve"> </v>
      </c>
      <c r="E90" s="140"/>
      <c r="F90" s="299" t="str">
        <f>IF(ISERROR((F88/F89)-1)," ",(F88/F89)-1)</f>
        <v xml:space="preserve"> </v>
      </c>
      <c r="G90" s="295"/>
      <c r="H90" s="299" t="str">
        <f>IF(ISERROR((H88/H89)-1)," ",(H88/H89)-1)</f>
        <v xml:space="preserve"> </v>
      </c>
      <c r="I90" s="295"/>
      <c r="J90" s="299" t="str">
        <f>IF(ISERROR((J88/J89)-1)," ",(J88/J89)-1)</f>
        <v xml:space="preserve"> </v>
      </c>
      <c r="K90" s="285"/>
      <c r="L90" s="299" t="str">
        <f>IF(ISERROR((L88/L89)-1)," ",(L88/L89)-1)</f>
        <v xml:space="preserve"> </v>
      </c>
      <c r="M90" s="295"/>
      <c r="N90" s="299" t="str">
        <f>IF(ISERROR((N88/N89)-1)," ",(N88/N89)-1)</f>
        <v xml:space="preserve"> </v>
      </c>
      <c r="O90" s="295"/>
      <c r="P90" s="299" t="str">
        <f>IF(ISERROR((P88/P89)-1)," ",(P88/P89)-1)</f>
        <v xml:space="preserve"> </v>
      </c>
      <c r="Q90" s="4392" t="str">
        <f>IF(IP="oui","Ecart"," ")</f>
        <v xml:space="preserve"> </v>
      </c>
      <c r="R90" s="3378"/>
      <c r="S90" s="3378"/>
      <c r="T90" s="3338"/>
    </row>
    <row r="91" spans="1:20" x14ac:dyDescent="0.3">
      <c r="F91" s="298"/>
    </row>
  </sheetData>
  <sheetProtection algorithmName="SHA-512" hashValue="c5JLwEZGMypLtzV1v51mtL9SOKLJMSVJnPGN/MGqdrVff+Y2a12v+KA3whDvO1BiKH+C0SpwCMM2psxqa7972Q==" saltValue="yeJfVAHNEWCElzuoYrVctg==" spinCount="100000" sheet="1" formatCells="0" formatColumns="0" formatRows="0" insertColumns="0" insertRows="0" insertHyperlinks="0" deleteColumns="0" deleteRows="0" sort="0" autoFilter="0" pivotTables="0"/>
  <mergeCells count="62">
    <mergeCell ref="Q89:S89"/>
    <mergeCell ref="Q90:S90"/>
    <mergeCell ref="Q86:S86"/>
    <mergeCell ref="Q80:S80"/>
    <mergeCell ref="Q81:S81"/>
    <mergeCell ref="Q82:S82"/>
    <mergeCell ref="Q84:S84"/>
    <mergeCell ref="Q85:S85"/>
    <mergeCell ref="Q88:S88"/>
    <mergeCell ref="B76:H76"/>
    <mergeCell ref="B88:B90"/>
    <mergeCell ref="B84:B86"/>
    <mergeCell ref="B80:B82"/>
    <mergeCell ref="C80:D80"/>
    <mergeCell ref="C81:D81"/>
    <mergeCell ref="C82:D82"/>
    <mergeCell ref="C84:D84"/>
    <mergeCell ref="C85:D85"/>
    <mergeCell ref="C86:D86"/>
    <mergeCell ref="C88:D88"/>
    <mergeCell ref="C89:D89"/>
    <mergeCell ref="C90:D90"/>
    <mergeCell ref="B68:B69"/>
    <mergeCell ref="C69:D69"/>
    <mergeCell ref="C62:D62"/>
    <mergeCell ref="C27:D27"/>
    <mergeCell ref="B61:B62"/>
    <mergeCell ref="C61:D61"/>
    <mergeCell ref="C68:D68"/>
    <mergeCell ref="B51:B52"/>
    <mergeCell ref="B44:B45"/>
    <mergeCell ref="B35:B36"/>
    <mergeCell ref="C35:D35"/>
    <mergeCell ref="C44:D44"/>
    <mergeCell ref="C51:D51"/>
    <mergeCell ref="B56:B57"/>
    <mergeCell ref="C67:D67"/>
    <mergeCell ref="C56:D56"/>
    <mergeCell ref="C36:D36"/>
    <mergeCell ref="B2:D2"/>
    <mergeCell ref="C57:D57"/>
    <mergeCell ref="C52:D52"/>
    <mergeCell ref="C45:D45"/>
    <mergeCell ref="C19:D19"/>
    <mergeCell ref="C43:D43"/>
    <mergeCell ref="C7:D8"/>
    <mergeCell ref="C11:D11"/>
    <mergeCell ref="B7:B8"/>
    <mergeCell ref="C15:D15"/>
    <mergeCell ref="B4:C4"/>
    <mergeCell ref="E2:P2"/>
    <mergeCell ref="C9:D9"/>
    <mergeCell ref="C18:D18"/>
    <mergeCell ref="C34:D34"/>
    <mergeCell ref="J4:N4"/>
    <mergeCell ref="F6:J6"/>
    <mergeCell ref="L6:P6"/>
    <mergeCell ref="F4:H4"/>
    <mergeCell ref="C10:D10"/>
    <mergeCell ref="J25:N25"/>
    <mergeCell ref="J33:N33"/>
    <mergeCell ref="J17:N17"/>
  </mergeCells>
  <phoneticPr fontId="0" type="noConversion"/>
  <conditionalFormatting sqref="F64">
    <cfRule type="expression" dxfId="1006" priority="696" stopIfTrue="1">
      <formula>F61&lt;0</formula>
    </cfRule>
  </conditionalFormatting>
  <conditionalFormatting sqref="L64 N64 P64">
    <cfRule type="expression" dxfId="1005" priority="697" stopIfTrue="1">
      <formula>L61&lt;0</formula>
    </cfRule>
  </conditionalFormatting>
  <conditionalFormatting sqref="F82 F86 F90">
    <cfRule type="expression" dxfId="1004" priority="698" stopIfTrue="1">
      <formula>$F$80=0</formula>
    </cfRule>
    <cfRule type="cellIs" dxfId="1003" priority="699" stopIfTrue="1" operator="greaterThan">
      <formula>0</formula>
    </cfRule>
    <cfRule type="cellIs" dxfId="1002" priority="700" stopIfTrue="1" operator="lessThan">
      <formula>0</formula>
    </cfRule>
  </conditionalFormatting>
  <conditionalFormatting sqref="F58 H58 J58">
    <cfRule type="cellIs" dxfId="1001" priority="647" stopIfTrue="1" operator="lessThan">
      <formula>0</formula>
    </cfRule>
  </conditionalFormatting>
  <conditionalFormatting sqref="F59">
    <cfRule type="expression" dxfId="1000" priority="683" stopIfTrue="1">
      <formula>F57&lt;=0%</formula>
    </cfRule>
    <cfRule type="expression" dxfId="999" priority="684" stopIfTrue="1">
      <formula>F57&lt;6%</formula>
    </cfRule>
    <cfRule type="expression" dxfId="998" priority="685" stopIfTrue="1">
      <formula>F55=0</formula>
    </cfRule>
  </conditionalFormatting>
  <conditionalFormatting sqref="L80 N80 P80 L84 N84 P84 L88 N88 P88 F80 H80 J80 F84 H84 J84 F88 H88 J88">
    <cfRule type="cellIs" dxfId="997" priority="794" stopIfTrue="1" operator="equal">
      <formula>0</formula>
    </cfRule>
  </conditionalFormatting>
  <conditionalFormatting sqref="F81 F85 F89">
    <cfRule type="expression" dxfId="996" priority="795" stopIfTrue="1">
      <formula>$F$80&gt;0</formula>
    </cfRule>
  </conditionalFormatting>
  <conditionalFormatting sqref="H81 H85 H89">
    <cfRule type="expression" dxfId="995" priority="796" stopIfTrue="1">
      <formula>$H$80&gt;0</formula>
    </cfRule>
  </conditionalFormatting>
  <conditionalFormatting sqref="J81 J85 J89">
    <cfRule type="expression" dxfId="994" priority="797" stopIfTrue="1">
      <formula>$J$80&gt;0</formula>
    </cfRule>
  </conditionalFormatting>
  <conditionalFormatting sqref="H82 H86 H90">
    <cfRule type="expression" dxfId="993" priority="798" stopIfTrue="1">
      <formula>$H$80=0</formula>
    </cfRule>
    <cfRule type="cellIs" dxfId="992" priority="799" stopIfTrue="1" operator="greaterThan">
      <formula>0</formula>
    </cfRule>
    <cfRule type="cellIs" dxfId="991" priority="800" stopIfTrue="1" operator="lessThan">
      <formula>0</formula>
    </cfRule>
  </conditionalFormatting>
  <conditionalFormatting sqref="J82 J86 J90">
    <cfRule type="expression" dxfId="990" priority="801" stopIfTrue="1">
      <formula>$J$80=0</formula>
    </cfRule>
    <cfRule type="cellIs" dxfId="989" priority="802" stopIfTrue="1" operator="greaterThan">
      <formula>0</formula>
    </cfRule>
    <cfRule type="cellIs" dxfId="988" priority="803" stopIfTrue="1" operator="lessThan">
      <formula>0</formula>
    </cfRule>
  </conditionalFormatting>
  <conditionalFormatting sqref="B80:B82">
    <cfRule type="cellIs" dxfId="987" priority="804" stopIfTrue="1" operator="equal">
      <formula>"Chiffre d'affaires"</formula>
    </cfRule>
  </conditionalFormatting>
  <conditionalFormatting sqref="L81 L85 L89">
    <cfRule type="expression" dxfId="986" priority="805" stopIfTrue="1">
      <formula>$L$80&gt;0</formula>
    </cfRule>
  </conditionalFormatting>
  <conditionalFormatting sqref="N81 N85 N89">
    <cfRule type="expression" dxfId="985" priority="806" stopIfTrue="1">
      <formula>$N$80&gt;0</formula>
    </cfRule>
  </conditionalFormatting>
  <conditionalFormatting sqref="P81 P85 P89">
    <cfRule type="expression" dxfId="984" priority="807" stopIfTrue="1">
      <formula>$P$80&gt;0</formula>
    </cfRule>
  </conditionalFormatting>
  <conditionalFormatting sqref="L82 L86 L90">
    <cfRule type="expression" dxfId="983" priority="808" stopIfTrue="1">
      <formula>$L$80=0</formula>
    </cfRule>
    <cfRule type="cellIs" dxfId="982" priority="809" stopIfTrue="1" operator="greaterThan">
      <formula>0</formula>
    </cfRule>
    <cfRule type="cellIs" dxfId="981" priority="810" stopIfTrue="1" operator="lessThan">
      <formula>0</formula>
    </cfRule>
  </conditionalFormatting>
  <conditionalFormatting sqref="N82 N86 N90">
    <cfRule type="expression" dxfId="980" priority="811" stopIfTrue="1">
      <formula>$N$80=0</formula>
    </cfRule>
    <cfRule type="cellIs" dxfId="979" priority="812" stopIfTrue="1" operator="greaterThan">
      <formula>0</formula>
    </cfRule>
    <cfRule type="cellIs" dxfId="978" priority="813" stopIfTrue="1" operator="lessThan">
      <formula>0</formula>
    </cfRule>
  </conditionalFormatting>
  <conditionalFormatting sqref="P82 P86 P90">
    <cfRule type="expression" dxfId="977" priority="814" stopIfTrue="1">
      <formula>$P$80=0</formula>
    </cfRule>
    <cfRule type="cellIs" dxfId="976" priority="815" stopIfTrue="1" operator="greaterThan">
      <formula>0</formula>
    </cfRule>
    <cfRule type="cellIs" dxfId="975" priority="816" stopIfTrue="1" operator="lessThan">
      <formula>0</formula>
    </cfRule>
  </conditionalFormatting>
  <conditionalFormatting sqref="B84:B86">
    <cfRule type="cellIs" dxfId="974" priority="817" stopIfTrue="1" operator="equal">
      <formula>"Résultat courant avant impôts"</formula>
    </cfRule>
  </conditionalFormatting>
  <conditionalFormatting sqref="B88:B90">
    <cfRule type="cellIs" dxfId="973" priority="818" stopIfTrue="1" operator="equal">
      <formula>"Capacité d'autofinancement"</formula>
    </cfRule>
  </conditionalFormatting>
  <conditionalFormatting sqref="L8 N8 P8 F8 H8 J8">
    <cfRule type="cellIs" dxfId="972" priority="945" stopIfTrue="1" operator="notEqual">
      <formula>12</formula>
    </cfRule>
  </conditionalFormatting>
  <conditionalFormatting sqref="L11 P35 N35 L35 L51 J35 H35 F35 F51 F11 H51 F56 H56 J56 F61 H61 J61 N51 P51 L56 N56 P56 L61 N61 P61 J51 H11 J11 N11 P11">
    <cfRule type="cellIs" dxfId="971" priority="525" stopIfTrue="1" operator="equal">
      <formula>0</formula>
    </cfRule>
  </conditionalFormatting>
  <conditionalFormatting sqref="F71">
    <cfRule type="cellIs" dxfId="970" priority="784" stopIfTrue="1" operator="equal">
      <formula>"CAF insuffisante"</formula>
    </cfRule>
    <cfRule type="expression" dxfId="969" priority="785" stopIfTrue="1">
      <formula>F68&lt;0</formula>
    </cfRule>
  </conditionalFormatting>
  <conditionalFormatting sqref="H64">
    <cfRule type="expression" dxfId="968" priority="483" stopIfTrue="1">
      <formula>H61&lt;0</formula>
    </cfRule>
  </conditionalFormatting>
  <conditionalFormatting sqref="J64">
    <cfRule type="expression" dxfId="967" priority="482" stopIfTrue="1">
      <formula>J61&lt;0</formula>
    </cfRule>
  </conditionalFormatting>
  <conditionalFormatting sqref="L44 N44 P44 F44 H44 J44">
    <cfRule type="cellIs" dxfId="966" priority="466" stopIfTrue="1" operator="lessThan">
      <formula>0</formula>
    </cfRule>
  </conditionalFormatting>
  <conditionalFormatting sqref="F78 H78 J78">
    <cfRule type="cellIs" dxfId="965" priority="450" operator="greaterThan">
      <formula>0</formula>
    </cfRule>
  </conditionalFormatting>
  <conditionalFormatting sqref="L78 N78 P78">
    <cfRule type="cellIs" dxfId="964" priority="449" operator="greaterThan">
      <formula>0</formula>
    </cfRule>
  </conditionalFormatting>
  <conditionalFormatting sqref="C84:D86 C88:D90">
    <cfRule type="expression" dxfId="963" priority="2926">
      <formula>$J$76="oui"</formula>
    </cfRule>
  </conditionalFormatting>
  <conditionalFormatting sqref="F15 H15 J15">
    <cfRule type="cellIs" dxfId="962" priority="403" operator="lessThan">
      <formula>0</formula>
    </cfRule>
  </conditionalFormatting>
  <conditionalFormatting sqref="F23:F25 J23:J24 H23:H25 F31:F33 J31:J32 H31:H33 F74 P74 N74 L74 J74 H74">
    <cfRule type="cellIs" dxfId="961" priority="392" stopIfTrue="1" operator="equal">
      <formula>"J"</formula>
    </cfRule>
    <cfRule type="cellIs" dxfId="960" priority="393" stopIfTrue="1" operator="equal">
      <formula>"L"</formula>
    </cfRule>
    <cfRule type="cellIs" dxfId="959" priority="394" stopIfTrue="1" operator="equal">
      <formula>"K"</formula>
    </cfRule>
  </conditionalFormatting>
  <conditionalFormatting sqref="P31:P32 N31:N32 L31:L32">
    <cfRule type="cellIs" dxfId="958" priority="374" stopIfTrue="1" operator="equal">
      <formula>"J"</formula>
    </cfRule>
    <cfRule type="cellIs" dxfId="957" priority="375" stopIfTrue="1" operator="equal">
      <formula>"L"</formula>
    </cfRule>
    <cfRule type="cellIs" dxfId="956" priority="376" stopIfTrue="1" operator="equal">
      <formula>"K"</formula>
    </cfRule>
  </conditionalFormatting>
  <conditionalFormatting sqref="P23:P24 N23:N24 L23:L24">
    <cfRule type="cellIs" dxfId="955" priority="368" stopIfTrue="1" operator="equal">
      <formula>"J"</formula>
    </cfRule>
    <cfRule type="cellIs" dxfId="954" priority="369" stopIfTrue="1" operator="equal">
      <formula>"L"</formula>
    </cfRule>
    <cfRule type="cellIs" dxfId="953" priority="370" stopIfTrue="1" operator="equal">
      <formula>"K"</formula>
    </cfRule>
  </conditionalFormatting>
  <conditionalFormatting sqref="F40:F41">
    <cfRule type="cellIs" dxfId="952" priority="365" stopIfTrue="1" operator="equal">
      <formula>"J"</formula>
    </cfRule>
    <cfRule type="cellIs" dxfId="951" priority="366" stopIfTrue="1" operator="equal">
      <formula>"L"</formula>
    </cfRule>
    <cfRule type="cellIs" dxfId="950" priority="367" stopIfTrue="1" operator="equal">
      <formula>"K"</formula>
    </cfRule>
  </conditionalFormatting>
  <conditionalFormatting sqref="F51">
    <cfRule type="cellIs" dxfId="949" priority="325" operator="lessThan">
      <formula>0</formula>
    </cfRule>
  </conditionalFormatting>
  <conditionalFormatting sqref="H51 J51">
    <cfRule type="cellIs" dxfId="948" priority="324" operator="lessThan">
      <formula>0</formula>
    </cfRule>
  </conditionalFormatting>
  <conditionalFormatting sqref="J56 H56 F56">
    <cfRule type="cellIs" dxfId="947" priority="323" operator="lessThan">
      <formula>0</formula>
    </cfRule>
  </conditionalFormatting>
  <conditionalFormatting sqref="J61 H61 F61">
    <cfRule type="cellIs" dxfId="946" priority="322" operator="lessThan">
      <formula>0</formula>
    </cfRule>
  </conditionalFormatting>
  <conditionalFormatting sqref="L51">
    <cfRule type="cellIs" dxfId="945" priority="321" operator="lessThan">
      <formula>0</formula>
    </cfRule>
  </conditionalFormatting>
  <conditionalFormatting sqref="P51 N51">
    <cfRule type="cellIs" dxfId="944" priority="320" operator="lessThan">
      <formula>0</formula>
    </cfRule>
  </conditionalFormatting>
  <conditionalFormatting sqref="P56 N56 L56">
    <cfRule type="cellIs" dxfId="943" priority="319" operator="lessThan">
      <formula>0</formula>
    </cfRule>
  </conditionalFormatting>
  <conditionalFormatting sqref="P61 N61 L61">
    <cfRule type="cellIs" dxfId="942" priority="318" operator="lessThan">
      <formula>0</formula>
    </cfRule>
  </conditionalFormatting>
  <conditionalFormatting sqref="F73">
    <cfRule type="cellIs" dxfId="941" priority="292" stopIfTrue="1" operator="equal">
      <formula>"J"</formula>
    </cfRule>
    <cfRule type="cellIs" dxfId="940" priority="293" stopIfTrue="1" operator="equal">
      <formula>"L"</formula>
    </cfRule>
    <cfRule type="cellIs" dxfId="939" priority="294" stopIfTrue="1" operator="equal">
      <formula>"K"</formula>
    </cfRule>
  </conditionalFormatting>
  <conditionalFormatting sqref="H71">
    <cfRule type="cellIs" dxfId="938" priority="263" stopIfTrue="1" operator="equal">
      <formula>"CAF insuffisante"</formula>
    </cfRule>
    <cfRule type="expression" dxfId="937" priority="264" stopIfTrue="1">
      <formula>H68&lt;0</formula>
    </cfRule>
  </conditionalFormatting>
  <conditionalFormatting sqref="P71">
    <cfRule type="cellIs" dxfId="936" priority="255" stopIfTrue="1" operator="equal">
      <formula>"CAF insuffisante"</formula>
    </cfRule>
    <cfRule type="expression" dxfId="935" priority="256" stopIfTrue="1">
      <formula>P68&lt;0</formula>
    </cfRule>
  </conditionalFormatting>
  <conditionalFormatting sqref="J71">
    <cfRule type="cellIs" dxfId="934" priority="261" stopIfTrue="1" operator="equal">
      <formula>"CAF insuffisante"</formula>
    </cfRule>
    <cfRule type="expression" dxfId="933" priority="262" stopIfTrue="1">
      <formula>J68&lt;0</formula>
    </cfRule>
  </conditionalFormatting>
  <conditionalFormatting sqref="L71">
    <cfRule type="cellIs" dxfId="932" priority="259" stopIfTrue="1" operator="equal">
      <formula>"CAF insuffisante"</formula>
    </cfRule>
    <cfRule type="expression" dxfId="931" priority="260" stopIfTrue="1">
      <formula>L68&lt;0</formula>
    </cfRule>
  </conditionalFormatting>
  <conditionalFormatting sqref="N71">
    <cfRule type="cellIs" dxfId="930" priority="257" stopIfTrue="1" operator="equal">
      <formula>"CAF insuffisante"</formula>
    </cfRule>
    <cfRule type="expression" dxfId="929" priority="258" stopIfTrue="1">
      <formula>N68&lt;0</formula>
    </cfRule>
  </conditionalFormatting>
  <conditionalFormatting sqref="F49">
    <cfRule type="cellIs" dxfId="928" priority="252" stopIfTrue="1" operator="equal">
      <formula>"J"</formula>
    </cfRule>
    <cfRule type="cellIs" dxfId="927" priority="253" stopIfTrue="1" operator="equal">
      <formula>"L"</formula>
    </cfRule>
    <cfRule type="cellIs" dxfId="926" priority="254" stopIfTrue="1" operator="equal">
      <formula>"K"</formula>
    </cfRule>
  </conditionalFormatting>
  <conditionalFormatting sqref="P49 N49 L49 J49 H49">
    <cfRule type="cellIs" dxfId="925" priority="249" stopIfTrue="1" operator="equal">
      <formula>"J"</formula>
    </cfRule>
    <cfRule type="cellIs" dxfId="924" priority="250" stopIfTrue="1" operator="equal">
      <formula>"L"</formula>
    </cfRule>
    <cfRule type="cellIs" dxfId="923" priority="251" stopIfTrue="1" operator="equal">
      <formula>"K"</formula>
    </cfRule>
  </conditionalFormatting>
  <conditionalFormatting sqref="P73 N73 L73 J73 H73">
    <cfRule type="cellIs" dxfId="922" priority="243" stopIfTrue="1" operator="equal">
      <formula>"J"</formula>
    </cfRule>
    <cfRule type="cellIs" dxfId="921" priority="244" stopIfTrue="1" operator="equal">
      <formula>"L"</formula>
    </cfRule>
    <cfRule type="cellIs" dxfId="920" priority="245" stopIfTrue="1" operator="equal">
      <formula>"K"</formula>
    </cfRule>
  </conditionalFormatting>
  <conditionalFormatting sqref="F69 H69 J69 L69 N69 P69">
    <cfRule type="cellIs" dxfId="919" priority="3015" operator="between">
      <formula>0</formula>
      <formula>$C$69</formula>
    </cfRule>
    <cfRule type="cellIs" dxfId="918" priority="3016" operator="lessThan">
      <formula>0</formula>
    </cfRule>
  </conditionalFormatting>
  <conditionalFormatting sqref="F62 H62 J62 L62 N62 P62">
    <cfRule type="cellIs" dxfId="917" priority="3017" operator="lessThan">
      <formula>$C$62</formula>
    </cfRule>
    <cfRule type="cellIs" dxfId="916" priority="3018" operator="lessThan">
      <formula>0</formula>
    </cfRule>
  </conditionalFormatting>
  <conditionalFormatting sqref="F57 H57 J57 L57 N57 P57">
    <cfRule type="cellIs" dxfId="915" priority="3019" operator="lessThan">
      <formula>$C$57</formula>
    </cfRule>
    <cfRule type="cellIs" dxfId="914" priority="3020" operator="lessThan">
      <formula>0</formula>
    </cfRule>
  </conditionalFormatting>
  <conditionalFormatting sqref="F52 H52 J52 L52 N52 P52">
    <cfRule type="cellIs" dxfId="913" priority="3021" operator="lessThan">
      <formula>$C$52</formula>
    </cfRule>
    <cfRule type="cellIs" dxfId="912" priority="3022" operator="lessThan">
      <formula>0</formula>
    </cfRule>
  </conditionalFormatting>
  <conditionalFormatting sqref="F45 H45 J45 L45 N45 P45">
    <cfRule type="cellIs" dxfId="911" priority="3023" operator="lessThan">
      <formula>$C$45</formula>
    </cfRule>
    <cfRule type="cellIs" dxfId="910" priority="3024" operator="lessThan">
      <formula>0</formula>
    </cfRule>
  </conditionalFormatting>
  <conditionalFormatting sqref="F19 H19 J19 L19 F27 H27 J27 N19 P19">
    <cfRule type="cellIs" dxfId="909" priority="3026" operator="equal">
      <formula>0</formula>
    </cfRule>
  </conditionalFormatting>
  <conditionalFormatting sqref="F21 P21 H21 J21 L21 N21">
    <cfRule type="expression" dxfId="908" priority="3037">
      <formula>F19&lt;$C$19</formula>
    </cfRule>
  </conditionalFormatting>
  <conditionalFormatting sqref="F29 P29 H29 J29 L29 N29">
    <cfRule type="expression" dxfId="907" priority="3050">
      <formula>F27&lt;$C$27</formula>
    </cfRule>
  </conditionalFormatting>
  <conditionalFormatting sqref="F47">
    <cfRule type="expression" dxfId="906" priority="189" stopIfTrue="1">
      <formula>F45&lt;0%</formula>
    </cfRule>
    <cfRule type="expression" dxfId="905" priority="190" stopIfTrue="1">
      <formula>F45&lt;15%</formula>
    </cfRule>
    <cfRule type="expression" dxfId="904" priority="191" stopIfTrue="1">
      <formula>F43=0</formula>
    </cfRule>
  </conditionalFormatting>
  <conditionalFormatting sqref="H47">
    <cfRule type="expression" dxfId="903" priority="186" stopIfTrue="1">
      <formula>H45&lt;0%</formula>
    </cfRule>
    <cfRule type="expression" dxfId="902" priority="187" stopIfTrue="1">
      <formula>H45&lt;15%</formula>
    </cfRule>
    <cfRule type="expression" dxfId="901" priority="188" stopIfTrue="1">
      <formula>H43=0</formula>
    </cfRule>
  </conditionalFormatting>
  <conditionalFormatting sqref="J47">
    <cfRule type="expression" dxfId="900" priority="183" stopIfTrue="1">
      <formula>J45&lt;0%</formula>
    </cfRule>
    <cfRule type="expression" dxfId="899" priority="184" stopIfTrue="1">
      <formula>J45&lt;15%</formula>
    </cfRule>
    <cfRule type="expression" dxfId="898" priority="185" stopIfTrue="1">
      <formula>J43=0</formula>
    </cfRule>
  </conditionalFormatting>
  <conditionalFormatting sqref="L47">
    <cfRule type="expression" dxfId="897" priority="180" stopIfTrue="1">
      <formula>L45&lt;0%</formula>
    </cfRule>
    <cfRule type="expression" dxfId="896" priority="181" stopIfTrue="1">
      <formula>L45&lt;15%</formula>
    </cfRule>
    <cfRule type="expression" dxfId="895" priority="182" stopIfTrue="1">
      <formula>L43=0</formula>
    </cfRule>
  </conditionalFormatting>
  <conditionalFormatting sqref="N47">
    <cfRule type="expression" dxfId="894" priority="177" stopIfTrue="1">
      <formula>N45&lt;0%</formula>
    </cfRule>
    <cfRule type="expression" dxfId="893" priority="178" stopIfTrue="1">
      <formula>N45&lt;15%</formula>
    </cfRule>
    <cfRule type="expression" dxfId="892" priority="179" stopIfTrue="1">
      <formula>N43=0</formula>
    </cfRule>
  </conditionalFormatting>
  <conditionalFormatting sqref="P47">
    <cfRule type="expression" dxfId="891" priority="174" stopIfTrue="1">
      <formula>P45&lt;0%</formula>
    </cfRule>
    <cfRule type="expression" dxfId="890" priority="175" stopIfTrue="1">
      <formula>P45&lt;15%</formula>
    </cfRule>
    <cfRule type="expression" dxfId="889" priority="176" stopIfTrue="1">
      <formula>P43=0</formula>
    </cfRule>
  </conditionalFormatting>
  <conditionalFormatting sqref="F54">
    <cfRule type="expression" dxfId="888" priority="171" stopIfTrue="1">
      <formula>F52&lt;=0%</formula>
    </cfRule>
    <cfRule type="expression" dxfId="887" priority="172" stopIfTrue="1">
      <formula>F52&lt;10%</formula>
    </cfRule>
    <cfRule type="expression" dxfId="886" priority="173" stopIfTrue="1">
      <formula>F50=0</formula>
    </cfRule>
  </conditionalFormatting>
  <conditionalFormatting sqref="H54">
    <cfRule type="expression" dxfId="885" priority="168" stopIfTrue="1">
      <formula>H52&lt;=0%</formula>
    </cfRule>
    <cfRule type="expression" dxfId="884" priority="169" stopIfTrue="1">
      <formula>H52&lt;10%</formula>
    </cfRule>
    <cfRule type="expression" dxfId="883" priority="170" stopIfTrue="1">
      <formula>H50=0</formula>
    </cfRule>
  </conditionalFormatting>
  <conditionalFormatting sqref="J54">
    <cfRule type="expression" dxfId="882" priority="165" stopIfTrue="1">
      <formula>J52&lt;=0%</formula>
    </cfRule>
    <cfRule type="expression" dxfId="881" priority="166" stopIfTrue="1">
      <formula>J52&lt;10%</formula>
    </cfRule>
    <cfRule type="expression" dxfId="880" priority="167" stopIfTrue="1">
      <formula>J50=0</formula>
    </cfRule>
  </conditionalFormatting>
  <conditionalFormatting sqref="L54">
    <cfRule type="expression" dxfId="879" priority="162" stopIfTrue="1">
      <formula>L52&lt;=0%</formula>
    </cfRule>
    <cfRule type="expression" dxfId="878" priority="163" stopIfTrue="1">
      <formula>L52&lt;10%</formula>
    </cfRule>
    <cfRule type="expression" dxfId="877" priority="164" stopIfTrue="1">
      <formula>L50=0</formula>
    </cfRule>
  </conditionalFormatting>
  <conditionalFormatting sqref="N54">
    <cfRule type="expression" dxfId="876" priority="159" stopIfTrue="1">
      <formula>N52&lt;=0%</formula>
    </cfRule>
    <cfRule type="expression" dxfId="875" priority="160" stopIfTrue="1">
      <formula>N52&lt;10%</formula>
    </cfRule>
    <cfRule type="expression" dxfId="874" priority="161" stopIfTrue="1">
      <formula>N50=0</formula>
    </cfRule>
  </conditionalFormatting>
  <conditionalFormatting sqref="P54">
    <cfRule type="expression" dxfId="873" priority="156" stopIfTrue="1">
      <formula>P52&lt;=0%</formula>
    </cfRule>
    <cfRule type="expression" dxfId="872" priority="157" stopIfTrue="1">
      <formula>P52&lt;10%</formula>
    </cfRule>
    <cfRule type="expression" dxfId="871" priority="158" stopIfTrue="1">
      <formula>P50=0</formula>
    </cfRule>
  </conditionalFormatting>
  <conditionalFormatting sqref="H59">
    <cfRule type="expression" dxfId="870" priority="153" stopIfTrue="1">
      <formula>H57&lt;=0%</formula>
    </cfRule>
    <cfRule type="expression" dxfId="869" priority="154" stopIfTrue="1">
      <formula>H57&lt;6%</formula>
    </cfRule>
    <cfRule type="expression" dxfId="868" priority="155" stopIfTrue="1">
      <formula>H55=0</formula>
    </cfRule>
  </conditionalFormatting>
  <conditionalFormatting sqref="J59">
    <cfRule type="expression" dxfId="867" priority="150" stopIfTrue="1">
      <formula>J57&lt;=0%</formula>
    </cfRule>
    <cfRule type="expression" dxfId="866" priority="151" stopIfTrue="1">
      <formula>J57&lt;6%</formula>
    </cfRule>
    <cfRule type="expression" dxfId="865" priority="152" stopIfTrue="1">
      <formula>J55=0</formula>
    </cfRule>
  </conditionalFormatting>
  <conditionalFormatting sqref="L59">
    <cfRule type="expression" dxfId="864" priority="147" stopIfTrue="1">
      <formula>L57&lt;=0%</formula>
    </cfRule>
    <cfRule type="expression" dxfId="863" priority="148" stopIfTrue="1">
      <formula>L57&lt;6%</formula>
    </cfRule>
    <cfRule type="expression" dxfId="862" priority="149" stopIfTrue="1">
      <formula>L55=0</formula>
    </cfRule>
  </conditionalFormatting>
  <conditionalFormatting sqref="N59">
    <cfRule type="expression" dxfId="861" priority="144" stopIfTrue="1">
      <formula>N57&lt;=0%</formula>
    </cfRule>
    <cfRule type="expression" dxfId="860" priority="145" stopIfTrue="1">
      <formula>N57&lt;6%</formula>
    </cfRule>
    <cfRule type="expression" dxfId="859" priority="146" stopIfTrue="1">
      <formula>N55=0</formula>
    </cfRule>
  </conditionalFormatting>
  <conditionalFormatting sqref="F68">
    <cfRule type="expression" dxfId="858" priority="140">
      <formula>F65=0</formula>
    </cfRule>
    <cfRule type="cellIs" dxfId="857" priority="141" operator="between">
      <formula>0</formula>
      <formula>F66</formula>
    </cfRule>
    <cfRule type="cellIs" dxfId="856" priority="142" operator="lessThan">
      <formula>0</formula>
    </cfRule>
    <cfRule type="cellIs" dxfId="855" priority="143" operator="between">
      <formula>0</formula>
      <formula>F67</formula>
    </cfRule>
  </conditionalFormatting>
  <conditionalFormatting sqref="H68">
    <cfRule type="expression" dxfId="854" priority="136">
      <formula>H65=0</formula>
    </cfRule>
    <cfRule type="cellIs" dxfId="853" priority="137" operator="between">
      <formula>0</formula>
      <formula>H66</formula>
    </cfRule>
    <cfRule type="cellIs" dxfId="852" priority="138" operator="lessThan">
      <formula>0</formula>
    </cfRule>
    <cfRule type="cellIs" dxfId="851" priority="139" operator="between">
      <formula>0</formula>
      <formula>H67</formula>
    </cfRule>
  </conditionalFormatting>
  <conditionalFormatting sqref="J68">
    <cfRule type="expression" dxfId="850" priority="132">
      <formula>J65=0</formula>
    </cfRule>
    <cfRule type="cellIs" dxfId="849" priority="133" operator="between">
      <formula>0</formula>
      <formula>J66</formula>
    </cfRule>
    <cfRule type="cellIs" dxfId="848" priority="134" operator="lessThan">
      <formula>0</formula>
    </cfRule>
    <cfRule type="cellIs" dxfId="847" priority="135" operator="between">
      <formula>0</formula>
      <formula>J67</formula>
    </cfRule>
  </conditionalFormatting>
  <conditionalFormatting sqref="L68">
    <cfRule type="expression" dxfId="846" priority="128">
      <formula>L65=0</formula>
    </cfRule>
    <cfRule type="cellIs" dxfId="845" priority="129" operator="between">
      <formula>0</formula>
      <formula>L66</formula>
    </cfRule>
    <cfRule type="cellIs" dxfId="844" priority="130" operator="lessThan">
      <formula>0</formula>
    </cfRule>
    <cfRule type="cellIs" dxfId="843" priority="131" operator="between">
      <formula>0</formula>
      <formula>L67</formula>
    </cfRule>
  </conditionalFormatting>
  <conditionalFormatting sqref="N68">
    <cfRule type="expression" dxfId="842" priority="124">
      <formula>N65=0</formula>
    </cfRule>
    <cfRule type="cellIs" dxfId="841" priority="125" operator="between">
      <formula>0</formula>
      <formula>N66</formula>
    </cfRule>
    <cfRule type="cellIs" dxfId="840" priority="126" operator="lessThan">
      <formula>0</formula>
    </cfRule>
    <cfRule type="cellIs" dxfId="839" priority="127" operator="between">
      <formula>0</formula>
      <formula>N67</formula>
    </cfRule>
  </conditionalFormatting>
  <conditionalFormatting sqref="P68">
    <cfRule type="expression" dxfId="838" priority="120">
      <formula>P65=0</formula>
    </cfRule>
    <cfRule type="cellIs" dxfId="837" priority="121" operator="between">
      <formula>0</formula>
      <formula>P66</formula>
    </cfRule>
    <cfRule type="cellIs" dxfId="836" priority="122" operator="lessThan">
      <formula>0</formula>
    </cfRule>
    <cfRule type="cellIs" dxfId="835" priority="123" operator="between">
      <formula>0</formula>
      <formula>P67</formula>
    </cfRule>
  </conditionalFormatting>
  <conditionalFormatting sqref="F38">
    <cfRule type="cellIs" dxfId="834" priority="117" operator="greaterThanOrEqual">
      <formula>0.8</formula>
    </cfRule>
    <cfRule type="cellIs" dxfId="833" priority="118" operator="between">
      <formula>$D$38</formula>
      <formula>0.8</formula>
    </cfRule>
    <cfRule type="cellIs" dxfId="832" priority="119" operator="equal">
      <formula>0</formula>
    </cfRule>
  </conditionalFormatting>
  <conditionalFormatting sqref="H38">
    <cfRule type="cellIs" dxfId="831" priority="114" operator="greaterThanOrEqual">
      <formula>0.8</formula>
    </cfRule>
    <cfRule type="cellIs" dxfId="830" priority="115" operator="between">
      <formula>$D$38</formula>
      <formula>0.8</formula>
    </cfRule>
    <cfRule type="cellIs" dxfId="829" priority="116" operator="equal">
      <formula>0</formula>
    </cfRule>
  </conditionalFormatting>
  <conditionalFormatting sqref="J38">
    <cfRule type="cellIs" dxfId="828" priority="111" operator="greaterThanOrEqual">
      <formula>0.8</formula>
    </cfRule>
    <cfRule type="cellIs" dxfId="827" priority="112" operator="between">
      <formula>$D$38</formula>
      <formula>0.8</formula>
    </cfRule>
    <cfRule type="cellIs" dxfId="826" priority="113" operator="equal">
      <formula>0</formula>
    </cfRule>
  </conditionalFormatting>
  <conditionalFormatting sqref="L38">
    <cfRule type="cellIs" dxfId="825" priority="108" operator="greaterThanOrEqual">
      <formula>0.8</formula>
    </cfRule>
    <cfRule type="cellIs" dxfId="824" priority="109" operator="between">
      <formula>$D$38</formula>
      <formula>0.8</formula>
    </cfRule>
    <cfRule type="cellIs" dxfId="823" priority="110" operator="equal">
      <formula>0</formula>
    </cfRule>
  </conditionalFormatting>
  <conditionalFormatting sqref="N38">
    <cfRule type="cellIs" dxfId="822" priority="105" operator="greaterThanOrEqual">
      <formula>0.8</formula>
    </cfRule>
    <cfRule type="cellIs" dxfId="821" priority="106" operator="between">
      <formula>$D$38</formula>
      <formula>0.8</formula>
    </cfRule>
    <cfRule type="cellIs" dxfId="820" priority="107" operator="equal">
      <formula>0</formula>
    </cfRule>
  </conditionalFormatting>
  <conditionalFormatting sqref="P38">
    <cfRule type="cellIs" dxfId="819" priority="102" operator="greaterThanOrEqual">
      <formula>0.8</formula>
    </cfRule>
    <cfRule type="cellIs" dxfId="818" priority="103" operator="between">
      <formula>$D$38</formula>
      <formula>0.8</formula>
    </cfRule>
    <cfRule type="cellIs" dxfId="817" priority="104" operator="equal">
      <formula>0</formula>
    </cfRule>
  </conditionalFormatting>
  <conditionalFormatting sqref="P59">
    <cfRule type="expression" dxfId="816" priority="99" stopIfTrue="1">
      <formula>P57&lt;=0%</formula>
    </cfRule>
    <cfRule type="expression" dxfId="815" priority="100" stopIfTrue="1">
      <formula>P57&lt;6%</formula>
    </cfRule>
    <cfRule type="expression" dxfId="814" priority="101" stopIfTrue="1">
      <formula>P55=0</formula>
    </cfRule>
  </conditionalFormatting>
  <conditionalFormatting sqref="L15 N15 P15">
    <cfRule type="cellIs" dxfId="813" priority="98" operator="lessThan">
      <formula>0</formula>
    </cfRule>
  </conditionalFormatting>
  <conditionalFormatting sqref="L15">
    <cfRule type="expression" dxfId="812" priority="93">
      <formula>$L$11=0</formula>
    </cfRule>
  </conditionalFormatting>
  <conditionalFormatting sqref="N15">
    <cfRule type="expression" dxfId="811" priority="92">
      <formula>$N$11=0</formula>
    </cfRule>
  </conditionalFormatting>
  <conditionalFormatting sqref="P15">
    <cfRule type="expression" dxfId="810" priority="91">
      <formula>$P$11=0</formula>
    </cfRule>
  </conditionalFormatting>
  <conditionalFormatting sqref="C80:D82">
    <cfRule type="expression" dxfId="809" priority="90">
      <formula>$J$76="oui"</formula>
    </cfRule>
  </conditionalFormatting>
  <conditionalFormatting sqref="F11">
    <cfRule type="cellIs" dxfId="808" priority="89" operator="lessThan">
      <formula>F10</formula>
    </cfRule>
  </conditionalFormatting>
  <conditionalFormatting sqref="H11">
    <cfRule type="cellIs" dxfId="807" priority="88" operator="lessThan">
      <formula>H10</formula>
    </cfRule>
  </conditionalFormatting>
  <conditionalFormatting sqref="J11">
    <cfRule type="cellIs" dxfId="806" priority="87" operator="lessThan">
      <formula>J10</formula>
    </cfRule>
  </conditionalFormatting>
  <conditionalFormatting sqref="L11">
    <cfRule type="cellIs" dxfId="805" priority="86" operator="lessThan">
      <formula>L10</formula>
    </cfRule>
  </conditionalFormatting>
  <conditionalFormatting sqref="P11 N11">
    <cfRule type="cellIs" dxfId="804" priority="85" operator="lessThan">
      <formula>N10</formula>
    </cfRule>
  </conditionalFormatting>
  <conditionalFormatting sqref="F13">
    <cfRule type="cellIs" dxfId="803" priority="79" stopIfTrue="1" operator="equal">
      <formula>"J"</formula>
    </cfRule>
    <cfRule type="cellIs" dxfId="802" priority="80" stopIfTrue="1" operator="equal">
      <formula>"L"</formula>
    </cfRule>
    <cfRule type="cellIs" dxfId="801" priority="81" stopIfTrue="1" operator="equal">
      <formula>"K"</formula>
    </cfRule>
  </conditionalFormatting>
  <conditionalFormatting sqref="H13">
    <cfRule type="cellIs" dxfId="800" priority="76" stopIfTrue="1" operator="equal">
      <formula>"J"</formula>
    </cfRule>
    <cfRule type="cellIs" dxfId="799" priority="77" stopIfTrue="1" operator="equal">
      <formula>"L"</formula>
    </cfRule>
    <cfRule type="cellIs" dxfId="798" priority="78" stopIfTrue="1" operator="equal">
      <formula>"K"</formula>
    </cfRule>
  </conditionalFormatting>
  <conditionalFormatting sqref="J13">
    <cfRule type="cellIs" dxfId="797" priority="73" stopIfTrue="1" operator="equal">
      <formula>"J"</formula>
    </cfRule>
    <cfRule type="cellIs" dxfId="796" priority="74" stopIfTrue="1" operator="equal">
      <formula>"L"</formula>
    </cfRule>
    <cfRule type="cellIs" dxfId="795" priority="75" stopIfTrue="1" operator="equal">
      <formula>"K"</formula>
    </cfRule>
  </conditionalFormatting>
  <conditionalFormatting sqref="L13">
    <cfRule type="cellIs" dxfId="794" priority="70" stopIfTrue="1" operator="equal">
      <formula>"J"</formula>
    </cfRule>
    <cfRule type="cellIs" dxfId="793" priority="71" stopIfTrue="1" operator="equal">
      <formula>"L"</formula>
    </cfRule>
    <cfRule type="cellIs" dxfId="792" priority="72" stopIfTrue="1" operator="equal">
      <formula>"K"</formula>
    </cfRule>
  </conditionalFormatting>
  <conditionalFormatting sqref="N13">
    <cfRule type="cellIs" dxfId="791" priority="67" stopIfTrue="1" operator="equal">
      <formula>"J"</formula>
    </cfRule>
    <cfRule type="cellIs" dxfId="790" priority="68" stopIfTrue="1" operator="equal">
      <formula>"L"</formula>
    </cfRule>
    <cfRule type="cellIs" dxfId="789" priority="69" stopIfTrue="1" operator="equal">
      <formula>"K"</formula>
    </cfRule>
  </conditionalFormatting>
  <conditionalFormatting sqref="P13">
    <cfRule type="cellIs" dxfId="788" priority="64" stopIfTrue="1" operator="equal">
      <formula>"J"</formula>
    </cfRule>
    <cfRule type="cellIs" dxfId="787" priority="65" stopIfTrue="1" operator="equal">
      <formula>"L"</formula>
    </cfRule>
    <cfRule type="cellIs" dxfId="786" priority="66" stopIfTrue="1" operator="equal">
      <formula>"K"</formula>
    </cfRule>
  </conditionalFormatting>
  <conditionalFormatting sqref="H40:H41">
    <cfRule type="cellIs" dxfId="785" priority="60" stopIfTrue="1" operator="equal">
      <formula>"J"</formula>
    </cfRule>
    <cfRule type="cellIs" dxfId="784" priority="61" stopIfTrue="1" operator="equal">
      <formula>"L"</formula>
    </cfRule>
    <cfRule type="cellIs" dxfId="783" priority="62" stopIfTrue="1" operator="equal">
      <formula>"K"</formula>
    </cfRule>
  </conditionalFormatting>
  <conditionalFormatting sqref="J40:J41">
    <cfRule type="cellIs" dxfId="782" priority="57" stopIfTrue="1" operator="equal">
      <formula>"J"</formula>
    </cfRule>
    <cfRule type="cellIs" dxfId="781" priority="58" stopIfTrue="1" operator="equal">
      <formula>"L"</formula>
    </cfRule>
    <cfRule type="cellIs" dxfId="780" priority="59" stopIfTrue="1" operator="equal">
      <formula>"K"</formula>
    </cfRule>
  </conditionalFormatting>
  <conditionalFormatting sqref="P40:P41 N40:N41 L40:L41">
    <cfRule type="cellIs" dxfId="779" priority="54" stopIfTrue="1" operator="equal">
      <formula>"J"</formula>
    </cfRule>
    <cfRule type="cellIs" dxfId="778" priority="55" stopIfTrue="1" operator="equal">
      <formula>"L"</formula>
    </cfRule>
    <cfRule type="cellIs" dxfId="777" priority="56" stopIfTrue="1" operator="equal">
      <formula>"K"</formula>
    </cfRule>
  </conditionalFormatting>
  <conditionalFormatting sqref="F42">
    <cfRule type="cellIs" dxfId="776" priority="50" operator="equal">
      <formula>"VA négative !"</formula>
    </cfRule>
    <cfRule type="cellIs" dxfId="775" priority="51" operator="equal">
      <formula>"Mauvais"</formula>
    </cfRule>
    <cfRule type="expression" dxfId="774" priority="52" stopIfTrue="1">
      <formula>F38&lt;75%</formula>
    </cfRule>
    <cfRule type="cellIs" dxfId="773" priority="53" stopIfTrue="1" operator="equal">
      <formula>"Très mauvais"</formula>
    </cfRule>
  </conditionalFormatting>
  <conditionalFormatting sqref="H42">
    <cfRule type="cellIs" dxfId="772" priority="46" operator="equal">
      <formula>"VA négative !"</formula>
    </cfRule>
    <cfRule type="cellIs" dxfId="771" priority="47" operator="equal">
      <formula>"Mauvais"</formula>
    </cfRule>
    <cfRule type="expression" dxfId="770" priority="48" stopIfTrue="1">
      <formula>H38&lt;75%</formula>
    </cfRule>
    <cfRule type="cellIs" dxfId="769" priority="49" stopIfTrue="1" operator="equal">
      <formula>"Très mauvais"</formula>
    </cfRule>
  </conditionalFormatting>
  <conditionalFormatting sqref="J42">
    <cfRule type="cellIs" dxfId="768" priority="42" operator="equal">
      <formula>"VA négative !"</formula>
    </cfRule>
    <cfRule type="cellIs" dxfId="767" priority="43" operator="equal">
      <formula>"Mauvais"</formula>
    </cfRule>
    <cfRule type="expression" dxfId="766" priority="44" stopIfTrue="1">
      <formula>J38&lt;75%</formula>
    </cfRule>
    <cfRule type="cellIs" dxfId="765" priority="45" stopIfTrue="1" operator="equal">
      <formula>"Très mauvais"</formula>
    </cfRule>
  </conditionalFormatting>
  <conditionalFormatting sqref="L42">
    <cfRule type="cellIs" dxfId="764" priority="38" operator="equal">
      <formula>"VA négative !"</formula>
    </cfRule>
    <cfRule type="cellIs" dxfId="763" priority="39" operator="equal">
      <formula>"Mauvais"</formula>
    </cfRule>
    <cfRule type="expression" dxfId="762" priority="40" stopIfTrue="1">
      <formula>L38&lt;75%</formula>
    </cfRule>
    <cfRule type="cellIs" dxfId="761" priority="41" stopIfTrue="1" operator="equal">
      <formula>"Très mauvais"</formula>
    </cfRule>
  </conditionalFormatting>
  <conditionalFormatting sqref="N42">
    <cfRule type="cellIs" dxfId="760" priority="34" operator="equal">
      <formula>"VA négative !"</formula>
    </cfRule>
    <cfRule type="cellIs" dxfId="759" priority="35" operator="equal">
      <formula>"Mauvais"</formula>
    </cfRule>
    <cfRule type="expression" dxfId="758" priority="36" stopIfTrue="1">
      <formula>N38&lt;75%</formula>
    </cfRule>
    <cfRule type="cellIs" dxfId="757" priority="37" stopIfTrue="1" operator="equal">
      <formula>"Très mauvais"</formula>
    </cfRule>
  </conditionalFormatting>
  <conditionalFormatting sqref="P42">
    <cfRule type="cellIs" dxfId="756" priority="30" operator="equal">
      <formula>"VA négative !"</formula>
    </cfRule>
    <cfRule type="cellIs" dxfId="755" priority="31" operator="equal">
      <formula>"Mauvais"</formula>
    </cfRule>
    <cfRule type="expression" dxfId="754" priority="32" stopIfTrue="1">
      <formula>P38&lt;75%</formula>
    </cfRule>
    <cfRule type="cellIs" dxfId="753" priority="33" stopIfTrue="1" operator="equal">
      <formula>"Très mauvais"</formula>
    </cfRule>
  </conditionalFormatting>
  <conditionalFormatting sqref="F35 H35 J35 L35 N35 P35">
    <cfRule type="cellIs" dxfId="752" priority="29" operator="lessThan">
      <formula>0</formula>
    </cfRule>
  </conditionalFormatting>
  <conditionalFormatting sqref="F36 H36 J36 L36 N36 P36">
    <cfRule type="cellIs" dxfId="751" priority="28" operator="lessThan">
      <formula>0</formula>
    </cfRule>
  </conditionalFormatting>
  <conditionalFormatting sqref="P17">
    <cfRule type="expression" dxfId="750" priority="8">
      <formula>O17=1</formula>
    </cfRule>
    <cfRule type="cellIs" dxfId="749" priority="26" operator="equal">
      <formula>"OUI"</formula>
    </cfRule>
    <cfRule type="cellIs" dxfId="748" priority="27" stopIfTrue="1" operator="equal">
      <formula>"non"</formula>
    </cfRule>
  </conditionalFormatting>
  <conditionalFormatting sqref="L27 N27 P27">
    <cfRule type="cellIs" dxfId="747" priority="13" operator="equal">
      <formula>0</formula>
    </cfRule>
  </conditionalFormatting>
  <conditionalFormatting sqref="P25">
    <cfRule type="expression" dxfId="746" priority="5">
      <formula>O25=1</formula>
    </cfRule>
    <cfRule type="cellIs" dxfId="745" priority="6" operator="equal">
      <formula>"OUI"</formula>
    </cfRule>
    <cfRule type="cellIs" dxfId="744" priority="7" stopIfTrue="1" operator="equal">
      <formula>"non"</formula>
    </cfRule>
  </conditionalFormatting>
  <conditionalFormatting sqref="P33">
    <cfRule type="expression" dxfId="743" priority="2">
      <formula>O33=1</formula>
    </cfRule>
    <cfRule type="cellIs" dxfId="742" priority="3" operator="equal">
      <formula>"OUI"</formula>
    </cfRule>
    <cfRule type="cellIs" dxfId="741" priority="4" stopIfTrue="1" operator="equal">
      <formula>"non"</formula>
    </cfRule>
  </conditionalFormatting>
  <dataValidations count="3">
    <dataValidation type="list" allowBlank="1" showInputMessage="1" showErrorMessage="1" sqref="J76" xr:uid="{00000000-0002-0000-0800-000000000000}">
      <formula1>"NON,OUI"</formula1>
    </dataValidation>
    <dataValidation type="list" allowBlank="1" showInputMessage="1" showErrorMessage="1" sqref="P25 P17 P33" xr:uid="{00000000-0002-0000-0800-000001000000}">
      <formula1>"oui,non"</formula1>
    </dataValidation>
    <dataValidation allowBlank="1" showInputMessage="1" showErrorMessage="1" prompt="Information figurant dans l'onglet &quot;Rachat ou reprise&quot;" sqref="P4" xr:uid="{2FFE2DF2-FBDA-441E-94B2-A1B31AEF3559}"/>
  </dataValidations>
  <printOptions horizontalCentered="1" verticalCentered="1"/>
  <pageMargins left="0" right="0" top="0" bottom="0" header="0" footer="0"/>
  <pageSetup paperSize="9" scale="70"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3" id="{654217AD-2065-4018-9514-EA400F6C0AC0}">
            <xm:f>Accueil!$C$5="transmission d'entreprise"</xm:f>
            <x14:dxf>
              <fill>
                <patternFill>
                  <bgColor theme="0" tint="-4.9989318521683403E-2"/>
                </patternFill>
              </fill>
              <border>
                <left style="thin">
                  <color theme="0" tint="-0.499984740745262"/>
                </left>
                <right style="thin">
                  <color theme="0" tint="-0.499984740745262"/>
                </right>
                <top style="thin">
                  <color theme="0" tint="-0.499984740745262"/>
                </top>
                <bottom style="thin">
                  <color theme="0" tint="-0.499984740745262"/>
                </bottom>
                <vertical/>
                <horizontal/>
              </border>
            </x14:dxf>
          </x14:cfRule>
          <xm:sqref>P4</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665</vt:i4>
      </vt:variant>
    </vt:vector>
  </HeadingPairs>
  <TitlesOfParts>
    <vt:vector size="684" baseType="lpstr">
      <vt:lpstr>Accueil</vt:lpstr>
      <vt:lpstr>Projet</vt:lpstr>
      <vt:lpstr>Entreprise cible</vt:lpstr>
      <vt:lpstr>Rachat ou reprise</vt:lpstr>
      <vt:lpstr>Cpte de résultat prévisionnel</vt:lpstr>
      <vt:lpstr>Investissements</vt:lpstr>
      <vt:lpstr>Plan de financement</vt:lpstr>
      <vt:lpstr>Simulations</vt:lpstr>
      <vt:lpstr>Synthèse exploitation</vt:lpstr>
      <vt:lpstr>Synthèse structure financière</vt:lpstr>
      <vt:lpstr>Analyse CR</vt:lpstr>
      <vt:lpstr>Analyse bilan</vt:lpstr>
      <vt:lpstr>Holding-prévisionnel</vt:lpstr>
      <vt:lpstr>Holding-plan de financement</vt:lpstr>
      <vt:lpstr>Valorisation</vt:lpstr>
      <vt:lpstr>Cotation</vt:lpstr>
      <vt:lpstr>Avis comité technique</vt:lpstr>
      <vt:lpstr>Tableaux d'emprunts</vt:lpstr>
      <vt:lpstr>score</vt:lpstr>
      <vt:lpstr>aa_1</vt:lpstr>
      <vt:lpstr>aa_2</vt:lpstr>
      <vt:lpstr>aa_3</vt:lpstr>
      <vt:lpstr>aa_4</vt:lpstr>
      <vt:lpstr>activité</vt:lpstr>
      <vt:lpstr>amort_1</vt:lpstr>
      <vt:lpstr>amort_2</vt:lpstr>
      <vt:lpstr>amort_3</vt:lpstr>
      <vt:lpstr>amort_4</vt:lpstr>
      <vt:lpstr>amort_5</vt:lpstr>
      <vt:lpstr>amort_6</vt:lpstr>
      <vt:lpstr>amort_7</vt:lpstr>
      <vt:lpstr>amort_créditbail_5</vt:lpstr>
      <vt:lpstr>amort_créditbail_6</vt:lpstr>
      <vt:lpstr>amort_créditbail_7</vt:lpstr>
      <vt:lpstr>An</vt:lpstr>
      <vt:lpstr>annuité_emprunt1</vt:lpstr>
      <vt:lpstr>annuité_emprunt2</vt:lpstr>
      <vt:lpstr>annuité_emprunt3</vt:lpstr>
      <vt:lpstr>annuité_emprunt4</vt:lpstr>
      <vt:lpstr>annuité_emprunt5</vt:lpstr>
      <vt:lpstr>apport_K_5</vt:lpstr>
      <vt:lpstr>apport_K_6</vt:lpstr>
      <vt:lpstr>apport_K_7</vt:lpstr>
      <vt:lpstr>Apurement_5</vt:lpstr>
      <vt:lpstr>Apurement_6</vt:lpstr>
      <vt:lpstr>Apurement_7</vt:lpstr>
      <vt:lpstr>Autres_apports_5</vt:lpstr>
      <vt:lpstr>Autres_apports_6</vt:lpstr>
      <vt:lpstr>Autres_apports_7</vt:lpstr>
      <vt:lpstr>autres_dettes_5</vt:lpstr>
      <vt:lpstr>autres_dettes_6</vt:lpstr>
      <vt:lpstr>autres_dettes_7</vt:lpstr>
      <vt:lpstr>besoin_N</vt:lpstr>
      <vt:lpstr>besoin_N1</vt:lpstr>
      <vt:lpstr>besoin_N2</vt:lpstr>
      <vt:lpstr>bfe_1</vt:lpstr>
      <vt:lpstr>bfe_2</vt:lpstr>
      <vt:lpstr>bfe_3</vt:lpstr>
      <vt:lpstr>bfe_4</vt:lpstr>
      <vt:lpstr>bfr_1</vt:lpstr>
      <vt:lpstr>bfr_2</vt:lpstr>
      <vt:lpstr>bfr_3</vt:lpstr>
      <vt:lpstr>bfr_4</vt:lpstr>
      <vt:lpstr>bfr_5</vt:lpstr>
      <vt:lpstr>bfr_6</vt:lpstr>
      <vt:lpstr>bfr_7</vt:lpstr>
      <vt:lpstr>BFR_moyen</vt:lpstr>
      <vt:lpstr>bfre_1</vt:lpstr>
      <vt:lpstr>bfre_2</vt:lpstr>
      <vt:lpstr>bfre_3</vt:lpstr>
      <vt:lpstr>bfre_4</vt:lpstr>
      <vt:lpstr>bfre_5</vt:lpstr>
      <vt:lpstr>bfre_6</vt:lpstr>
      <vt:lpstr>bfre_7</vt:lpstr>
      <vt:lpstr>bfrhe_1</vt:lpstr>
      <vt:lpstr>bilanréévalué_1</vt:lpstr>
      <vt:lpstr>bilanréévalué_2</vt:lpstr>
      <vt:lpstr>bilanréévalué_3</vt:lpstr>
      <vt:lpstr>bilanréévalué_7</vt:lpstr>
      <vt:lpstr>bilanrrévalué_4</vt:lpstr>
      <vt:lpstr>bilanrrévalué_5</vt:lpstr>
      <vt:lpstr>bilanrrévalué_6</vt:lpstr>
      <vt:lpstr>bl_1</vt:lpstr>
      <vt:lpstr>bl_2</vt:lpstr>
      <vt:lpstr>bl_3</vt:lpstr>
      <vt:lpstr>bl_4</vt:lpstr>
      <vt:lpstr>bn_1</vt:lpstr>
      <vt:lpstr>bn_2</vt:lpstr>
      <vt:lpstr>bn_3</vt:lpstr>
      <vt:lpstr>bn_4</vt:lpstr>
      <vt:lpstr>bp_1</vt:lpstr>
      <vt:lpstr>bp_2</vt:lpstr>
      <vt:lpstr>bp_3</vt:lpstr>
      <vt:lpstr>bp_4</vt:lpstr>
      <vt:lpstr>br_1</vt:lpstr>
      <vt:lpstr>br_2</vt:lpstr>
      <vt:lpstr>br_3</vt:lpstr>
      <vt:lpstr>br_4</vt:lpstr>
      <vt:lpstr>bt_1</vt:lpstr>
      <vt:lpstr>bt_2</vt:lpstr>
      <vt:lpstr>bt_3</vt:lpstr>
      <vt:lpstr>bt_4</vt:lpstr>
      <vt:lpstr>ca_1</vt:lpstr>
      <vt:lpstr>ca_2</vt:lpstr>
      <vt:lpstr>ca_3</vt:lpstr>
      <vt:lpstr>ca_4</vt:lpstr>
      <vt:lpstr>ca_5</vt:lpstr>
      <vt:lpstr>ca_6</vt:lpstr>
      <vt:lpstr>ca_7</vt:lpstr>
      <vt:lpstr>caf_1</vt:lpstr>
      <vt:lpstr>caf_2</vt:lpstr>
      <vt:lpstr>caf_3</vt:lpstr>
      <vt:lpstr>caf_4</vt:lpstr>
      <vt:lpstr>caf_5</vt:lpstr>
      <vt:lpstr>caf_5_révisé</vt:lpstr>
      <vt:lpstr>caf_6</vt:lpstr>
      <vt:lpstr>caf_6_révisé</vt:lpstr>
      <vt:lpstr>caf_7</vt:lpstr>
      <vt:lpstr>caf_7_révisé</vt:lpstr>
      <vt:lpstr>caf_retraitée_1</vt:lpstr>
      <vt:lpstr>caf_retraitée_2</vt:lpstr>
      <vt:lpstr>caf_retraitée_3</vt:lpstr>
      <vt:lpstr>caf_retraitée_4</vt:lpstr>
      <vt:lpstr>caf_retraitée_5</vt:lpstr>
      <vt:lpstr>caf_retraitée_6</vt:lpstr>
      <vt:lpstr>caf_retraitée_7</vt:lpstr>
      <vt:lpstr>cafnet_1_holding</vt:lpstr>
      <vt:lpstr>cafnet_2_holding</vt:lpstr>
      <vt:lpstr>cafnet_3_holding</vt:lpstr>
      <vt:lpstr>capital_hk_1</vt:lpstr>
      <vt:lpstr>capital_hk_2</vt:lpstr>
      <vt:lpstr>capital_holding</vt:lpstr>
      <vt:lpstr>capitalisation_cc5</vt:lpstr>
      <vt:lpstr>capitalisation_cc6</vt:lpstr>
      <vt:lpstr>capitalisation_cc7</vt:lpstr>
      <vt:lpstr>cd_1</vt:lpstr>
      <vt:lpstr>cd_2</vt:lpstr>
      <vt:lpstr>cd_3</vt:lpstr>
      <vt:lpstr>cd_4</vt:lpstr>
      <vt:lpstr>cession_actifs_5</vt:lpstr>
      <vt:lpstr>cession_actifs_6</vt:lpstr>
      <vt:lpstr>cession_actifs_7</vt:lpstr>
      <vt:lpstr>cf_1</vt:lpstr>
      <vt:lpstr>cf_2</vt:lpstr>
      <vt:lpstr>cf_3</vt:lpstr>
      <vt:lpstr>cf_4</vt:lpstr>
      <vt:lpstr>ch.fixes_5</vt:lpstr>
      <vt:lpstr>ch.fixes_6</vt:lpstr>
      <vt:lpstr>ch.fixes_7</vt:lpstr>
      <vt:lpstr>ch.variables_1</vt:lpstr>
      <vt:lpstr>ch.variables_2</vt:lpstr>
      <vt:lpstr>ch.variables_3</vt:lpstr>
      <vt:lpstr>ch.variables_5</vt:lpstr>
      <vt:lpstr>ch.variables_6</vt:lpstr>
      <vt:lpstr>ch.variables_7</vt:lpstr>
      <vt:lpstr>clôture</vt:lpstr>
      <vt:lpstr>clt_5</vt:lpstr>
      <vt:lpstr>clt_6</vt:lpstr>
      <vt:lpstr>clt_7</vt:lpstr>
      <vt:lpstr>clt_brut_1</vt:lpstr>
      <vt:lpstr>clt_brut_2</vt:lpstr>
      <vt:lpstr>clt_brut_3</vt:lpstr>
      <vt:lpstr>clt_brut_4</vt:lpstr>
      <vt:lpstr>clt_net_1</vt:lpstr>
      <vt:lpstr>clt_net_2</vt:lpstr>
      <vt:lpstr>clt_net_3</vt:lpstr>
      <vt:lpstr>clt_net_4</vt:lpstr>
      <vt:lpstr>commune</vt:lpstr>
      <vt:lpstr>complément_FR</vt:lpstr>
      <vt:lpstr>complt_hk1</vt:lpstr>
      <vt:lpstr>complt_hk2</vt:lpstr>
      <vt:lpstr>cp_1</vt:lpstr>
      <vt:lpstr>cp_2</vt:lpstr>
      <vt:lpstr>cp_3</vt:lpstr>
      <vt:lpstr>cp_4</vt:lpstr>
      <vt:lpstr>cp_5</vt:lpstr>
      <vt:lpstr>cp_6</vt:lpstr>
      <vt:lpstr>cp_7</vt:lpstr>
      <vt:lpstr>créances_nettes_expl_1</vt:lpstr>
      <vt:lpstr>créances_nettes_expl_2</vt:lpstr>
      <vt:lpstr>créances_nettes_expl_3</vt:lpstr>
      <vt:lpstr>créances_nettes_expl_4</vt:lpstr>
      <vt:lpstr>creation</vt:lpstr>
      <vt:lpstr>creditbail_1</vt:lpstr>
      <vt:lpstr>creditbail_2</vt:lpstr>
      <vt:lpstr>creditbail_3</vt:lpstr>
      <vt:lpstr>creditbail_4</vt:lpstr>
      <vt:lpstr>creditbail_5</vt:lpstr>
      <vt:lpstr>creditbail_6</vt:lpstr>
      <vt:lpstr>creditbail_7</vt:lpstr>
      <vt:lpstr>da_1</vt:lpstr>
      <vt:lpstr>da_2</vt:lpstr>
      <vt:lpstr>da_3</vt:lpstr>
      <vt:lpstr>da_4</vt:lpstr>
      <vt:lpstr>da_5</vt:lpstr>
      <vt:lpstr>date_création_holding</vt:lpstr>
      <vt:lpstr>dct_1</vt:lpstr>
      <vt:lpstr>dct_2</vt:lpstr>
      <vt:lpstr>dct_3</vt:lpstr>
      <vt:lpstr>dct_4</vt:lpstr>
      <vt:lpstr>dct_5</vt:lpstr>
      <vt:lpstr>dct_6</vt:lpstr>
      <vt:lpstr>dct_7</vt:lpstr>
      <vt:lpstr>dérogatoire_5</vt:lpstr>
      <vt:lpstr>dérogatoire_6</vt:lpstr>
      <vt:lpstr>dérogatoire_7</vt:lpstr>
      <vt:lpstr>dettes_financières_1</vt:lpstr>
      <vt:lpstr>dettes_financières_2</vt:lpstr>
      <vt:lpstr>dettes_financières_3</vt:lpstr>
      <vt:lpstr>dettes_financières_4</vt:lpstr>
      <vt:lpstr>dfr_1</vt:lpstr>
      <vt:lpstr>dfr_2</vt:lpstr>
      <vt:lpstr>dfr_3</vt:lpstr>
      <vt:lpstr>dfr_4</vt:lpstr>
      <vt:lpstr>dfr_5</vt:lpstr>
      <vt:lpstr>dfr_6</vt:lpstr>
      <vt:lpstr>dfr_7</vt:lpstr>
      <vt:lpstr>DFR_moyen</vt:lpstr>
      <vt:lpstr>dfse_1</vt:lpstr>
      <vt:lpstr>dfse_2</vt:lpstr>
      <vt:lpstr>dfse_3</vt:lpstr>
      <vt:lpstr>dfse_4</vt:lpstr>
      <vt:lpstr>différé_complt_hk1</vt:lpstr>
      <vt:lpstr>différé_complt_hk2</vt:lpstr>
      <vt:lpstr>différé_emprunt1</vt:lpstr>
      <vt:lpstr>différé_emprunt2</vt:lpstr>
      <vt:lpstr>différé_emprunt3</vt:lpstr>
      <vt:lpstr>différé_emprunt4</vt:lpstr>
      <vt:lpstr>différé_emprunt5</vt:lpstr>
      <vt:lpstr>div1_holding</vt:lpstr>
      <vt:lpstr>div2_holding</vt:lpstr>
      <vt:lpstr>div3_holding</vt:lpstr>
      <vt:lpstr>dividende_5</vt:lpstr>
      <vt:lpstr>dividende_6</vt:lpstr>
      <vt:lpstr>dividende_7</vt:lpstr>
      <vt:lpstr>dl_1</vt:lpstr>
      <vt:lpstr>dl_2</vt:lpstr>
      <vt:lpstr>dl_3</vt:lpstr>
      <vt:lpstr>dl_4</vt:lpstr>
      <vt:lpstr>dl_5</vt:lpstr>
      <vt:lpstr>dl_6</vt:lpstr>
      <vt:lpstr>dl_7</vt:lpstr>
      <vt:lpstr>do_1</vt:lpstr>
      <vt:lpstr>do_2</vt:lpstr>
      <vt:lpstr>do_3</vt:lpstr>
      <vt:lpstr>durée_1</vt:lpstr>
      <vt:lpstr>durée_2</vt:lpstr>
      <vt:lpstr>durée_3</vt:lpstr>
      <vt:lpstr>durée_4</vt:lpstr>
      <vt:lpstr>durée_5</vt:lpstr>
      <vt:lpstr>durée_6</vt:lpstr>
      <vt:lpstr>durée_7</vt:lpstr>
      <vt:lpstr>durée_complt_hk1</vt:lpstr>
      <vt:lpstr>durée_complt_hk2</vt:lpstr>
      <vt:lpstr>durée_moyenne</vt:lpstr>
      <vt:lpstr>dw_1</vt:lpstr>
      <vt:lpstr>dw_2</vt:lpstr>
      <vt:lpstr>dw_3</vt:lpstr>
      <vt:lpstr>dw_4</vt:lpstr>
      <vt:lpstr>dx_1</vt:lpstr>
      <vt:lpstr>dx_2</vt:lpstr>
      <vt:lpstr>dx_3</vt:lpstr>
      <vt:lpstr>dx_4</vt:lpstr>
      <vt:lpstr>dx_5</vt:lpstr>
      <vt:lpstr>dx_6</vt:lpstr>
      <vt:lpstr>dx_7</vt:lpstr>
      <vt:lpstr>dy_1</vt:lpstr>
      <vt:lpstr>dy_2</vt:lpstr>
      <vt:lpstr>dy_3</vt:lpstr>
      <vt:lpstr>dy_4</vt:lpstr>
      <vt:lpstr>dy_5</vt:lpstr>
      <vt:lpstr>dy_6</vt:lpstr>
      <vt:lpstr>dy_7</vt:lpstr>
      <vt:lpstr>e8_1</vt:lpstr>
      <vt:lpstr>eb_1</vt:lpstr>
      <vt:lpstr>eb_2</vt:lpstr>
      <vt:lpstr>eb_3</vt:lpstr>
      <vt:lpstr>eb_4</vt:lpstr>
      <vt:lpstr>ebe_1</vt:lpstr>
      <vt:lpstr>ebe_2</vt:lpstr>
      <vt:lpstr>ebe_3</vt:lpstr>
      <vt:lpstr>ebe_4</vt:lpstr>
      <vt:lpstr>ebe_5</vt:lpstr>
      <vt:lpstr>ebe_6</vt:lpstr>
      <vt:lpstr>ebe_7</vt:lpstr>
      <vt:lpstr>effectif_1</vt:lpstr>
      <vt:lpstr>eh_1</vt:lpstr>
      <vt:lpstr>eh_2</vt:lpstr>
      <vt:lpstr>eh_3</vt:lpstr>
      <vt:lpstr>eh_4</vt:lpstr>
      <vt:lpstr>emp_1</vt:lpstr>
      <vt:lpstr>emp_2</vt:lpstr>
      <vt:lpstr>emp_3</vt:lpstr>
      <vt:lpstr>emp_4</vt:lpstr>
      <vt:lpstr>emp_5</vt:lpstr>
      <vt:lpstr>emp_6</vt:lpstr>
      <vt:lpstr>emp_7</vt:lpstr>
      <vt:lpstr>emp_élargi_1</vt:lpstr>
      <vt:lpstr>emp_élargi_2</vt:lpstr>
      <vt:lpstr>emp_élargi_3</vt:lpstr>
      <vt:lpstr>emp_élargi_4</vt:lpstr>
      <vt:lpstr>emp_elargi_5</vt:lpstr>
      <vt:lpstr>emp_elargi_6</vt:lpstr>
      <vt:lpstr>emp_elargi_7</vt:lpstr>
      <vt:lpstr>emprunt1</vt:lpstr>
      <vt:lpstr>emprunt2</vt:lpstr>
      <vt:lpstr>emprunt3</vt:lpstr>
      <vt:lpstr>emprunt4</vt:lpstr>
      <vt:lpstr>emprunt5</vt:lpstr>
      <vt:lpstr>endettement_1</vt:lpstr>
      <vt:lpstr>endettement_2</vt:lpstr>
      <vt:lpstr>endettement_3</vt:lpstr>
      <vt:lpstr>endettement_4</vt:lpstr>
      <vt:lpstr>endettement_5</vt:lpstr>
      <vt:lpstr>endettement_6</vt:lpstr>
      <vt:lpstr>endettement_7</vt:lpstr>
      <vt:lpstr>exercice_1</vt:lpstr>
      <vt:lpstr>exercice_2</vt:lpstr>
      <vt:lpstr>exercice_3</vt:lpstr>
      <vt:lpstr>exercice_4</vt:lpstr>
      <vt:lpstr>export_1</vt:lpstr>
      <vt:lpstr>export_2</vt:lpstr>
      <vt:lpstr>export_3</vt:lpstr>
      <vt:lpstr>export_4</vt:lpstr>
      <vt:lpstr>fc_1</vt:lpstr>
      <vt:lpstr>fc_2</vt:lpstr>
      <vt:lpstr>fc_3</vt:lpstr>
      <vt:lpstr>fc_4</vt:lpstr>
      <vt:lpstr>ff_1</vt:lpstr>
      <vt:lpstr>ff_2</vt:lpstr>
      <vt:lpstr>ff_3</vt:lpstr>
      <vt:lpstr>ff_4</vt:lpstr>
      <vt:lpstr>fi_1</vt:lpstr>
      <vt:lpstr>fi_2</vt:lpstr>
      <vt:lpstr>fi_3</vt:lpstr>
      <vt:lpstr>fi_4</vt:lpstr>
      <vt:lpstr>fm_1</vt:lpstr>
      <vt:lpstr>fm_2</vt:lpstr>
      <vt:lpstr>fm_3</vt:lpstr>
      <vt:lpstr>fm_4</vt:lpstr>
      <vt:lpstr>fn_1</vt:lpstr>
      <vt:lpstr>fn_2</vt:lpstr>
      <vt:lpstr>fn_3</vt:lpstr>
      <vt:lpstr>fn_4</vt:lpstr>
      <vt:lpstr>fonds</vt:lpstr>
      <vt:lpstr>fonds_propres_5</vt:lpstr>
      <vt:lpstr>fonds_propres_6</vt:lpstr>
      <vt:lpstr>fonds_propres_7</vt:lpstr>
      <vt:lpstr>forme_holding</vt:lpstr>
      <vt:lpstr>fournisseurs_1</vt:lpstr>
      <vt:lpstr>fournisseurs_2</vt:lpstr>
      <vt:lpstr>fournisseurs_3</vt:lpstr>
      <vt:lpstr>fournisseurs_4</vt:lpstr>
      <vt:lpstr>fr_1</vt:lpstr>
      <vt:lpstr>fr_2</vt:lpstr>
      <vt:lpstr>fr_3</vt:lpstr>
      <vt:lpstr>fr_4</vt:lpstr>
      <vt:lpstr>fr_5</vt:lpstr>
      <vt:lpstr>fr_5_révisé</vt:lpstr>
      <vt:lpstr>fr_6</vt:lpstr>
      <vt:lpstr>fr_6_révisé</vt:lpstr>
      <vt:lpstr>fr_7</vt:lpstr>
      <vt:lpstr>FR_Initial</vt:lpstr>
      <vt:lpstr>fs_1</vt:lpstr>
      <vt:lpstr>fs_2</vt:lpstr>
      <vt:lpstr>fs_3</vt:lpstr>
      <vt:lpstr>fs_4</vt:lpstr>
      <vt:lpstr>fs_5</vt:lpstr>
      <vt:lpstr>fs_6</vt:lpstr>
      <vt:lpstr>fs_7</vt:lpstr>
      <vt:lpstr>ft_1</vt:lpstr>
      <vt:lpstr>ft_2</vt:lpstr>
      <vt:lpstr>ft_3</vt:lpstr>
      <vt:lpstr>ft_4</vt:lpstr>
      <vt:lpstr>fu_1</vt:lpstr>
      <vt:lpstr>fu_2</vt:lpstr>
      <vt:lpstr>fu_3</vt:lpstr>
      <vt:lpstr>fu_4</vt:lpstr>
      <vt:lpstr>fu_5</vt:lpstr>
      <vt:lpstr>fu_6</vt:lpstr>
      <vt:lpstr>fu_7</vt:lpstr>
      <vt:lpstr>fv_1</vt:lpstr>
      <vt:lpstr>fv_2</vt:lpstr>
      <vt:lpstr>fv_3</vt:lpstr>
      <vt:lpstr>fv_4</vt:lpstr>
      <vt:lpstr>fw_1</vt:lpstr>
      <vt:lpstr>fw_2</vt:lpstr>
      <vt:lpstr>fw_3</vt:lpstr>
      <vt:lpstr>fw_4</vt:lpstr>
      <vt:lpstr>fw_5</vt:lpstr>
      <vt:lpstr>fw_6</vt:lpstr>
      <vt:lpstr>fw_7</vt:lpstr>
      <vt:lpstr>fy_1</vt:lpstr>
      <vt:lpstr>ga_1</vt:lpstr>
      <vt:lpstr>ga_2</vt:lpstr>
      <vt:lpstr>ga_3</vt:lpstr>
      <vt:lpstr>ga_5</vt:lpstr>
      <vt:lpstr>ga_6</vt:lpstr>
      <vt:lpstr>ga_7</vt:lpstr>
      <vt:lpstr>hold</vt:lpstr>
      <vt:lpstr>hold_berri</vt:lpstr>
      <vt:lpstr>hp_1</vt:lpstr>
      <vt:lpstr>hp_2</vt:lpstr>
      <vt:lpstr>hp_3</vt:lpstr>
      <vt:lpstr>hp_4</vt:lpstr>
      <vt:lpstr>hp_5</vt:lpstr>
      <vt:lpstr>hp_6</vt:lpstr>
      <vt:lpstr>hp_7</vt:lpstr>
      <vt:lpstr>hq_1</vt:lpstr>
      <vt:lpstr>hq_2</vt:lpstr>
      <vt:lpstr>hq_3</vt:lpstr>
      <vt:lpstr>hq_4</vt:lpstr>
      <vt:lpstr>hq_5</vt:lpstr>
      <vt:lpstr>hq_6</vt:lpstr>
      <vt:lpstr>hq_7</vt:lpstr>
      <vt:lpstr>i_1</vt:lpstr>
      <vt:lpstr>i_2</vt:lpstr>
      <vt:lpstr>i_3</vt:lpstr>
      <vt:lpstr>i_4</vt:lpstr>
      <vt:lpstr>i_5</vt:lpstr>
      <vt:lpstr>i_6</vt:lpstr>
      <vt:lpstr>i_7</vt:lpstr>
      <vt:lpstr>immo_1</vt:lpstr>
      <vt:lpstr>immo_2</vt:lpstr>
      <vt:lpstr>immo_3</vt:lpstr>
      <vt:lpstr>'Analyse bilan'!Impression_des_titres</vt:lpstr>
      <vt:lpstr>'Analyse CR'!Impression_des_titres</vt:lpstr>
      <vt:lpstr>'Cpte de résultat prévisionnel'!Impression_des_titres</vt:lpstr>
      <vt:lpstr>'Holding-plan de financement'!Impression_des_titres</vt:lpstr>
      <vt:lpstr>Investissements!Impression_des_titres</vt:lpstr>
      <vt:lpstr>'Plan de financement'!Impression_des_titres</vt:lpstr>
      <vt:lpstr>'Synthèse exploitation'!Impression_des_titres</vt:lpstr>
      <vt:lpstr>interim_1</vt:lpstr>
      <vt:lpstr>invest_5</vt:lpstr>
      <vt:lpstr>invest_6</vt:lpstr>
      <vt:lpstr>invest_7</vt:lpstr>
      <vt:lpstr>IP</vt:lpstr>
      <vt:lpstr>IS_5</vt:lpstr>
      <vt:lpstr>IS_6</vt:lpstr>
      <vt:lpstr>IS_7</vt:lpstr>
      <vt:lpstr>k_holding</vt:lpstr>
      <vt:lpstr>k_sté_exploitation</vt:lpstr>
      <vt:lpstr>mb_1</vt:lpstr>
      <vt:lpstr>mb_2</vt:lpstr>
      <vt:lpstr>mb_3</vt:lpstr>
      <vt:lpstr>mb_4</vt:lpstr>
      <vt:lpstr>mb_5</vt:lpstr>
      <vt:lpstr>mb_6</vt:lpstr>
      <vt:lpstr>mb_7</vt:lpstr>
      <vt:lpstr>mbt_1</vt:lpstr>
      <vt:lpstr>mbt_2</vt:lpstr>
      <vt:lpstr>mbt_3</vt:lpstr>
      <vt:lpstr>mbt_4</vt:lpstr>
      <vt:lpstr>mbt_5</vt:lpstr>
      <vt:lpstr>mbt_6</vt:lpstr>
      <vt:lpstr>mbt_7</vt:lpstr>
      <vt:lpstr>mc_1</vt:lpstr>
      <vt:lpstr>mc_2</vt:lpstr>
      <vt:lpstr>mc_3</vt:lpstr>
      <vt:lpstr>mc_4</vt:lpstr>
      <vt:lpstr>mc_5</vt:lpstr>
      <vt:lpstr>mc_6</vt:lpstr>
      <vt:lpstr>mc_7</vt:lpstr>
      <vt:lpstr>NE</vt:lpstr>
      <vt:lpstr>négoce_5</vt:lpstr>
      <vt:lpstr>négoce_6</vt:lpstr>
      <vt:lpstr>négoce_7</vt:lpstr>
      <vt:lpstr>nom</vt:lpstr>
      <vt:lpstr>nom_holding</vt:lpstr>
      <vt:lpstr>op_capital_5</vt:lpstr>
      <vt:lpstr>op_capital_6</vt:lpstr>
      <vt:lpstr>op_capital_7</vt:lpstr>
      <vt:lpstr>op_gestion_5</vt:lpstr>
      <vt:lpstr>op_gestion_6</vt:lpstr>
      <vt:lpstr>op_gestion_7</vt:lpstr>
      <vt:lpstr>p_1</vt:lpstr>
      <vt:lpstr>p_2</vt:lpstr>
      <vt:lpstr>p_3</vt:lpstr>
      <vt:lpstr>p_4</vt:lpstr>
      <vt:lpstr>p_5</vt:lpstr>
      <vt:lpstr>p_6</vt:lpstr>
      <vt:lpstr>p_7</vt:lpstr>
      <vt:lpstr>part_capital_hk_1</vt:lpstr>
      <vt:lpstr>part_capital_hk_2</vt:lpstr>
      <vt:lpstr>participants</vt:lpstr>
      <vt:lpstr>pca_1</vt:lpstr>
      <vt:lpstr>pca_2</vt:lpstr>
      <vt:lpstr>pca_3</vt:lpstr>
      <vt:lpstr>pca_4</vt:lpstr>
      <vt:lpstr>périodicité_emprunt1</vt:lpstr>
      <vt:lpstr>périodicité_emprunt2</vt:lpstr>
      <vt:lpstr>périodicité_emprunt3</vt:lpstr>
      <vt:lpstr>périodicité_emprunt4</vt:lpstr>
      <vt:lpstr>périodicité_emprunt5</vt:lpstr>
      <vt:lpstr>plancher_FR</vt:lpstr>
      <vt:lpstr>pm_1</vt:lpstr>
      <vt:lpstr>pm_2</vt:lpstr>
      <vt:lpstr>pm_3</vt:lpstr>
      <vt:lpstr>pm_4</vt:lpstr>
      <vt:lpstr>pm_5</vt:lpstr>
      <vt:lpstr>pm_6</vt:lpstr>
      <vt:lpstr>pm_7</vt:lpstr>
      <vt:lpstr>pr_1</vt:lpstr>
      <vt:lpstr>pr_2</vt:lpstr>
      <vt:lpstr>pr_3</vt:lpstr>
      <vt:lpstr>pr_4</vt:lpstr>
      <vt:lpstr>pr_5</vt:lpstr>
      <vt:lpstr>pr_6</vt:lpstr>
      <vt:lpstr>pr_7</vt:lpstr>
      <vt:lpstr>prime1</vt:lpstr>
      <vt:lpstr>prime2</vt:lpstr>
      <vt:lpstr>prime3</vt:lpstr>
      <vt:lpstr>prov_nettes_5</vt:lpstr>
      <vt:lpstr>prov_nettes_6</vt:lpstr>
      <vt:lpstr>prov_nettes_7</vt:lpstr>
      <vt:lpstr>quote_part_subv_5</vt:lpstr>
      <vt:lpstr>quote_part_subv_6</vt:lpstr>
      <vt:lpstr>quote_part_subv_7</vt:lpstr>
      <vt:lpstr>r_1</vt:lpstr>
      <vt:lpstr>r_1_holding</vt:lpstr>
      <vt:lpstr>r_2</vt:lpstr>
      <vt:lpstr>r_2_holding</vt:lpstr>
      <vt:lpstr>r_3</vt:lpstr>
      <vt:lpstr>r_3_holding</vt:lpstr>
      <vt:lpstr>r_4</vt:lpstr>
      <vt:lpstr>r_5</vt:lpstr>
      <vt:lpstr>r_6</vt:lpstr>
      <vt:lpstr>r_7</vt:lpstr>
      <vt:lpstr>r_except_5</vt:lpstr>
      <vt:lpstr>r_except_6</vt:lpstr>
      <vt:lpstr>r_except_7</vt:lpstr>
      <vt:lpstr>r_score_1</vt:lpstr>
      <vt:lpstr>r_score_2</vt:lpstr>
      <vt:lpstr>r_score_3</vt:lpstr>
      <vt:lpstr>r_score_4</vt:lpstr>
      <vt:lpstr>r_score_5</vt:lpstr>
      <vt:lpstr>r_score_6</vt:lpstr>
      <vt:lpstr>r_score_7</vt:lpstr>
      <vt:lpstr>rc_1</vt:lpstr>
      <vt:lpstr>rc_2</vt:lpstr>
      <vt:lpstr>rc_3</vt:lpstr>
      <vt:lpstr>rc_4</vt:lpstr>
      <vt:lpstr>rc_5</vt:lpstr>
      <vt:lpstr>rc_6</vt:lpstr>
      <vt:lpstr>rc_7</vt:lpstr>
      <vt:lpstr>re_1</vt:lpstr>
      <vt:lpstr>re_2</vt:lpstr>
      <vt:lpstr>re_3</vt:lpstr>
      <vt:lpstr>re_4</vt:lpstr>
      <vt:lpstr>re_5</vt:lpstr>
      <vt:lpstr>re_6</vt:lpstr>
      <vt:lpstr>re_7</vt:lpstr>
      <vt:lpstr>réadispo_5</vt:lpstr>
      <vt:lpstr>réadispo_6</vt:lpstr>
      <vt:lpstr>réadispo_7</vt:lpstr>
      <vt:lpstr>réalisable_5</vt:lpstr>
      <vt:lpstr>réalisable_6</vt:lpstr>
      <vt:lpstr>réalisable_7</vt:lpstr>
      <vt:lpstr>remb_5A</vt:lpstr>
      <vt:lpstr>remb_5B</vt:lpstr>
      <vt:lpstr>remb_6A</vt:lpstr>
      <vt:lpstr>remb_6B</vt:lpstr>
      <vt:lpstr>remb_7A</vt:lpstr>
      <vt:lpstr>remb_7B</vt:lpstr>
      <vt:lpstr>remontée_tréso</vt:lpstr>
      <vt:lpstr>risque_cible</vt:lpstr>
      <vt:lpstr>rp_1</vt:lpstr>
      <vt:lpstr>rp_2</vt:lpstr>
      <vt:lpstr>rp_3</vt:lpstr>
      <vt:lpstr>rp_4</vt:lpstr>
      <vt:lpstr>rp_5</vt:lpstr>
      <vt:lpstr>rp_6</vt:lpstr>
      <vt:lpstr>rp_7</vt:lpstr>
      <vt:lpstr>rsp_5</vt:lpstr>
      <vt:lpstr>rsp_6</vt:lpstr>
      <vt:lpstr>rsp_7</vt:lpstr>
      <vt:lpstr>s_1</vt:lpstr>
      <vt:lpstr>s_2</vt:lpstr>
      <vt:lpstr>s_3</vt:lpstr>
      <vt:lpstr>s_5</vt:lpstr>
      <vt:lpstr>s_6</vt:lpstr>
      <vt:lpstr>s_7</vt:lpstr>
      <vt:lpstr>score_1</vt:lpstr>
      <vt:lpstr>score_2</vt:lpstr>
      <vt:lpstr>score_3</vt:lpstr>
      <vt:lpstr>score_4</vt:lpstr>
      <vt:lpstr>solde_financement_N1</vt:lpstr>
      <vt:lpstr>solde_financement_N2</vt:lpstr>
      <vt:lpstr>solde_financement_N3</vt:lpstr>
      <vt:lpstr>sous_traitance_1</vt:lpstr>
      <vt:lpstr>sous_traitance_2</vt:lpstr>
      <vt:lpstr>sous_traitance_3</vt:lpstr>
      <vt:lpstr>st_1</vt:lpstr>
      <vt:lpstr>st_2</vt:lpstr>
      <vt:lpstr>st_3</vt:lpstr>
      <vt:lpstr>st_4</vt:lpstr>
      <vt:lpstr>stade</vt:lpstr>
      <vt:lpstr>sté_exploitation</vt:lpstr>
      <vt:lpstr>stn_1</vt:lpstr>
      <vt:lpstr>stn_2</vt:lpstr>
      <vt:lpstr>stn_3</vt:lpstr>
      <vt:lpstr>stn_4</vt:lpstr>
      <vt:lpstr>stock_1</vt:lpstr>
      <vt:lpstr>stock_2</vt:lpstr>
      <vt:lpstr>stock_3</vt:lpstr>
      <vt:lpstr>stock_4</vt:lpstr>
      <vt:lpstr>Tableaux_d_emprunts</vt:lpstr>
      <vt:lpstr>taux_actualisation</vt:lpstr>
      <vt:lpstr>taux_complt_hk1</vt:lpstr>
      <vt:lpstr>taux_complt_hk2</vt:lpstr>
      <vt:lpstr>taux_emprunt1</vt:lpstr>
      <vt:lpstr>taux_emprunt2</vt:lpstr>
      <vt:lpstr>taux_emprunt3</vt:lpstr>
      <vt:lpstr>taux_emprunt4</vt:lpstr>
      <vt:lpstr>taux_emprunt5</vt:lpstr>
      <vt:lpstr>tauxtvac1</vt:lpstr>
      <vt:lpstr>tauxtvac2</vt:lpstr>
      <vt:lpstr>tauxtvad1</vt:lpstr>
      <vt:lpstr>tauxtvad2</vt:lpstr>
      <vt:lpstr>titres_acquis</vt:lpstr>
      <vt:lpstr>titres_cible</vt:lpstr>
      <vt:lpstr>total_bilan_1</vt:lpstr>
      <vt:lpstr>total_bilan_2</vt:lpstr>
      <vt:lpstr>total_bilan_3</vt:lpstr>
      <vt:lpstr>total_bilan_4</vt:lpstr>
      <vt:lpstr>total_bilan_5</vt:lpstr>
      <vt:lpstr>total_bilan_6</vt:lpstr>
      <vt:lpstr>total_bilan_7</vt:lpstr>
      <vt:lpstr>tr_0</vt:lpstr>
      <vt:lpstr>tr_1</vt:lpstr>
      <vt:lpstr>tr_2</vt:lpstr>
      <vt:lpstr>tr_3</vt:lpstr>
      <vt:lpstr>tr_4</vt:lpstr>
      <vt:lpstr>tr_5</vt:lpstr>
      <vt:lpstr>tr_6</vt:lpstr>
      <vt:lpstr>tr_7</vt:lpstr>
      <vt:lpstr>transp_achatMat_1</vt:lpstr>
      <vt:lpstr>transp_achatMat_2</vt:lpstr>
      <vt:lpstr>transp_achatMses_1</vt:lpstr>
      <vt:lpstr>transp_achatMses_2</vt:lpstr>
      <vt:lpstr>transp_achatMses_3</vt:lpstr>
      <vt:lpstr>TRI</vt:lpstr>
      <vt:lpstr>tvac_1</vt:lpstr>
      <vt:lpstr>tvac_1b</vt:lpstr>
      <vt:lpstr>tvac_2</vt:lpstr>
      <vt:lpstr>tvac_2b</vt:lpstr>
      <vt:lpstr>tvac_3</vt:lpstr>
      <vt:lpstr>tvac_3b</vt:lpstr>
      <vt:lpstr>tvad_1</vt:lpstr>
      <vt:lpstr>tvad_1b</vt:lpstr>
      <vt:lpstr>tvad_2</vt:lpstr>
      <vt:lpstr>tvad_2b</vt:lpstr>
      <vt:lpstr>tvad_3</vt:lpstr>
      <vt:lpstr>tvad_3b</vt:lpstr>
      <vt:lpstr>va_1</vt:lpstr>
      <vt:lpstr>va_2</vt:lpstr>
      <vt:lpstr>va_3</vt:lpstr>
      <vt:lpstr>va_4</vt:lpstr>
      <vt:lpstr>va_5</vt:lpstr>
      <vt:lpstr>va_6</vt:lpstr>
      <vt:lpstr>va_7</vt:lpstr>
      <vt:lpstr>VE</vt:lpstr>
      <vt:lpstr>VFP</vt:lpstr>
      <vt:lpstr>vk_1</vt:lpstr>
      <vt:lpstr>vk_2</vt:lpstr>
      <vt:lpstr>vk_3</vt:lpstr>
      <vt:lpstr>yu_1</vt:lpstr>
      <vt:lpstr>yu_2</vt:lpstr>
      <vt:lpstr>yu_3</vt:lpstr>
      <vt:lpstr>yu_4</vt:lpstr>
      <vt:lpstr>Accueil!Zone_d_impression</vt:lpstr>
      <vt:lpstr>'Analyse bilan'!Zone_d_impression</vt:lpstr>
      <vt:lpstr>'Analyse CR'!Zone_d_impression</vt:lpstr>
      <vt:lpstr>'Avis comité technique'!Zone_d_impression</vt:lpstr>
      <vt:lpstr>Cotation!Zone_d_impression</vt:lpstr>
      <vt:lpstr>'Cpte de résultat prévisionnel'!Zone_d_impression</vt:lpstr>
      <vt:lpstr>'Entreprise cible'!Zone_d_impression</vt:lpstr>
      <vt:lpstr>'Holding-plan de financement'!Zone_d_impression</vt:lpstr>
      <vt:lpstr>Investissements!Zone_d_impression</vt:lpstr>
      <vt:lpstr>'Plan de financement'!Zone_d_impression</vt:lpstr>
      <vt:lpstr>'Rachat ou reprise'!Zone_d_impression</vt:lpstr>
      <vt:lpstr>Simulations!Zone_d_impression</vt:lpstr>
      <vt:lpstr>'Synthèse exploitation'!Zone_d_impression</vt:lpstr>
      <vt:lpstr>'Synthèse structure financière'!Zone_d_impression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BERGARA</dc:creator>
  <cp:lastModifiedBy>J. BERGARA</cp:lastModifiedBy>
  <cp:lastPrinted>2019-03-06T15:58:13Z</cp:lastPrinted>
  <dcterms:created xsi:type="dcterms:W3CDTF">2001-12-24T10:32:31Z</dcterms:created>
  <dcterms:modified xsi:type="dcterms:W3CDTF">2019-04-17T13:12:42Z</dcterms:modified>
</cp:coreProperties>
</file>