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D:\Herrikoa\Boîte à outils\Business plan\Outils\"/>
    </mc:Choice>
  </mc:AlternateContent>
  <xr:revisionPtr revIDLastSave="0" documentId="13_ncr:1_{BE81D288-2EA4-493F-A1B6-6A1B7C6598CB}" xr6:coauthVersionLast="44" xr6:coauthVersionMax="44" xr10:uidLastSave="{00000000-0000-0000-0000-000000000000}"/>
  <bookViews>
    <workbookView xWindow="-108" yWindow="-108" windowWidth="23256" windowHeight="12576" tabRatio="943" xr2:uid="{00000000-000D-0000-FFFF-FFFF00000000}"/>
  </bookViews>
  <sheets>
    <sheet name="Compte de résultat" sheetId="11" r:id="rId1"/>
    <sheet name="BFR" sheetId="2" r:id="rId2"/>
    <sheet name="Investissements" sheetId="12" r:id="rId3"/>
    <sheet name="Emprunts" sheetId="18" r:id="rId4"/>
    <sheet name="Plan de financement" sheetId="3" r:id="rId5"/>
    <sheet name="Personnel" sheetId="20" r:id="rId6"/>
    <sheet name="Hausses salariales" sheetId="21" r:id="rId7"/>
    <sheet name="Chiffres d'affaires mensuels" sheetId="19" r:id="rId8"/>
    <sheet name="Encaissement des ventes 1°année" sheetId="14" r:id="rId9"/>
    <sheet name="Décaissement des achats 1°année" sheetId="15" r:id="rId10"/>
    <sheet name="Budget tva" sheetId="17" r:id="rId11"/>
    <sheet name="Plan de trésorerie" sheetId="16" r:id="rId12"/>
  </sheets>
  <definedNames>
    <definedName name="achats_ttc">'Décaissement des achats 1°année'!$J$18</definedName>
    <definedName name="activité">'Compte de résultat'!$C$5</definedName>
    <definedName name="An">'Compte de résultat'!$F$4</definedName>
    <definedName name="bfr_0">BFR!$G$16</definedName>
    <definedName name="bfr_1">BFR!$G$50</definedName>
    <definedName name="bfr_2">BFR!$J$50</definedName>
    <definedName name="bfr_3">BFR!$M$50</definedName>
    <definedName name="bfr_4">BFR!$P$50</definedName>
    <definedName name="bfr_5">BFR!$S$50</definedName>
    <definedName name="ca_0">BFR!$G$14</definedName>
    <definedName name="ca_1">'Compte de résultat'!$F$11</definedName>
    <definedName name="ca_2">'Compte de résultat'!$I$11</definedName>
    <definedName name="ca_3">'Compte de résultat'!$L$11</definedName>
    <definedName name="ca_4">'Compte de résultat'!$O$11</definedName>
    <definedName name="ca_5">'Compte de résultat'!$R$11</definedName>
    <definedName name="ca_ttc">'Encaissement des ventes 1°année'!$I$18</definedName>
    <definedName name="caf_1">'Compte de résultat'!$F$70</definedName>
    <definedName name="caf_2">'Compte de résultat'!$I$70</definedName>
    <definedName name="caf_3">'Compte de résultat'!$L$70</definedName>
    <definedName name="caf_4">'Compte de résultat'!$O$70</definedName>
    <definedName name="caf_5">'Compte de résultat'!$R$70</definedName>
    <definedName name="cession_1">'Compte de résultat'!$F$63</definedName>
    <definedName name="cession_2">'Compte de résultat'!$I$63</definedName>
    <definedName name="cession_3">'Compte de résultat'!$L$63</definedName>
    <definedName name="clt_5">BFR!$G$35</definedName>
    <definedName name="clt_6">BFR!$J$35</definedName>
    <definedName name="clt_7">BFR!$M$35</definedName>
    <definedName name="créditbail_1">Investissements!$I$77</definedName>
    <definedName name="créditbail_2">Investissements!$L$77</definedName>
    <definedName name="créditbail_3">Investissements!$O$77</definedName>
    <definedName name="créditbail_4">Investissements!$R$77</definedName>
    <definedName name="créditbail_5">Investissements!$U$77</definedName>
    <definedName name="dfr_0">BFR!$M$16</definedName>
    <definedName name="dfr_1">BFR!$G$51</definedName>
    <definedName name="dfr_2">BFR!$J$51</definedName>
    <definedName name="dfr_3">BFR!$M$51</definedName>
    <definedName name="dfr_4">BFR!$P$51</definedName>
    <definedName name="dfr_5">BFR!$S$51</definedName>
    <definedName name="différé1">Emprunts!$F$8</definedName>
    <definedName name="différé1_an">Emprunts!$F$9</definedName>
    <definedName name="différé2">Emprunts!$L$8</definedName>
    <definedName name="différé2_an">Emprunts!$L$9</definedName>
    <definedName name="différé3">Emprunts!$R$8</definedName>
    <definedName name="différé3_an">Emprunts!$R$9</definedName>
    <definedName name="durée_1">'Compte de résultat'!$F$5</definedName>
    <definedName name="durée_2">'Compte de résultat'!$I$5</definedName>
    <definedName name="durée_3">'Compte de résultat'!$L$5</definedName>
    <definedName name="durée_4">'Compte de résultat'!$O$5</definedName>
    <definedName name="durée_5">'Compte de résultat'!$R$5</definedName>
    <definedName name="durée_emprunt1" localSheetId="3">Emprunts!$C$8</definedName>
    <definedName name="durée_emprunt2">Emprunts!$I$8</definedName>
    <definedName name="durée_emprunt3">Emprunts!$O$8</definedName>
    <definedName name="emprunt1">Emprunts!$C$6</definedName>
    <definedName name="emprunt2">Emprunts!$I$6</definedName>
    <definedName name="emprunt3">Emprunts!$O$6</definedName>
    <definedName name="entreprise">'Compte de résultat'!$B$4</definedName>
    <definedName name="fs_1">'Compte de résultat'!$F$16</definedName>
    <definedName name="fs_2">'Compte de résultat'!$I$16</definedName>
    <definedName name="fs_3">'Compte de résultat'!$L$16</definedName>
    <definedName name="fs_4">'Compte de résultat'!$O$16</definedName>
    <definedName name="fs_5">'Compte de résultat'!$R$16</definedName>
    <definedName name="fu_1">'Compte de résultat'!$F$22</definedName>
    <definedName name="fu_2">'Compte de résultat'!$I$22</definedName>
    <definedName name="fu_3">'Compte de résultat'!$L$22</definedName>
    <definedName name="fu_4">'Compte de résultat'!$O$22</definedName>
    <definedName name="fu_5">'Compte de résultat'!$R$22</definedName>
    <definedName name="fw_1">'Compte de résultat'!$F$30</definedName>
    <definedName name="fw_2">'Compte de résultat'!$I$30</definedName>
    <definedName name="fw_3">'Compte de résultat'!$L$30</definedName>
    <definedName name="fw_4">'Compte de résultat'!$O$30</definedName>
    <definedName name="fw_5">'Compte de résultat'!$R$30</definedName>
    <definedName name="ga_1">'Compte de résultat'!$F$48</definedName>
    <definedName name="ga_2">'Compte de résultat'!$I$48</definedName>
    <definedName name="ga_3">'Compte de résultat'!$L$48</definedName>
    <definedName name="ga_4">'Compte de résultat'!$O$48</definedName>
    <definedName name="ga_5">'Compte de résultat'!$R$48</definedName>
    <definedName name="mois_1">#REF!</definedName>
    <definedName name="nature">Investissements!$H$78</definedName>
    <definedName name="pr_1">'Compte de résultat'!$F$15</definedName>
    <definedName name="pr_2">'Compte de résultat'!$I$15</definedName>
    <definedName name="pr_3">'Compte de résultat'!$L$15</definedName>
    <definedName name="pr_4">'Compte de résultat'!$O$15</definedName>
    <definedName name="pr_5">'Compte de résultat'!$R$15</definedName>
    <definedName name="quotité_ta">BFR!$N$10</definedName>
    <definedName name="quotité_tv">BFR!$D$10</definedName>
    <definedName name="sté_existante">BFR!$C$14</definedName>
    <definedName name="ta">BFR!$O$10</definedName>
    <definedName name="tr0_négative">BFR!$M$18</definedName>
    <definedName name="tr0_positive">BFR!$G$18</definedName>
    <definedName name="tv">BFR!$E$10</definedName>
    <definedName name="tva_collectée">'Encaissement des ventes 1°année'!$H$18</definedName>
    <definedName name="tva_déductible">'Décaissement des achats 1°année'!$I$18</definedName>
    <definedName name="tx_emprunt1">Emprunts!$F$6</definedName>
    <definedName name="tx_emprunt2">Emprunts!$L$6</definedName>
    <definedName name="tx_emprunt3">Emprunts!$R$6</definedName>
    <definedName name="tx_tva_exo">BFR!$C$9</definedName>
    <definedName name="tx_tva_intermédiaire">BFR!$C$7</definedName>
    <definedName name="tx_tva_normal">BFR!$C$6</definedName>
    <definedName name="tx_tva_réduit">BFR!$C$8</definedName>
    <definedName name="_xlnm.Print_Area" localSheetId="1">BFR!$B$2:$N$51</definedName>
    <definedName name="_xlnm.Print_Area" localSheetId="10">'Budget tva'!$B$2:$O$20</definedName>
    <definedName name="_xlnm.Print_Area" localSheetId="9">'Décaissement des achats 1°année'!$B$2:$R$43</definedName>
    <definedName name="_xlnm.Print_Area" localSheetId="8">'Encaissement des ventes 1°année'!$B$2:$Q$43</definedName>
    <definedName name="_xlnm.Print_Area" localSheetId="2">Investissements!$B$2:$O$77</definedName>
    <definedName name="_xlnm.Print_Area" localSheetId="4">'Plan de financement'!$B$2:$L$39</definedName>
    <definedName name="_xlnm.Print_Area" localSheetId="11">'Plan de trésorerie'!$B$2:$U$41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B22" i="20" l="1"/>
  <c r="AF22" i="20" s="1"/>
  <c r="AC22" i="20"/>
  <c r="AE22" i="20" s="1"/>
  <c r="AG22" i="20" s="1"/>
  <c r="AB23" i="20"/>
  <c r="AF23" i="20" s="1"/>
  <c r="AC23" i="20"/>
  <c r="AE23" i="20" s="1"/>
  <c r="AG23" i="20" s="1"/>
  <c r="AB24" i="20"/>
  <c r="AF24" i="20" s="1"/>
  <c r="AC24" i="20"/>
  <c r="AE24" i="20" s="1"/>
  <c r="AB25" i="20"/>
  <c r="AF25" i="20" s="1"/>
  <c r="AC25" i="20"/>
  <c r="AE25" i="20" s="1"/>
  <c r="AG25" i="20" s="1"/>
  <c r="AB26" i="20"/>
  <c r="AF26" i="20" s="1"/>
  <c r="AC26" i="20"/>
  <c r="AE26" i="20"/>
  <c r="AG26" i="20" s="1"/>
  <c r="AB27" i="20"/>
  <c r="AF27" i="20" s="1"/>
  <c r="AC27" i="20"/>
  <c r="AE27" i="20"/>
  <c r="AB28" i="20"/>
  <c r="AF28" i="20" s="1"/>
  <c r="AC28" i="20"/>
  <c r="AE28" i="20" s="1"/>
  <c r="AB29" i="20"/>
  <c r="AF29" i="20" s="1"/>
  <c r="AC29" i="20"/>
  <c r="AE29" i="20" s="1"/>
  <c r="AG29" i="20" s="1"/>
  <c r="AG27" i="20" l="1"/>
  <c r="AG24" i="20"/>
  <c r="AG28" i="20"/>
  <c r="AD63" i="20" l="1"/>
  <c r="AF63" i="20"/>
  <c r="AE63" i="20"/>
  <c r="AG63" i="20"/>
  <c r="AC63" i="20"/>
  <c r="AB63" i="20"/>
  <c r="AA63" i="20"/>
  <c r="Z63" i="20"/>
  <c r="Y63" i="20"/>
  <c r="X63" i="20"/>
  <c r="W63" i="20"/>
  <c r="V63" i="20"/>
  <c r="U63" i="20"/>
  <c r="T63" i="20"/>
  <c r="S63" i="20"/>
  <c r="R63" i="20"/>
  <c r="Q63" i="20"/>
  <c r="P63" i="20"/>
  <c r="O63" i="20"/>
  <c r="N63" i="20"/>
  <c r="M63" i="20"/>
  <c r="L63" i="20"/>
  <c r="K63" i="20"/>
  <c r="J63" i="20"/>
  <c r="I63" i="20"/>
  <c r="H63" i="20"/>
  <c r="G63" i="20"/>
  <c r="F63" i="20"/>
  <c r="AD49" i="20"/>
  <c r="AF49" i="20"/>
  <c r="AE49" i="20"/>
  <c r="AG49" i="20"/>
  <c r="AC49" i="20"/>
  <c r="AB49" i="20"/>
  <c r="AA49" i="20"/>
  <c r="Z49" i="20"/>
  <c r="Y49" i="20"/>
  <c r="X49" i="20"/>
  <c r="W49" i="20"/>
  <c r="V49" i="20"/>
  <c r="U49" i="20"/>
  <c r="T49" i="20"/>
  <c r="S49" i="20"/>
  <c r="R49" i="20"/>
  <c r="Q49" i="20"/>
  <c r="P49" i="20"/>
  <c r="O49" i="20"/>
  <c r="N49" i="20"/>
  <c r="M49" i="20"/>
  <c r="L49" i="20"/>
  <c r="K49" i="20"/>
  <c r="J49" i="20"/>
  <c r="I49" i="20"/>
  <c r="H49" i="20"/>
  <c r="G49" i="20"/>
  <c r="F49" i="20"/>
  <c r="AD35" i="20"/>
  <c r="AE35" i="20"/>
  <c r="AG35" i="20"/>
  <c r="AF35" i="20"/>
  <c r="AC35" i="20"/>
  <c r="AB35" i="20"/>
  <c r="AA35" i="20"/>
  <c r="Z35" i="20"/>
  <c r="Y35" i="20"/>
  <c r="X35" i="20"/>
  <c r="W35" i="20"/>
  <c r="V35" i="20"/>
  <c r="U35" i="20"/>
  <c r="T35" i="20"/>
  <c r="S35" i="20"/>
  <c r="R35" i="20"/>
  <c r="Q35" i="20"/>
  <c r="P35" i="20"/>
  <c r="O35" i="20"/>
  <c r="N35" i="20"/>
  <c r="M35" i="20"/>
  <c r="L35" i="20"/>
  <c r="K35" i="20"/>
  <c r="J35" i="20"/>
  <c r="I35" i="20"/>
  <c r="H35" i="20"/>
  <c r="G35" i="20"/>
  <c r="F35" i="20"/>
  <c r="E63" i="20"/>
  <c r="D63" i="20"/>
  <c r="D62" i="20"/>
  <c r="F62" i="20" s="1"/>
  <c r="H62" i="20" s="1"/>
  <c r="J62" i="20" s="1"/>
  <c r="L62" i="20" s="1"/>
  <c r="N62" i="20" s="1"/>
  <c r="P62" i="20" s="1"/>
  <c r="R62" i="20" s="1"/>
  <c r="T62" i="20" s="1"/>
  <c r="V62" i="20" s="1"/>
  <c r="X62" i="20" s="1"/>
  <c r="Z62" i="20" s="1"/>
  <c r="E49" i="20"/>
  <c r="D49" i="20"/>
  <c r="F48" i="20"/>
  <c r="H48" i="20" s="1"/>
  <c r="J48" i="20" s="1"/>
  <c r="L48" i="20" s="1"/>
  <c r="N48" i="20" s="1"/>
  <c r="P48" i="20" s="1"/>
  <c r="R48" i="20" s="1"/>
  <c r="T48" i="20" s="1"/>
  <c r="V48" i="20" s="1"/>
  <c r="X48" i="20" s="1"/>
  <c r="Z48" i="20" s="1"/>
  <c r="D48" i="20"/>
  <c r="E35" i="20"/>
  <c r="D35" i="20"/>
  <c r="D34" i="20"/>
  <c r="F34" i="20" s="1"/>
  <c r="H34" i="20" s="1"/>
  <c r="J34" i="20" s="1"/>
  <c r="L34" i="20" s="1"/>
  <c r="N34" i="20" s="1"/>
  <c r="P34" i="20" s="1"/>
  <c r="R34" i="20" s="1"/>
  <c r="T34" i="20" s="1"/>
  <c r="V34" i="20" s="1"/>
  <c r="X34" i="20" s="1"/>
  <c r="Z34" i="20" s="1"/>
  <c r="AB43" i="20"/>
  <c r="AB42" i="20"/>
  <c r="AB41" i="20"/>
  <c r="AB40" i="20"/>
  <c r="AB39" i="20"/>
  <c r="AB38" i="20"/>
  <c r="AB37" i="20"/>
  <c r="AB36" i="20"/>
  <c r="AX15" i="20"/>
  <c r="AX14" i="20"/>
  <c r="AX13" i="20"/>
  <c r="AX12" i="20"/>
  <c r="AX11" i="20"/>
  <c r="AX10" i="20"/>
  <c r="AX9" i="20"/>
  <c r="AX8" i="20"/>
  <c r="BC7" i="20"/>
  <c r="BB7" i="20"/>
  <c r="BA7" i="20"/>
  <c r="AZ7" i="20"/>
  <c r="AY7" i="20"/>
  <c r="AX7" i="20"/>
  <c r="AD21" i="20"/>
  <c r="AE21" i="20"/>
  <c r="AG21" i="20"/>
  <c r="AF21" i="20"/>
  <c r="AC21" i="20"/>
  <c r="AB21" i="20"/>
  <c r="AA21" i="20"/>
  <c r="Z21" i="20"/>
  <c r="Y21" i="20"/>
  <c r="X21" i="20"/>
  <c r="W21" i="20"/>
  <c r="V21" i="20"/>
  <c r="U21" i="20"/>
  <c r="T21" i="20"/>
  <c r="S21" i="20"/>
  <c r="R21" i="20"/>
  <c r="Q21" i="20"/>
  <c r="P21" i="20"/>
  <c r="O21" i="20"/>
  <c r="N21" i="20"/>
  <c r="M21" i="20"/>
  <c r="L21" i="20"/>
  <c r="K21" i="20"/>
  <c r="J21" i="20"/>
  <c r="I21" i="20"/>
  <c r="H21" i="20"/>
  <c r="G21" i="20"/>
  <c r="F21" i="20"/>
  <c r="E21" i="20"/>
  <c r="D21" i="20"/>
  <c r="D20" i="20"/>
  <c r="F20" i="20" s="1"/>
  <c r="H20" i="20" s="1"/>
  <c r="J20" i="20" s="1"/>
  <c r="L20" i="20" s="1"/>
  <c r="N20" i="20" s="1"/>
  <c r="P20" i="20" s="1"/>
  <c r="R20" i="20" s="1"/>
  <c r="T20" i="20" s="1"/>
  <c r="V20" i="20" s="1"/>
  <c r="X20" i="20" s="1"/>
  <c r="Z20" i="20" s="1"/>
  <c r="E7" i="20"/>
  <c r="D7" i="20"/>
  <c r="D6" i="20"/>
  <c r="C60" i="20" l="1"/>
  <c r="C46" i="20"/>
  <c r="AA72" i="20"/>
  <c r="Z72" i="20"/>
  <c r="Y72" i="20"/>
  <c r="X72" i="20"/>
  <c r="W72" i="20"/>
  <c r="V72" i="20"/>
  <c r="U72" i="20"/>
  <c r="T72" i="20"/>
  <c r="S72" i="20"/>
  <c r="R72" i="20"/>
  <c r="Q72" i="20"/>
  <c r="P72" i="20"/>
  <c r="O72" i="20"/>
  <c r="N72" i="20"/>
  <c r="M72" i="20"/>
  <c r="L72" i="20"/>
  <c r="K72" i="20"/>
  <c r="J72" i="20"/>
  <c r="I72" i="20"/>
  <c r="H72" i="20"/>
  <c r="G72" i="20"/>
  <c r="F72" i="20"/>
  <c r="E72" i="20"/>
  <c r="D72" i="20"/>
  <c r="AC71" i="20"/>
  <c r="AE71" i="20" s="1"/>
  <c r="AB71" i="20"/>
  <c r="AF71" i="20" s="1"/>
  <c r="AC70" i="20"/>
  <c r="AE70" i="20" s="1"/>
  <c r="AG70" i="20" s="1"/>
  <c r="AB70" i="20"/>
  <c r="AF70" i="20" s="1"/>
  <c r="AC69" i="20"/>
  <c r="AB69" i="20"/>
  <c r="AF69" i="20" s="1"/>
  <c r="AC68" i="20"/>
  <c r="AE68" i="20" s="1"/>
  <c r="AG68" i="20" s="1"/>
  <c r="AB68" i="20"/>
  <c r="AF68" i="20" s="1"/>
  <c r="AC67" i="20"/>
  <c r="AE67" i="20" s="1"/>
  <c r="AB67" i="20"/>
  <c r="AF67" i="20" s="1"/>
  <c r="AC66" i="20"/>
  <c r="AE66" i="20" s="1"/>
  <c r="AG66" i="20" s="1"/>
  <c r="AB66" i="20"/>
  <c r="AF66" i="20" s="1"/>
  <c r="AC65" i="20"/>
  <c r="AB65" i="20"/>
  <c r="AF65" i="20" s="1"/>
  <c r="AE64" i="20"/>
  <c r="AG64" i="20" s="1"/>
  <c r="AC64" i="20"/>
  <c r="AB64" i="20"/>
  <c r="AA58" i="20"/>
  <c r="Z58" i="20"/>
  <c r="Y58" i="20"/>
  <c r="X58" i="20"/>
  <c r="W58" i="20"/>
  <c r="V58" i="20"/>
  <c r="U58" i="20"/>
  <c r="T58" i="20"/>
  <c r="S58" i="20"/>
  <c r="R58" i="20"/>
  <c r="Q58" i="20"/>
  <c r="P58" i="20"/>
  <c r="O58" i="20"/>
  <c r="N58" i="20"/>
  <c r="M58" i="20"/>
  <c r="L58" i="20"/>
  <c r="K58" i="20"/>
  <c r="J58" i="20"/>
  <c r="I58" i="20"/>
  <c r="H58" i="20"/>
  <c r="G58" i="20"/>
  <c r="F58" i="20"/>
  <c r="E58" i="20"/>
  <c r="D58" i="20"/>
  <c r="AC57" i="20"/>
  <c r="AE57" i="20" s="1"/>
  <c r="AB57" i="20"/>
  <c r="AF57" i="20" s="1"/>
  <c r="AC56" i="20"/>
  <c r="AB56" i="20"/>
  <c r="AF56" i="20" s="1"/>
  <c r="AC55" i="20"/>
  <c r="AB55" i="20"/>
  <c r="AF55" i="20" s="1"/>
  <c r="AC54" i="20"/>
  <c r="AE54" i="20" s="1"/>
  <c r="AB54" i="20"/>
  <c r="AF54" i="20" s="1"/>
  <c r="AC53" i="20"/>
  <c r="AE53" i="20" s="1"/>
  <c r="AB53" i="20"/>
  <c r="AF53" i="20" s="1"/>
  <c r="AC52" i="20"/>
  <c r="AB52" i="20"/>
  <c r="AF52" i="20" s="1"/>
  <c r="AC51" i="20"/>
  <c r="AB51" i="20"/>
  <c r="AF51" i="20" s="1"/>
  <c r="AC50" i="20"/>
  <c r="AE50" i="20" s="1"/>
  <c r="AB50" i="20"/>
  <c r="AB72" i="20" l="1"/>
  <c r="AC72" i="20"/>
  <c r="AB58" i="20"/>
  <c r="AE52" i="20"/>
  <c r="AG52" i="20" s="1"/>
  <c r="AE56" i="20"/>
  <c r="AG56" i="20" s="1"/>
  <c r="AC58" i="20"/>
  <c r="AG54" i="20"/>
  <c r="AF64" i="20"/>
  <c r="AF72" i="20" s="1"/>
  <c r="AE65" i="20"/>
  <c r="AG65" i="20" s="1"/>
  <c r="AG67" i="20"/>
  <c r="AE69" i="20"/>
  <c r="AG71" i="20"/>
  <c r="AF50" i="20"/>
  <c r="AF58" i="20" s="1"/>
  <c r="AE51" i="20"/>
  <c r="AG51" i="20" s="1"/>
  <c r="AG53" i="20"/>
  <c r="AE55" i="20"/>
  <c r="AG55" i="20" s="1"/>
  <c r="AG57" i="20"/>
  <c r="AG50" i="20"/>
  <c r="K19" i="21"/>
  <c r="J19" i="21"/>
  <c r="K18" i="21"/>
  <c r="J18" i="21"/>
  <c r="K17" i="21"/>
  <c r="J17" i="21"/>
  <c r="K16" i="21"/>
  <c r="J16" i="21"/>
  <c r="K15" i="21"/>
  <c r="J15" i="21"/>
  <c r="F15" i="21"/>
  <c r="F16" i="21" s="1"/>
  <c r="E15" i="21"/>
  <c r="E16" i="21" s="1"/>
  <c r="K14" i="21"/>
  <c r="J14" i="21"/>
  <c r="K13" i="21"/>
  <c r="J13" i="21"/>
  <c r="K12" i="21"/>
  <c r="J12" i="21"/>
  <c r="K11" i="21"/>
  <c r="J11" i="21"/>
  <c r="K10" i="21"/>
  <c r="J10" i="21"/>
  <c r="K9" i="21"/>
  <c r="J9" i="21"/>
  <c r="K8" i="21"/>
  <c r="J8" i="21"/>
  <c r="AA44" i="20"/>
  <c r="Z44" i="20"/>
  <c r="Y44" i="20"/>
  <c r="X44" i="20"/>
  <c r="W44" i="20"/>
  <c r="V44" i="20"/>
  <c r="U44" i="20"/>
  <c r="T44" i="20"/>
  <c r="S44" i="20"/>
  <c r="R44" i="20"/>
  <c r="Q44" i="20"/>
  <c r="P44" i="20"/>
  <c r="O44" i="20"/>
  <c r="N44" i="20"/>
  <c r="M44" i="20"/>
  <c r="L44" i="20"/>
  <c r="K44" i="20"/>
  <c r="J44" i="20"/>
  <c r="I44" i="20"/>
  <c r="H44" i="20"/>
  <c r="G44" i="20"/>
  <c r="F44" i="20"/>
  <c r="E44" i="20"/>
  <c r="D44" i="20"/>
  <c r="AC43" i="20"/>
  <c r="AE43" i="20" s="1"/>
  <c r="AG43" i="20" s="1"/>
  <c r="AF43" i="20"/>
  <c r="AC42" i="20"/>
  <c r="AE42" i="20" s="1"/>
  <c r="AG42" i="20" s="1"/>
  <c r="AF42" i="20"/>
  <c r="AF41" i="20"/>
  <c r="AC41" i="20"/>
  <c r="AC40" i="20"/>
  <c r="AE40" i="20" s="1"/>
  <c r="AF40" i="20"/>
  <c r="AC39" i="20"/>
  <c r="AE39" i="20" s="1"/>
  <c r="AG39" i="20" s="1"/>
  <c r="AF39" i="20"/>
  <c r="AC38" i="20"/>
  <c r="AE38" i="20" s="1"/>
  <c r="AG38" i="20" s="1"/>
  <c r="AF38" i="20"/>
  <c r="AF37" i="20"/>
  <c r="AC37" i="20"/>
  <c r="AC36" i="20"/>
  <c r="AC44" i="20" s="1"/>
  <c r="AF36" i="20"/>
  <c r="C32" i="20"/>
  <c r="AA30" i="20"/>
  <c r="Z30" i="20"/>
  <c r="Y30" i="20"/>
  <c r="X30" i="20"/>
  <c r="W30" i="20"/>
  <c r="V30" i="20"/>
  <c r="U30" i="20"/>
  <c r="T30" i="20"/>
  <c r="S30" i="20"/>
  <c r="R30" i="20"/>
  <c r="Q30" i="20"/>
  <c r="P30" i="20"/>
  <c r="O30" i="20"/>
  <c r="N30" i="20"/>
  <c r="M30" i="20"/>
  <c r="L30" i="20"/>
  <c r="K30" i="20"/>
  <c r="J30" i="20"/>
  <c r="I30" i="20"/>
  <c r="H30" i="20"/>
  <c r="G30" i="20"/>
  <c r="F30" i="20"/>
  <c r="E30" i="20"/>
  <c r="D30" i="20"/>
  <c r="C18"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V16" i="20"/>
  <c r="U16" i="20"/>
  <c r="T16" i="20"/>
  <c r="S16" i="20"/>
  <c r="R16" i="20"/>
  <c r="Q16" i="20"/>
  <c r="P16" i="20"/>
  <c r="O16" i="20"/>
  <c r="N16" i="20"/>
  <c r="M16" i="20"/>
  <c r="L16" i="20"/>
  <c r="K16" i="20"/>
  <c r="J16" i="20"/>
  <c r="I16" i="20"/>
  <c r="H16" i="20"/>
  <c r="G16" i="20"/>
  <c r="F16" i="20"/>
  <c r="E16" i="20"/>
  <c r="D16" i="20"/>
  <c r="AY15" i="20"/>
  <c r="BA15" i="20" s="1"/>
  <c r="BC15" i="20" s="1"/>
  <c r="BB15" i="20"/>
  <c r="AY14" i="20"/>
  <c r="BA14" i="20" s="1"/>
  <c r="BC14" i="20" s="1"/>
  <c r="BB14" i="20"/>
  <c r="AY13" i="20"/>
  <c r="BB13" i="20"/>
  <c r="BA12" i="20"/>
  <c r="BC12" i="20" s="1"/>
  <c r="AY12" i="20"/>
  <c r="BB12" i="20"/>
  <c r="AY11" i="20"/>
  <c r="BA11" i="20" s="1"/>
  <c r="BC11" i="20" s="1"/>
  <c r="BB11" i="20"/>
  <c r="AY10" i="20"/>
  <c r="BA10" i="20" s="1"/>
  <c r="BC10" i="20" s="1"/>
  <c r="BB10" i="20"/>
  <c r="AY9" i="20"/>
  <c r="BB9" i="20"/>
  <c r="AY8" i="20"/>
  <c r="BA8" i="20" s="1"/>
  <c r="BB8" i="20"/>
  <c r="AW7" i="20"/>
  <c r="AV7" i="20"/>
  <c r="AU7" i="20"/>
  <c r="AT7" i="20"/>
  <c r="AS7" i="20"/>
  <c r="AR7" i="20"/>
  <c r="AQ7" i="20"/>
  <c r="AP7" i="20"/>
  <c r="AO7" i="20"/>
  <c r="AN7" i="20"/>
  <c r="AM7" i="20"/>
  <c r="AL7" i="20"/>
  <c r="AK7" i="20"/>
  <c r="AJ7" i="20"/>
  <c r="AI7" i="20"/>
  <c r="AH7" i="20"/>
  <c r="AG7" i="20"/>
  <c r="AF7" i="20"/>
  <c r="AE7" i="20"/>
  <c r="AD7" i="20"/>
  <c r="AC7" i="20"/>
  <c r="AB7" i="20"/>
  <c r="AA7" i="20"/>
  <c r="Z7" i="20"/>
  <c r="Y7" i="20"/>
  <c r="X7" i="20"/>
  <c r="W7" i="20"/>
  <c r="V7" i="20"/>
  <c r="U7" i="20"/>
  <c r="T7" i="20"/>
  <c r="S7" i="20"/>
  <c r="R7" i="20"/>
  <c r="Q7" i="20"/>
  <c r="P7" i="20"/>
  <c r="O7" i="20"/>
  <c r="N7" i="20"/>
  <c r="M7" i="20"/>
  <c r="L7" i="20"/>
  <c r="K7" i="20"/>
  <c r="J7" i="20"/>
  <c r="I7" i="20"/>
  <c r="H7" i="20"/>
  <c r="G7" i="20"/>
  <c r="F7" i="20"/>
  <c r="AV6" i="20"/>
  <c r="AT6" i="20"/>
  <c r="AR6" i="20"/>
  <c r="AP6" i="20"/>
  <c r="AN6" i="20"/>
  <c r="F6" i="20"/>
  <c r="H6" i="20" s="1"/>
  <c r="J6" i="20" s="1"/>
  <c r="L6" i="20" s="1"/>
  <c r="N6" i="20" s="1"/>
  <c r="P6" i="20" s="1"/>
  <c r="R6" i="20" s="1"/>
  <c r="T6" i="20" s="1"/>
  <c r="V6" i="20" s="1"/>
  <c r="X6" i="20" s="1"/>
  <c r="Z6" i="20" s="1"/>
  <c r="AB6" i="20" s="1"/>
  <c r="AD6" i="20" s="1"/>
  <c r="AF6" i="20" s="1"/>
  <c r="AH6" i="20" s="1"/>
  <c r="AJ6" i="20" s="1"/>
  <c r="AL6" i="20" s="1"/>
  <c r="C4" i="20"/>
  <c r="D16" i="21" l="1"/>
  <c r="AF44" i="20"/>
  <c r="AE36" i="20"/>
  <c r="AG36" i="20" s="1"/>
  <c r="AB44" i="20"/>
  <c r="AE58" i="20"/>
  <c r="AD58" i="20" s="1"/>
  <c r="AE72" i="20"/>
  <c r="AD72" i="20" s="1"/>
  <c r="AG40" i="20"/>
  <c r="AB30" i="20"/>
  <c r="AG69" i="20"/>
  <c r="AG72" i="20" s="1"/>
  <c r="AG58" i="20"/>
  <c r="J20" i="21"/>
  <c r="L8" i="21"/>
  <c r="L9" i="21" s="1"/>
  <c r="L10" i="21" s="1"/>
  <c r="L11" i="21" s="1"/>
  <c r="L12" i="21" s="1"/>
  <c r="L13" i="21" s="1"/>
  <c r="L14" i="21" s="1"/>
  <c r="L15" i="21" s="1"/>
  <c r="L16" i="21" s="1"/>
  <c r="L17" i="21" s="1"/>
  <c r="L18" i="21" s="1"/>
  <c r="L19" i="21" s="1"/>
  <c r="K20" i="21"/>
  <c r="BB16" i="20"/>
  <c r="AX16" i="20"/>
  <c r="AC30" i="20"/>
  <c r="BA9" i="20"/>
  <c r="BC9" i="20" s="1"/>
  <c r="BA13" i="20"/>
  <c r="BA16" i="20" s="1"/>
  <c r="AY16" i="20"/>
  <c r="AE37" i="20"/>
  <c r="AE41" i="20"/>
  <c r="AG41" i="20" s="1"/>
  <c r="BC8" i="20"/>
  <c r="AF30" i="20"/>
  <c r="C17" i="14"/>
  <c r="C16" i="14"/>
  <c r="C15" i="14"/>
  <c r="C14" i="14"/>
  <c r="C13" i="14"/>
  <c r="C12" i="14"/>
  <c r="C11" i="14"/>
  <c r="C10" i="14"/>
  <c r="C9" i="14"/>
  <c r="C8" i="14"/>
  <c r="C7" i="14"/>
  <c r="C6" i="14"/>
  <c r="AE44" i="20" l="1"/>
  <c r="AD44" i="20" s="1"/>
  <c r="AZ16" i="20"/>
  <c r="L20" i="21"/>
  <c r="L22" i="21"/>
  <c r="AG37" i="20"/>
  <c r="AG44" i="20" s="1"/>
  <c r="AE30" i="20"/>
  <c r="AD30" i="20" s="1"/>
  <c r="BC13" i="20"/>
  <c r="BC16" i="20" s="1"/>
  <c r="AG30" i="20"/>
  <c r="U6" i="15" l="1"/>
  <c r="U7" i="15"/>
  <c r="U8" i="15"/>
  <c r="U9" i="15"/>
  <c r="U10" i="15"/>
  <c r="U11" i="15"/>
  <c r="U12" i="15"/>
  <c r="U13" i="15"/>
  <c r="U14" i="15"/>
  <c r="U15" i="15"/>
  <c r="U16" i="15"/>
  <c r="U17" i="15"/>
  <c r="C17" i="15"/>
  <c r="C16" i="15"/>
  <c r="C15" i="15"/>
  <c r="C14" i="15"/>
  <c r="C13" i="15"/>
  <c r="C12" i="15"/>
  <c r="C11" i="15"/>
  <c r="C10" i="15"/>
  <c r="C9" i="15"/>
  <c r="C8" i="15"/>
  <c r="C7" i="15"/>
  <c r="C6" i="15"/>
  <c r="Z5" i="19"/>
  <c r="Z6" i="19" s="1"/>
  <c r="Z7" i="19" s="1"/>
  <c r="Z8" i="19" s="1"/>
  <c r="Z9" i="19" s="1"/>
  <c r="Z10" i="19" s="1"/>
  <c r="Z11" i="19" s="1"/>
  <c r="Z12" i="19" s="1"/>
  <c r="Z13" i="19" s="1"/>
  <c r="Z14" i="19" s="1"/>
  <c r="Z15" i="19" s="1"/>
  <c r="Z16" i="19" s="1"/>
  <c r="Y5" i="19"/>
  <c r="Y6" i="19" s="1"/>
  <c r="Y7" i="19" s="1"/>
  <c r="Y8" i="19" s="1"/>
  <c r="Y9" i="19" s="1"/>
  <c r="Y10" i="19" s="1"/>
  <c r="Y11" i="19" s="1"/>
  <c r="Y12" i="19" s="1"/>
  <c r="Y13" i="19" s="1"/>
  <c r="Y14" i="19" s="1"/>
  <c r="Y15" i="19" s="1"/>
  <c r="Y16" i="19" s="1"/>
  <c r="X5" i="19"/>
  <c r="X6" i="19" s="1"/>
  <c r="X7" i="19" s="1"/>
  <c r="X8" i="19" s="1"/>
  <c r="X9" i="19" s="1"/>
  <c r="X10" i="19" s="1"/>
  <c r="X11" i="19" s="1"/>
  <c r="X12" i="19" s="1"/>
  <c r="X13" i="19" s="1"/>
  <c r="X14" i="19" s="1"/>
  <c r="X15" i="19" s="1"/>
  <c r="X16" i="19" s="1"/>
  <c r="S17" i="19"/>
  <c r="U16" i="19"/>
  <c r="U15" i="19"/>
  <c r="U14" i="19"/>
  <c r="U13" i="19"/>
  <c r="U12" i="19"/>
  <c r="U11" i="19"/>
  <c r="U10" i="19"/>
  <c r="U9" i="19"/>
  <c r="U8" i="19"/>
  <c r="U7" i="19"/>
  <c r="U6" i="19"/>
  <c r="U5" i="19"/>
  <c r="O17" i="19"/>
  <c r="Q16" i="19"/>
  <c r="Q15" i="19"/>
  <c r="Q14" i="19"/>
  <c r="Q13" i="19"/>
  <c r="Q12" i="19"/>
  <c r="Q11" i="19"/>
  <c r="Q10" i="19"/>
  <c r="Q9" i="19"/>
  <c r="Q8" i="19"/>
  <c r="Q7" i="19"/>
  <c r="Q6" i="19"/>
  <c r="Q5" i="19"/>
  <c r="K17" i="19"/>
  <c r="G17" i="19"/>
  <c r="H8" i="19" s="1"/>
  <c r="D17" i="19"/>
  <c r="C17" i="19"/>
  <c r="D12" i="19" s="1"/>
  <c r="M16" i="19"/>
  <c r="I16" i="19"/>
  <c r="E16" i="19"/>
  <c r="D16" i="19"/>
  <c r="M15" i="19"/>
  <c r="I15" i="19"/>
  <c r="E15" i="19"/>
  <c r="D15" i="19"/>
  <c r="M14" i="19"/>
  <c r="I14" i="19"/>
  <c r="E14" i="19"/>
  <c r="D14" i="19"/>
  <c r="M13" i="19"/>
  <c r="I13" i="19"/>
  <c r="E13" i="19"/>
  <c r="D13" i="19"/>
  <c r="M12" i="19"/>
  <c r="L12" i="19"/>
  <c r="I12" i="19"/>
  <c r="E12" i="19"/>
  <c r="M11" i="19"/>
  <c r="I11" i="19"/>
  <c r="E11" i="19"/>
  <c r="D11" i="19"/>
  <c r="M10" i="19"/>
  <c r="I10" i="19"/>
  <c r="E10" i="19"/>
  <c r="D10" i="19"/>
  <c r="M9" i="19"/>
  <c r="I9" i="19"/>
  <c r="E9" i="19"/>
  <c r="D9" i="19"/>
  <c r="M8" i="19"/>
  <c r="L8" i="19"/>
  <c r="I8" i="19"/>
  <c r="E8" i="19"/>
  <c r="M7" i="19"/>
  <c r="I7" i="19"/>
  <c r="E7" i="19"/>
  <c r="D7" i="19"/>
  <c r="M6" i="19"/>
  <c r="I6" i="19"/>
  <c r="E6" i="19"/>
  <c r="D6" i="19"/>
  <c r="W5" i="19"/>
  <c r="W6" i="19" s="1"/>
  <c r="W7" i="19" s="1"/>
  <c r="W8" i="19" s="1"/>
  <c r="W9" i="19" s="1"/>
  <c r="W10" i="19" s="1"/>
  <c r="W11" i="19" s="1"/>
  <c r="W12" i="19" s="1"/>
  <c r="W13" i="19" s="1"/>
  <c r="W14" i="19" s="1"/>
  <c r="W15" i="19" s="1"/>
  <c r="W16" i="19" s="1"/>
  <c r="V5" i="19"/>
  <c r="V6" i="19" s="1"/>
  <c r="V7" i="19" s="1"/>
  <c r="V8" i="19" s="1"/>
  <c r="V9" i="19" s="1"/>
  <c r="V10" i="19" s="1"/>
  <c r="V11" i="19" s="1"/>
  <c r="V12" i="19" s="1"/>
  <c r="V13" i="19" s="1"/>
  <c r="V14" i="19" s="1"/>
  <c r="V15" i="19" s="1"/>
  <c r="V16" i="19" s="1"/>
  <c r="M5" i="19"/>
  <c r="I5" i="19"/>
  <c r="E5" i="19"/>
  <c r="D5" i="19"/>
  <c r="B2" i="19"/>
  <c r="D8" i="19" l="1"/>
  <c r="H11" i="19"/>
  <c r="L10" i="19"/>
  <c r="H5" i="19"/>
  <c r="H6" i="19"/>
  <c r="H9" i="19"/>
  <c r="H13" i="19"/>
  <c r="H7" i="19"/>
  <c r="H15" i="19"/>
  <c r="P8" i="19"/>
  <c r="P12" i="19"/>
  <c r="P16" i="19"/>
  <c r="T9" i="19"/>
  <c r="L7" i="19"/>
  <c r="L9" i="19"/>
  <c r="H10" i="19"/>
  <c r="L11" i="19"/>
  <c r="H12" i="19"/>
  <c r="L13" i="19"/>
  <c r="H14" i="19"/>
  <c r="L15" i="19"/>
  <c r="H16" i="19"/>
  <c r="L17" i="19"/>
  <c r="T8" i="19"/>
  <c r="T12" i="19"/>
  <c r="T16" i="19"/>
  <c r="P6" i="19"/>
  <c r="P10" i="19"/>
  <c r="P14" i="19"/>
  <c r="T5" i="19"/>
  <c r="T13" i="19"/>
  <c r="L5" i="19"/>
  <c r="L6" i="19"/>
  <c r="P5" i="19"/>
  <c r="P7" i="19"/>
  <c r="P9" i="19"/>
  <c r="P11" i="19"/>
  <c r="P13" i="19"/>
  <c r="P15" i="19"/>
  <c r="T7" i="19"/>
  <c r="T11" i="19"/>
  <c r="T15" i="19"/>
  <c r="L14" i="19"/>
  <c r="L16" i="19"/>
  <c r="T6" i="19"/>
  <c r="T10" i="19"/>
  <c r="T14" i="19"/>
  <c r="T17" i="19"/>
  <c r="P17" i="19"/>
  <c r="H17" i="19"/>
  <c r="R51" i="11"/>
  <c r="O51" i="11"/>
  <c r="O35" i="18" l="1"/>
  <c r="I35" i="18"/>
  <c r="C35" i="18"/>
  <c r="O34" i="18"/>
  <c r="I34" i="18"/>
  <c r="C34" i="18"/>
  <c r="O33" i="18"/>
  <c r="I33" i="18"/>
  <c r="C33" i="18"/>
  <c r="O32" i="18"/>
  <c r="I32" i="18"/>
  <c r="C32" i="18"/>
  <c r="O31" i="18"/>
  <c r="I31" i="18"/>
  <c r="C31" i="18"/>
  <c r="O30" i="18"/>
  <c r="I30" i="18"/>
  <c r="C30" i="18"/>
  <c r="O29" i="18"/>
  <c r="I29" i="18"/>
  <c r="C29" i="18"/>
  <c r="O28" i="18"/>
  <c r="I28" i="18"/>
  <c r="C28" i="18"/>
  <c r="O27" i="18"/>
  <c r="I27" i="18"/>
  <c r="C27" i="18"/>
  <c r="O26" i="18"/>
  <c r="I26" i="18"/>
  <c r="C26" i="18"/>
  <c r="O25" i="18"/>
  <c r="I25" i="18"/>
  <c r="O24" i="18"/>
  <c r="I24" i="18"/>
  <c r="C24" i="18"/>
  <c r="O23" i="18"/>
  <c r="I23" i="18"/>
  <c r="O22" i="18"/>
  <c r="I22" i="18"/>
  <c r="O21" i="18"/>
  <c r="I21" i="18"/>
  <c r="O20" i="18"/>
  <c r="I20" i="18"/>
  <c r="C20" i="18"/>
  <c r="O19" i="18"/>
  <c r="I19" i="18"/>
  <c r="O18" i="18"/>
  <c r="I18" i="18"/>
  <c r="C18" i="18"/>
  <c r="I17" i="18"/>
  <c r="O16" i="18"/>
  <c r="I16" i="18"/>
  <c r="C16" i="18"/>
  <c r="O15" i="18"/>
  <c r="I15" i="18"/>
  <c r="I14" i="18"/>
  <c r="C14" i="18"/>
  <c r="O13" i="18"/>
  <c r="I13" i="18"/>
  <c r="I12" i="18"/>
  <c r="P11" i="18"/>
  <c r="J11" i="18"/>
  <c r="I11" i="18"/>
  <c r="D11" i="18"/>
  <c r="C11" i="18" s="1"/>
  <c r="R9" i="18"/>
  <c r="O14" i="18" s="1"/>
  <c r="L9" i="18"/>
  <c r="F9" i="18"/>
  <c r="C25" i="18" s="1"/>
  <c r="O17" i="18" l="1"/>
  <c r="O11" i="18"/>
  <c r="Q11" i="18" s="1"/>
  <c r="C15" i="18"/>
  <c r="C19" i="18"/>
  <c r="C23" i="18"/>
  <c r="C22" i="18"/>
  <c r="C13" i="18"/>
  <c r="C17" i="18"/>
  <c r="C21" i="18"/>
  <c r="K11" i="18"/>
  <c r="L11" i="18" s="1"/>
  <c r="I36" i="18"/>
  <c r="E11" i="18"/>
  <c r="Q34" i="3"/>
  <c r="F11" i="18" l="1"/>
  <c r="R11" i="18"/>
  <c r="J12" i="18"/>
  <c r="H16" i="2"/>
  <c r="P12" i="18" l="1"/>
  <c r="O12" i="18" s="1"/>
  <c r="O36" i="18" s="1"/>
  <c r="K12" i="18"/>
  <c r="D12" i="18"/>
  <c r="C12" i="18" s="1"/>
  <c r="C36" i="18" s="1"/>
  <c r="L12" i="18" l="1"/>
  <c r="E12" i="18"/>
  <c r="Q12" i="18"/>
  <c r="J18" i="2"/>
  <c r="D18" i="2"/>
  <c r="F12" i="18" l="1"/>
  <c r="J13" i="18"/>
  <c r="R12" i="18"/>
  <c r="P18" i="2"/>
  <c r="N18" i="2"/>
  <c r="N16" i="2"/>
  <c r="H18" i="2"/>
  <c r="D14" i="2"/>
  <c r="P16" i="2"/>
  <c r="P14" i="2"/>
  <c r="K13" i="18" l="1"/>
  <c r="P13" i="18"/>
  <c r="D13" i="18"/>
  <c r="J16" i="2"/>
  <c r="D16" i="2"/>
  <c r="J14" i="2"/>
  <c r="N34" i="3"/>
  <c r="Q3" i="3"/>
  <c r="N3" i="3"/>
  <c r="Q28" i="3"/>
  <c r="N28" i="3"/>
  <c r="Q27" i="3"/>
  <c r="R26" i="3" s="1"/>
  <c r="N27" i="3"/>
  <c r="O26" i="3" s="1"/>
  <c r="O25" i="3"/>
  <c r="R2" i="3"/>
  <c r="O2" i="3"/>
  <c r="T4" i="12"/>
  <c r="Q4" i="12"/>
  <c r="U70" i="12"/>
  <c r="U75" i="12" s="1"/>
  <c r="Q14" i="3" s="1"/>
  <c r="T70" i="12"/>
  <c r="T75" i="12" s="1"/>
  <c r="Q10" i="3" s="1"/>
  <c r="R70" i="12"/>
  <c r="R75" i="12" s="1"/>
  <c r="N14" i="3" s="1"/>
  <c r="Q70" i="12"/>
  <c r="Q75" i="12" s="1"/>
  <c r="N10" i="3" s="1"/>
  <c r="U63" i="12"/>
  <c r="T63" i="12"/>
  <c r="R63" i="12"/>
  <c r="Q63" i="12"/>
  <c r="U56" i="12"/>
  <c r="T56" i="12"/>
  <c r="R56" i="12"/>
  <c r="Q56" i="12"/>
  <c r="U49" i="12"/>
  <c r="T49" i="12"/>
  <c r="R49" i="12"/>
  <c r="Q49" i="12"/>
  <c r="U42" i="12"/>
  <c r="T42" i="12"/>
  <c r="R42" i="12"/>
  <c r="Q42" i="12"/>
  <c r="U35" i="12"/>
  <c r="T35" i="12"/>
  <c r="R35" i="12"/>
  <c r="Q35" i="12"/>
  <c r="U28" i="12"/>
  <c r="T28" i="12"/>
  <c r="R28" i="12"/>
  <c r="Q28" i="12"/>
  <c r="U23" i="12"/>
  <c r="T23" i="12"/>
  <c r="R23" i="12"/>
  <c r="Q23" i="12"/>
  <c r="U13" i="12"/>
  <c r="U73" i="12" s="1"/>
  <c r="T13" i="12"/>
  <c r="R13" i="12"/>
  <c r="R73" i="12" s="1"/>
  <c r="Q13" i="12"/>
  <c r="Q73" i="12" s="1"/>
  <c r="T73" i="12" l="1"/>
  <c r="Q8" i="3" s="1"/>
  <c r="R25" i="3"/>
  <c r="Q13" i="18"/>
  <c r="E13" i="18"/>
  <c r="L13" i="18"/>
  <c r="U74" i="12"/>
  <c r="Q13" i="3" s="1"/>
  <c r="T74" i="12"/>
  <c r="Q9" i="3" s="1"/>
  <c r="R74" i="12"/>
  <c r="N13" i="3" s="1"/>
  <c r="Q74" i="12"/>
  <c r="N9" i="3" s="1"/>
  <c r="Q12" i="3"/>
  <c r="Q7" i="3"/>
  <c r="R10" i="3" s="1"/>
  <c r="N8" i="3"/>
  <c r="N12" i="3"/>
  <c r="S27" i="2"/>
  <c r="P27" i="2"/>
  <c r="S20" i="2"/>
  <c r="P20" i="2"/>
  <c r="S25" i="2"/>
  <c r="P25" i="2"/>
  <c r="T46" i="2"/>
  <c r="Q46" i="2"/>
  <c r="T42" i="2"/>
  <c r="Q42" i="2"/>
  <c r="T40" i="2"/>
  <c r="Q40" i="2"/>
  <c r="T38" i="2"/>
  <c r="Q38" i="2"/>
  <c r="T36" i="2"/>
  <c r="Q36" i="2"/>
  <c r="T34" i="2"/>
  <c r="Q34" i="2"/>
  <c r="T32" i="2"/>
  <c r="Q32" i="2"/>
  <c r="T30" i="2"/>
  <c r="Q30" i="2"/>
  <c r="T28" i="2"/>
  <c r="Q28" i="2"/>
  <c r="T26" i="2"/>
  <c r="Q26" i="2"/>
  <c r="T24" i="2"/>
  <c r="Q24" i="2"/>
  <c r="R4" i="11"/>
  <c r="Q2" i="3" s="1"/>
  <c r="O4" i="11"/>
  <c r="N2" i="3" s="1"/>
  <c r="S10" i="11"/>
  <c r="S9" i="11"/>
  <c r="P10" i="11"/>
  <c r="P9" i="11"/>
  <c r="R125" i="11"/>
  <c r="O125" i="11"/>
  <c r="R123" i="11"/>
  <c r="O123" i="11"/>
  <c r="R122" i="11"/>
  <c r="O122" i="11"/>
  <c r="R76" i="11"/>
  <c r="O76" i="11"/>
  <c r="R58" i="11"/>
  <c r="R59" i="11" s="1"/>
  <c r="O58" i="11"/>
  <c r="R56" i="11"/>
  <c r="O56" i="11"/>
  <c r="R49" i="11"/>
  <c r="O49" i="11"/>
  <c r="R39" i="11"/>
  <c r="R40" i="11" s="1"/>
  <c r="O39" i="11"/>
  <c r="O40" i="11" s="1"/>
  <c r="S28" i="11"/>
  <c r="P28" i="11"/>
  <c r="S27" i="11"/>
  <c r="R27" i="11"/>
  <c r="R28" i="11" s="1"/>
  <c r="P27" i="11"/>
  <c r="O27" i="11"/>
  <c r="O28" i="11" s="1"/>
  <c r="R20" i="11"/>
  <c r="O20" i="11"/>
  <c r="O21" i="11" s="1"/>
  <c r="P21" i="11" s="1"/>
  <c r="R11" i="11"/>
  <c r="R18" i="19" s="1"/>
  <c r="O11" i="11"/>
  <c r="N18" i="19" s="1"/>
  <c r="R12" i="11" l="1"/>
  <c r="F13" i="18"/>
  <c r="J14" i="18"/>
  <c r="R13" i="18"/>
  <c r="U77" i="12"/>
  <c r="Q32" i="3" s="1"/>
  <c r="T77" i="12"/>
  <c r="R77" i="12"/>
  <c r="N32" i="3" s="1"/>
  <c r="Q77" i="12"/>
  <c r="P8" i="11"/>
  <c r="S8" i="11"/>
  <c r="R8" i="3"/>
  <c r="N11" i="3"/>
  <c r="O12" i="3" s="1"/>
  <c r="N7" i="3"/>
  <c r="O8" i="3" s="1"/>
  <c r="Q11" i="3"/>
  <c r="R12" i="3" s="1"/>
  <c r="R9" i="3"/>
  <c r="U11" i="11"/>
  <c r="T11" i="11"/>
  <c r="U10" i="11"/>
  <c r="T10" i="11"/>
  <c r="Q51" i="2"/>
  <c r="O15" i="11"/>
  <c r="P58" i="11" s="1"/>
  <c r="P7" i="11"/>
  <c r="S20" i="11"/>
  <c r="R73" i="11"/>
  <c r="R21" i="11"/>
  <c r="S21" i="11" s="1"/>
  <c r="P20" i="11"/>
  <c r="O73" i="11"/>
  <c r="R15" i="11"/>
  <c r="S39" i="2"/>
  <c r="R120" i="11" s="1"/>
  <c r="S33" i="2"/>
  <c r="S43" i="2"/>
  <c r="S31" i="2"/>
  <c r="S41" i="2"/>
  <c r="S29" i="2"/>
  <c r="T50" i="2"/>
  <c r="T51" i="2"/>
  <c r="S7" i="11"/>
  <c r="P41" i="2"/>
  <c r="P33" i="2"/>
  <c r="P29" i="2"/>
  <c r="P43" i="2"/>
  <c r="P39" i="2"/>
  <c r="O120" i="11" s="1"/>
  <c r="P31" i="2"/>
  <c r="O59" i="11"/>
  <c r="H5" i="15"/>
  <c r="G5" i="15"/>
  <c r="F5" i="15"/>
  <c r="E5" i="15"/>
  <c r="G5" i="14"/>
  <c r="F5" i="14"/>
  <c r="E5" i="14"/>
  <c r="D5" i="14"/>
  <c r="M9" i="2"/>
  <c r="M8" i="2"/>
  <c r="M7" i="2"/>
  <c r="M6" i="2"/>
  <c r="P73" i="11" l="1"/>
  <c r="K14" i="18"/>
  <c r="D14" i="18"/>
  <c r="P14" i="18"/>
  <c r="Q16" i="3"/>
  <c r="P15" i="11"/>
  <c r="Q50" i="2"/>
  <c r="R14" i="3"/>
  <c r="R13" i="3"/>
  <c r="O14" i="3"/>
  <c r="O13" i="3"/>
  <c r="O9" i="3"/>
  <c r="O10" i="3"/>
  <c r="O79" i="11"/>
  <c r="P79" i="11" s="1"/>
  <c r="O29" i="11"/>
  <c r="P40" i="11"/>
  <c r="P11" i="11"/>
  <c r="O118" i="11"/>
  <c r="R118" i="11"/>
  <c r="R79" i="11"/>
  <c r="S79" i="11" s="1"/>
  <c r="S40" i="11"/>
  <c r="S73" i="11"/>
  <c r="S15" i="11"/>
  <c r="R29" i="11"/>
  <c r="S11" i="11"/>
  <c r="H71" i="12"/>
  <c r="H64" i="12"/>
  <c r="H57" i="12"/>
  <c r="H50" i="12"/>
  <c r="H43" i="12"/>
  <c r="H36" i="12"/>
  <c r="H29" i="12"/>
  <c r="H24" i="12"/>
  <c r="O23" i="12"/>
  <c r="N23" i="12"/>
  <c r="L23" i="12"/>
  <c r="K23" i="12"/>
  <c r="I23" i="12"/>
  <c r="E14" i="18" l="1"/>
  <c r="Q14" i="18"/>
  <c r="L14" i="18"/>
  <c r="S29" i="11"/>
  <c r="R33" i="11"/>
  <c r="P29" i="11"/>
  <c r="O33" i="11"/>
  <c r="H78" i="12"/>
  <c r="E25" i="3" s="1"/>
  <c r="C4" i="11"/>
  <c r="R14" i="18" l="1"/>
  <c r="J15" i="18"/>
  <c r="K15" i="18" s="1"/>
  <c r="L15" i="18" s="1"/>
  <c r="F14" i="18"/>
  <c r="R35" i="11"/>
  <c r="R72" i="11" s="1"/>
  <c r="R34" i="11"/>
  <c r="S33" i="11"/>
  <c r="O35" i="11"/>
  <c r="O72" i="11" s="1"/>
  <c r="P33" i="11"/>
  <c r="O34" i="11"/>
  <c r="E33" i="3"/>
  <c r="J16" i="18" l="1"/>
  <c r="K16" i="18" s="1"/>
  <c r="L16" i="18" s="1"/>
  <c r="D15" i="18"/>
  <c r="E15" i="18" s="1"/>
  <c r="P15" i="18"/>
  <c r="Q15" i="18" s="1"/>
  <c r="S34" i="11"/>
  <c r="R47" i="11"/>
  <c r="S72" i="11"/>
  <c r="R75" i="11"/>
  <c r="S75" i="11" s="1"/>
  <c r="R80" i="11"/>
  <c r="S80" i="11" s="1"/>
  <c r="P34" i="11"/>
  <c r="O47" i="11"/>
  <c r="P72" i="11"/>
  <c r="O80" i="11"/>
  <c r="P80" i="11" s="1"/>
  <c r="O75" i="11"/>
  <c r="P75" i="11" s="1"/>
  <c r="U39" i="16"/>
  <c r="D32" i="16"/>
  <c r="U19" i="16"/>
  <c r="T19" i="16"/>
  <c r="O13" i="16"/>
  <c r="N13" i="16"/>
  <c r="M13" i="16"/>
  <c r="L13" i="16"/>
  <c r="K13" i="16"/>
  <c r="J13" i="16"/>
  <c r="I13" i="16"/>
  <c r="H13" i="16"/>
  <c r="G13" i="16"/>
  <c r="F13" i="16"/>
  <c r="E13" i="16"/>
  <c r="D13" i="16"/>
  <c r="B3" i="16"/>
  <c r="B2" i="16"/>
  <c r="O18" i="17"/>
  <c r="O10" i="17"/>
  <c r="O9" i="17"/>
  <c r="O8" i="17"/>
  <c r="O5" i="17"/>
  <c r="O4" i="17"/>
  <c r="G18" i="15"/>
  <c r="F18" i="15"/>
  <c r="E18" i="15"/>
  <c r="R5" i="15"/>
  <c r="G2" i="15"/>
  <c r="F18" i="14"/>
  <c r="E18" i="14"/>
  <c r="T6" i="14"/>
  <c r="Q5" i="14"/>
  <c r="F2" i="14"/>
  <c r="K34" i="3"/>
  <c r="H34" i="3"/>
  <c r="E34" i="3"/>
  <c r="F33" i="3"/>
  <c r="K28" i="3"/>
  <c r="H28" i="3"/>
  <c r="E28" i="3"/>
  <c r="K27" i="3"/>
  <c r="L26" i="3" s="1"/>
  <c r="H27" i="3"/>
  <c r="I26" i="3" s="1"/>
  <c r="E27" i="3"/>
  <c r="F26" i="3" s="1"/>
  <c r="K3" i="3"/>
  <c r="H3" i="3"/>
  <c r="E3" i="3"/>
  <c r="L2" i="3"/>
  <c r="I2" i="3"/>
  <c r="F2" i="3"/>
  <c r="E2" i="3"/>
  <c r="C2" i="3"/>
  <c r="B2" i="3"/>
  <c r="O70" i="12"/>
  <c r="O75" i="12" s="1"/>
  <c r="K14" i="3" s="1"/>
  <c r="N70" i="12"/>
  <c r="N75" i="12" s="1"/>
  <c r="K10" i="3" s="1"/>
  <c r="L70" i="12"/>
  <c r="L75" i="12" s="1"/>
  <c r="H14" i="3" s="1"/>
  <c r="K70" i="12"/>
  <c r="K75" i="12" s="1"/>
  <c r="H10" i="3" s="1"/>
  <c r="I70" i="12"/>
  <c r="I75" i="12" s="1"/>
  <c r="E14" i="3" s="1"/>
  <c r="H70" i="12"/>
  <c r="H75" i="12" s="1"/>
  <c r="E10" i="3" s="1"/>
  <c r="O63" i="12"/>
  <c r="N63" i="12"/>
  <c r="L63" i="12"/>
  <c r="K63" i="12"/>
  <c r="I63" i="12"/>
  <c r="H63" i="12"/>
  <c r="O56" i="12"/>
  <c r="N56" i="12"/>
  <c r="L56" i="12"/>
  <c r="K56" i="12"/>
  <c r="I56" i="12"/>
  <c r="H56" i="12"/>
  <c r="O49" i="12"/>
  <c r="N49" i="12"/>
  <c r="L49" i="12"/>
  <c r="K49" i="12"/>
  <c r="I49" i="12"/>
  <c r="H49" i="12"/>
  <c r="O42" i="12"/>
  <c r="N42" i="12"/>
  <c r="L42" i="12"/>
  <c r="K42" i="12"/>
  <c r="I42" i="12"/>
  <c r="H42" i="12"/>
  <c r="O35" i="12"/>
  <c r="N35" i="12"/>
  <c r="L35" i="12"/>
  <c r="K35" i="12"/>
  <c r="I35" i="12"/>
  <c r="H35" i="12"/>
  <c r="O28" i="12"/>
  <c r="N28" i="12"/>
  <c r="L28" i="12"/>
  <c r="K28" i="12"/>
  <c r="I28" i="12"/>
  <c r="H28" i="12"/>
  <c r="H23" i="12"/>
  <c r="O13" i="12"/>
  <c r="O73" i="12" s="1"/>
  <c r="N13" i="12"/>
  <c r="N73" i="12" s="1"/>
  <c r="L13" i="12"/>
  <c r="L73" i="12" s="1"/>
  <c r="H12" i="3" s="1"/>
  <c r="K13" i="12"/>
  <c r="K73" i="12" s="1"/>
  <c r="I13" i="12"/>
  <c r="H13" i="12"/>
  <c r="N4" i="12"/>
  <c r="K4" i="12"/>
  <c r="H4" i="12"/>
  <c r="B2" i="12"/>
  <c r="N46" i="2"/>
  <c r="K46" i="2"/>
  <c r="H46" i="2"/>
  <c r="N42" i="2"/>
  <c r="K42" i="2"/>
  <c r="H42" i="2"/>
  <c r="N40" i="2"/>
  <c r="K40" i="2"/>
  <c r="H40" i="2"/>
  <c r="N38" i="2"/>
  <c r="K38" i="2"/>
  <c r="H38" i="2"/>
  <c r="N36" i="2"/>
  <c r="K36" i="2"/>
  <c r="H36" i="2"/>
  <c r="N34" i="2"/>
  <c r="K34" i="2"/>
  <c r="H34" i="2"/>
  <c r="N32" i="2"/>
  <c r="K32" i="2"/>
  <c r="H32" i="2"/>
  <c r="N30" i="2"/>
  <c r="K30" i="2"/>
  <c r="H30" i="2"/>
  <c r="N28" i="2"/>
  <c r="K28" i="2"/>
  <c r="H28" i="2"/>
  <c r="M27" i="2"/>
  <c r="J27" i="2"/>
  <c r="G27" i="2"/>
  <c r="N26" i="2"/>
  <c r="K26" i="2"/>
  <c r="H26" i="2"/>
  <c r="M25" i="2"/>
  <c r="J25" i="2"/>
  <c r="G25" i="2"/>
  <c r="N24" i="2"/>
  <c r="K24" i="2"/>
  <c r="H24" i="2"/>
  <c r="E23" i="2"/>
  <c r="E22" i="2" s="1"/>
  <c r="M20" i="2"/>
  <c r="J20" i="2"/>
  <c r="G20" i="2"/>
  <c r="N10" i="2"/>
  <c r="H12" i="2" s="1"/>
  <c r="D10" i="2"/>
  <c r="P9" i="2"/>
  <c r="O9" i="2"/>
  <c r="E9" i="2"/>
  <c r="P8" i="2"/>
  <c r="O8" i="2"/>
  <c r="E8" i="2"/>
  <c r="P7" i="2"/>
  <c r="O7" i="2"/>
  <c r="E7" i="2"/>
  <c r="P6" i="2"/>
  <c r="O6" i="2"/>
  <c r="E6" i="2"/>
  <c r="B2" i="2"/>
  <c r="L125" i="11"/>
  <c r="I125" i="11"/>
  <c r="F125" i="11"/>
  <c r="L123" i="11"/>
  <c r="I123" i="11"/>
  <c r="F123" i="11"/>
  <c r="L122" i="11"/>
  <c r="I122" i="11"/>
  <c r="F122" i="11"/>
  <c r="L76" i="11"/>
  <c r="I76" i="11"/>
  <c r="F76" i="11"/>
  <c r="L58" i="11"/>
  <c r="L59" i="11" s="1"/>
  <c r="I58" i="11"/>
  <c r="I59" i="11" s="1"/>
  <c r="F58" i="11"/>
  <c r="F59" i="11" s="1"/>
  <c r="L56" i="11"/>
  <c r="I56" i="11"/>
  <c r="F56" i="11"/>
  <c r="L51" i="11"/>
  <c r="I51" i="11"/>
  <c r="F51" i="11"/>
  <c r="L49" i="11"/>
  <c r="I49" i="11"/>
  <c r="F49" i="11"/>
  <c r="L39" i="11"/>
  <c r="L40" i="11" s="1"/>
  <c r="I39" i="11"/>
  <c r="I40" i="11" s="1"/>
  <c r="F39" i="11"/>
  <c r="F40" i="11" s="1"/>
  <c r="J28" i="11"/>
  <c r="M27" i="11"/>
  <c r="L27" i="11"/>
  <c r="L28" i="11" s="1"/>
  <c r="M28" i="11" s="1"/>
  <c r="J27" i="11"/>
  <c r="I27" i="11"/>
  <c r="I28" i="11" s="1"/>
  <c r="F27" i="11"/>
  <c r="G27" i="11" s="1"/>
  <c r="L21" i="11"/>
  <c r="M21" i="11" s="1"/>
  <c r="L20" i="11"/>
  <c r="I20" i="11"/>
  <c r="F20" i="11"/>
  <c r="F21" i="11" s="1"/>
  <c r="G21" i="11" s="1"/>
  <c r="L11" i="11"/>
  <c r="I11" i="11"/>
  <c r="F18" i="19" s="1"/>
  <c r="F11" i="11"/>
  <c r="B18" i="19" s="1"/>
  <c r="M10" i="11"/>
  <c r="J10" i="11"/>
  <c r="G10" i="11"/>
  <c r="J7" i="11"/>
  <c r="L4" i="11"/>
  <c r="K2" i="3" s="1"/>
  <c r="I4" i="11"/>
  <c r="H2" i="3" s="1"/>
  <c r="B2" i="11"/>
  <c r="L2" i="15" l="1"/>
  <c r="T5" i="15"/>
  <c r="S5" i="15"/>
  <c r="S5" i="14"/>
  <c r="R5" i="14"/>
  <c r="K2" i="14" s="1"/>
  <c r="I25" i="3"/>
  <c r="J18" i="19"/>
  <c r="O12" i="11"/>
  <c r="M7" i="11"/>
  <c r="L25" i="3"/>
  <c r="J17" i="18"/>
  <c r="K17" i="18" s="1"/>
  <c r="L17" i="18" s="1"/>
  <c r="F15" i="18"/>
  <c r="R15" i="18"/>
  <c r="F25" i="3"/>
  <c r="K50" i="2"/>
  <c r="E15" i="3"/>
  <c r="S47" i="11"/>
  <c r="R50" i="11"/>
  <c r="P47" i="11"/>
  <c r="O50" i="11"/>
  <c r="D2" i="2"/>
  <c r="I74" i="12"/>
  <c r="E13" i="3" s="1"/>
  <c r="O74" i="12"/>
  <c r="K13" i="3" s="1"/>
  <c r="T7" i="11"/>
  <c r="I73" i="11"/>
  <c r="M20" i="11"/>
  <c r="L73" i="11"/>
  <c r="I21" i="11"/>
  <c r="J21" i="11" s="1"/>
  <c r="G20" i="11"/>
  <c r="F73" i="11"/>
  <c r="T9" i="11"/>
  <c r="S47" i="2"/>
  <c r="P47" i="2"/>
  <c r="G7" i="11"/>
  <c r="O10" i="2"/>
  <c r="N74" i="12"/>
  <c r="K9" i="3" s="1"/>
  <c r="K74" i="12"/>
  <c r="H9" i="3" s="1"/>
  <c r="L74" i="12"/>
  <c r="H13" i="3" s="1"/>
  <c r="H11" i="3" s="1"/>
  <c r="I12" i="3" s="1"/>
  <c r="H74" i="12"/>
  <c r="E9" i="3" s="1"/>
  <c r="U8" i="11"/>
  <c r="T8" i="11"/>
  <c r="I73" i="12"/>
  <c r="E12" i="3" s="1"/>
  <c r="U7" i="11"/>
  <c r="U5" i="11"/>
  <c r="A4" i="11"/>
  <c r="U4" i="11" s="1"/>
  <c r="M9" i="11"/>
  <c r="U9" i="11"/>
  <c r="K12" i="3"/>
  <c r="H8" i="3"/>
  <c r="K8" i="3"/>
  <c r="N77" i="12"/>
  <c r="P10" i="2"/>
  <c r="T5" i="11"/>
  <c r="C2" i="11" s="1"/>
  <c r="E10" i="2"/>
  <c r="G8" i="11"/>
  <c r="J9" i="11"/>
  <c r="M8" i="11"/>
  <c r="J8" i="11"/>
  <c r="G9" i="11"/>
  <c r="J20" i="11"/>
  <c r="F28" i="11"/>
  <c r="G28" i="11" s="1"/>
  <c r="F12" i="11"/>
  <c r="N51" i="2"/>
  <c r="L12" i="11"/>
  <c r="M43" i="2"/>
  <c r="N50" i="2"/>
  <c r="I12" i="11"/>
  <c r="H73" i="12"/>
  <c r="F15" i="11"/>
  <c r="G35" i="2"/>
  <c r="F119" i="11" s="1"/>
  <c r="G43" i="2"/>
  <c r="G39" i="2"/>
  <c r="F120" i="11" s="1"/>
  <c r="H51" i="2"/>
  <c r="G31" i="2"/>
  <c r="G47" i="2"/>
  <c r="J37" i="2"/>
  <c r="B12" i="2"/>
  <c r="M47" i="2"/>
  <c r="M39" i="2"/>
  <c r="L120" i="11" s="1"/>
  <c r="M41" i="2"/>
  <c r="M29" i="2"/>
  <c r="L15" i="11"/>
  <c r="S58" i="11" s="1"/>
  <c r="M31" i="2"/>
  <c r="M33" i="2"/>
  <c r="K51" i="2"/>
  <c r="J41" i="2"/>
  <c r="J33" i="2"/>
  <c r="J47" i="2"/>
  <c r="I15" i="11"/>
  <c r="J11" i="11" s="1"/>
  <c r="J39" i="2"/>
  <c r="I120" i="11" s="1"/>
  <c r="J31" i="2"/>
  <c r="J29" i="2"/>
  <c r="J43" i="2"/>
  <c r="G29" i="2"/>
  <c r="H50" i="2"/>
  <c r="G33" i="2"/>
  <c r="G41" i="2"/>
  <c r="J18" i="18" l="1"/>
  <c r="K18" i="18" s="1"/>
  <c r="L18" i="18" s="1"/>
  <c r="P16" i="18"/>
  <c r="Q16" i="18" s="1"/>
  <c r="R16" i="18" s="1"/>
  <c r="D16" i="18"/>
  <c r="E16" i="18" s="1"/>
  <c r="F16" i="18" s="1"/>
  <c r="O77" i="12"/>
  <c r="K32" i="3" s="1"/>
  <c r="H15" i="15"/>
  <c r="H12" i="15"/>
  <c r="H11" i="15"/>
  <c r="H17" i="15"/>
  <c r="H10" i="15"/>
  <c r="H8" i="15"/>
  <c r="H16" i="15"/>
  <c r="H9" i="15"/>
  <c r="H16" i="3"/>
  <c r="E16" i="3"/>
  <c r="H7" i="15"/>
  <c r="H14" i="15"/>
  <c r="H13" i="15"/>
  <c r="N16" i="3"/>
  <c r="K16" i="3"/>
  <c r="S50" i="11"/>
  <c r="R60" i="11"/>
  <c r="P50" i="11"/>
  <c r="O60" i="11"/>
  <c r="S37" i="2"/>
  <c r="P37" i="2"/>
  <c r="G37" i="2"/>
  <c r="G45" i="2" s="1"/>
  <c r="G48" i="2" s="1"/>
  <c r="M37" i="2"/>
  <c r="M35" i="2"/>
  <c r="R119" i="11" s="1"/>
  <c r="R121" i="11" s="1"/>
  <c r="S35" i="2"/>
  <c r="P35" i="2"/>
  <c r="L77" i="12"/>
  <c r="I77" i="12"/>
  <c r="E32" i="3" s="1"/>
  <c r="I14" i="3"/>
  <c r="K11" i="3"/>
  <c r="E11" i="3"/>
  <c r="K77" i="12"/>
  <c r="I13" i="3"/>
  <c r="J35" i="2"/>
  <c r="K7" i="3"/>
  <c r="H7" i="3"/>
  <c r="G73" i="11"/>
  <c r="M73" i="11"/>
  <c r="G15" i="11"/>
  <c r="F29" i="11"/>
  <c r="E8" i="3"/>
  <c r="H77" i="12"/>
  <c r="G40" i="11"/>
  <c r="G58" i="11"/>
  <c r="G11" i="11"/>
  <c r="F79" i="11"/>
  <c r="G79" i="11" s="1"/>
  <c r="L79" i="11"/>
  <c r="M79" i="11" s="1"/>
  <c r="L118" i="11"/>
  <c r="M58" i="11"/>
  <c r="L29" i="11"/>
  <c r="M15" i="11"/>
  <c r="M40" i="11"/>
  <c r="M11" i="11"/>
  <c r="I118" i="11"/>
  <c r="I79" i="11"/>
  <c r="J79" i="11" s="1"/>
  <c r="J73" i="11"/>
  <c r="I29" i="11"/>
  <c r="J15" i="11"/>
  <c r="J40" i="11"/>
  <c r="J58" i="11"/>
  <c r="H29" i="2"/>
  <c r="F118" i="11"/>
  <c r="F121" i="11" s="1"/>
  <c r="T7" i="14"/>
  <c r="D17" i="18" l="1"/>
  <c r="E17" i="18" s="1"/>
  <c r="F17" i="18" s="1"/>
  <c r="P17" i="18"/>
  <c r="Q17" i="18" s="1"/>
  <c r="R17" i="18" s="1"/>
  <c r="J19" i="18"/>
  <c r="K19" i="18" s="1"/>
  <c r="L19" i="18" s="1"/>
  <c r="G16" i="14"/>
  <c r="J10" i="15"/>
  <c r="I10" i="15"/>
  <c r="G7" i="17" s="1"/>
  <c r="G11" i="17" s="1"/>
  <c r="G11" i="14"/>
  <c r="G14" i="14"/>
  <c r="I16" i="15"/>
  <c r="M7" i="17" s="1"/>
  <c r="M11" i="17" s="1"/>
  <c r="J16" i="15"/>
  <c r="G10" i="14"/>
  <c r="J11" i="15"/>
  <c r="I11" i="15"/>
  <c r="H7" i="17" s="1"/>
  <c r="H11" i="17" s="1"/>
  <c r="I15" i="15"/>
  <c r="L7" i="17" s="1"/>
  <c r="L11" i="17" s="1"/>
  <c r="J15" i="15"/>
  <c r="M45" i="2"/>
  <c r="M48" i="2" s="1"/>
  <c r="N48" i="2" s="1"/>
  <c r="J13" i="15"/>
  <c r="I13" i="15"/>
  <c r="J7" i="17" s="1"/>
  <c r="J11" i="17" s="1"/>
  <c r="G9" i="14"/>
  <c r="I9" i="14" s="1"/>
  <c r="G17" i="14"/>
  <c r="H17" i="14" s="1"/>
  <c r="N3" i="17" s="1"/>
  <c r="N6" i="17" s="1"/>
  <c r="J14" i="15"/>
  <c r="I14" i="15"/>
  <c r="K7" i="17" s="1"/>
  <c r="K11" i="17" s="1"/>
  <c r="H6" i="15"/>
  <c r="D18" i="15"/>
  <c r="G13" i="14"/>
  <c r="I13" i="14" s="1"/>
  <c r="J7" i="15"/>
  <c r="I7" i="15"/>
  <c r="D7" i="17" s="1"/>
  <c r="D11" i="17" s="1"/>
  <c r="I9" i="15"/>
  <c r="F7" i="17" s="1"/>
  <c r="F11" i="17" s="1"/>
  <c r="J9" i="15"/>
  <c r="J8" i="15"/>
  <c r="I8" i="15"/>
  <c r="E7" i="17" s="1"/>
  <c r="E11" i="17" s="1"/>
  <c r="J17" i="15"/>
  <c r="I17" i="15"/>
  <c r="N7" i="17" s="1"/>
  <c r="N11" i="17" s="1"/>
  <c r="J12" i="15"/>
  <c r="I12" i="15"/>
  <c r="I7" i="17" s="1"/>
  <c r="I11" i="17" s="1"/>
  <c r="J29" i="11"/>
  <c r="I33" i="11"/>
  <c r="C18" i="14"/>
  <c r="G6" i="14"/>
  <c r="G29" i="11"/>
  <c r="F33" i="11"/>
  <c r="C18" i="15"/>
  <c r="M29" i="11"/>
  <c r="L33" i="11"/>
  <c r="S60" i="11"/>
  <c r="R69" i="11"/>
  <c r="P60" i="11"/>
  <c r="O69" i="11"/>
  <c r="P45" i="2"/>
  <c r="Q45" i="2" s="1"/>
  <c r="L119" i="11"/>
  <c r="L121" i="11" s="1"/>
  <c r="S45" i="2"/>
  <c r="T45" i="2" s="1"/>
  <c r="H32" i="3"/>
  <c r="I119" i="11"/>
  <c r="I121" i="11" s="1"/>
  <c r="O119" i="11"/>
  <c r="O121" i="11" s="1"/>
  <c r="J45" i="2"/>
  <c r="J48" i="2" s="1"/>
  <c r="K48" i="2" s="1"/>
  <c r="F13" i="3"/>
  <c r="F14" i="3"/>
  <c r="F12" i="3"/>
  <c r="L13" i="3"/>
  <c r="L14" i="3"/>
  <c r="L12" i="3"/>
  <c r="L9" i="3"/>
  <c r="L10" i="3"/>
  <c r="L8" i="3"/>
  <c r="I10" i="3"/>
  <c r="I9" i="3"/>
  <c r="I8" i="3"/>
  <c r="E7" i="3"/>
  <c r="H48" i="2"/>
  <c r="H45" i="2"/>
  <c r="T8" i="14"/>
  <c r="N45" i="2" l="1"/>
  <c r="I17" i="14"/>
  <c r="J20" i="18"/>
  <c r="K20" i="18" s="1"/>
  <c r="L20" i="18" s="1"/>
  <c r="P18" i="18"/>
  <c r="Q18" i="18" s="1"/>
  <c r="R18" i="18" s="1"/>
  <c r="D18" i="18"/>
  <c r="E18" i="18" s="1"/>
  <c r="F18" i="18" s="1"/>
  <c r="N12" i="17"/>
  <c r="N13" i="17" s="1"/>
  <c r="I14" i="14"/>
  <c r="O18" i="14" s="1"/>
  <c r="H14" i="14"/>
  <c r="K3" i="17" s="1"/>
  <c r="K6" i="17" s="1"/>
  <c r="K12" i="17" s="1"/>
  <c r="K14" i="17" s="1"/>
  <c r="H11" i="14"/>
  <c r="H3" i="17" s="1"/>
  <c r="H6" i="17" s="1"/>
  <c r="H12" i="17" s="1"/>
  <c r="H14" i="17" s="1"/>
  <c r="I11" i="14"/>
  <c r="J11" i="14" s="1"/>
  <c r="H10" i="14"/>
  <c r="G3" i="17" s="1"/>
  <c r="G6" i="17" s="1"/>
  <c r="G12" i="17" s="1"/>
  <c r="G13" i="17" s="1"/>
  <c r="I10" i="14"/>
  <c r="J10" i="14" s="1"/>
  <c r="H16" i="14"/>
  <c r="M3" i="17" s="1"/>
  <c r="M6" i="17" s="1"/>
  <c r="M12" i="17" s="1"/>
  <c r="M14" i="17" s="1"/>
  <c r="I16" i="14"/>
  <c r="M18" i="14" s="1"/>
  <c r="H9" i="14"/>
  <c r="F3" i="17" s="1"/>
  <c r="F6" i="17" s="1"/>
  <c r="F12" i="17" s="1"/>
  <c r="F14" i="17" s="1"/>
  <c r="H13" i="14"/>
  <c r="J3" i="17" s="1"/>
  <c r="J6" i="17" s="1"/>
  <c r="J12" i="17" s="1"/>
  <c r="J13" i="17" s="1"/>
  <c r="O15" i="15"/>
  <c r="K12" i="15"/>
  <c r="L12" i="15"/>
  <c r="Q17" i="15"/>
  <c r="M13" i="15"/>
  <c r="P16" i="15"/>
  <c r="N14" i="15"/>
  <c r="O14" i="15"/>
  <c r="Q16" i="15"/>
  <c r="M12" i="15"/>
  <c r="P15" i="15"/>
  <c r="K11" i="15"/>
  <c r="L11" i="15"/>
  <c r="N13" i="15"/>
  <c r="G15" i="14"/>
  <c r="I15" i="14" s="1"/>
  <c r="P20" i="14" s="1"/>
  <c r="O13" i="15"/>
  <c r="K10" i="15"/>
  <c r="P14" i="15"/>
  <c r="Q15" i="15"/>
  <c r="N12" i="15"/>
  <c r="M11" i="15"/>
  <c r="L10" i="15"/>
  <c r="D18" i="14"/>
  <c r="Q12" i="15"/>
  <c r="L7" i="15"/>
  <c r="K7" i="15"/>
  <c r="N9" i="15"/>
  <c r="M8" i="15"/>
  <c r="P11" i="15"/>
  <c r="O10" i="15"/>
  <c r="I6" i="15"/>
  <c r="H18" i="15"/>
  <c r="J6" i="15"/>
  <c r="G12" i="14"/>
  <c r="I12" i="14" s="1"/>
  <c r="G8" i="14"/>
  <c r="I8" i="14" s="1"/>
  <c r="O12" i="14" s="1"/>
  <c r="G7" i="14"/>
  <c r="I7" i="14" s="1"/>
  <c r="M9" i="14" s="1"/>
  <c r="P19" i="15"/>
  <c r="Q20" i="15"/>
  <c r="K15" i="15"/>
  <c r="L15" i="15"/>
  <c r="O18" i="15"/>
  <c r="N17" i="15"/>
  <c r="M16" i="15"/>
  <c r="P18" i="15"/>
  <c r="L14" i="15"/>
  <c r="O17" i="15"/>
  <c r="K14" i="15"/>
  <c r="N16" i="15"/>
  <c r="M15" i="15"/>
  <c r="Q19" i="15"/>
  <c r="O16" i="15"/>
  <c r="L13" i="15"/>
  <c r="N15" i="15"/>
  <c r="K13" i="15"/>
  <c r="M14" i="15"/>
  <c r="Q18" i="15"/>
  <c r="P17" i="15"/>
  <c r="Q21" i="15"/>
  <c r="N18" i="15"/>
  <c r="L16" i="15"/>
  <c r="K16" i="15"/>
  <c r="M17" i="15"/>
  <c r="P20" i="15"/>
  <c r="O19" i="15"/>
  <c r="K8" i="15"/>
  <c r="L8" i="15"/>
  <c r="P12" i="15"/>
  <c r="Q13" i="15"/>
  <c r="O11" i="15"/>
  <c r="N10" i="15"/>
  <c r="M9" i="15"/>
  <c r="M18" i="15"/>
  <c r="N19" i="15"/>
  <c r="P21" i="15"/>
  <c r="R21" i="15" s="1"/>
  <c r="O20" i="15"/>
  <c r="L17" i="15"/>
  <c r="K17" i="15"/>
  <c r="Q22" i="15"/>
  <c r="R22" i="15" s="1"/>
  <c r="P13" i="15"/>
  <c r="O12" i="15"/>
  <c r="N11" i="15"/>
  <c r="L9" i="15"/>
  <c r="K9" i="15"/>
  <c r="M10" i="15"/>
  <c r="Q14" i="15"/>
  <c r="I35" i="11"/>
  <c r="I72" i="11" s="1"/>
  <c r="J33" i="11"/>
  <c r="I34" i="11"/>
  <c r="F35" i="11"/>
  <c r="F72" i="11" s="1"/>
  <c r="G33" i="11"/>
  <c r="F34" i="11"/>
  <c r="N14" i="17"/>
  <c r="I6" i="14"/>
  <c r="H6" i="14"/>
  <c r="N14" i="14"/>
  <c r="N12" i="14"/>
  <c r="P14" i="14"/>
  <c r="K9" i="14"/>
  <c r="J9" i="14"/>
  <c r="L10" i="14"/>
  <c r="M11" i="14"/>
  <c r="O13" i="14"/>
  <c r="J13" i="14"/>
  <c r="P18" i="14"/>
  <c r="N16" i="14"/>
  <c r="L14" i="14"/>
  <c r="K13" i="14"/>
  <c r="O17" i="14"/>
  <c r="M15" i="14"/>
  <c r="J15" i="14"/>
  <c r="M17" i="14"/>
  <c r="J17" i="14"/>
  <c r="K17" i="14"/>
  <c r="L18" i="14"/>
  <c r="O21" i="14"/>
  <c r="N20" i="14"/>
  <c r="M19" i="14"/>
  <c r="P22" i="14"/>
  <c r="Q22" i="14" s="1"/>
  <c r="L35" i="11"/>
  <c r="L72" i="11" s="1"/>
  <c r="L34" i="11"/>
  <c r="M33" i="11"/>
  <c r="S69" i="11"/>
  <c r="R70" i="11"/>
  <c r="P48" i="2"/>
  <c r="Q48" i="2" s="1"/>
  <c r="P69" i="11"/>
  <c r="O70" i="11"/>
  <c r="S48" i="2"/>
  <c r="T48" i="2" s="1"/>
  <c r="K45" i="2"/>
  <c r="F9" i="3"/>
  <c r="F10" i="3"/>
  <c r="F8" i="3"/>
  <c r="T9" i="14"/>
  <c r="K15" i="14" l="1"/>
  <c r="N17" i="14"/>
  <c r="F13" i="17"/>
  <c r="O19" i="14"/>
  <c r="P21" i="14"/>
  <c r="M10" i="14"/>
  <c r="L9" i="14"/>
  <c r="K8" i="14"/>
  <c r="P13" i="14"/>
  <c r="R20" i="15"/>
  <c r="R20" i="16" s="1"/>
  <c r="R39" i="16" s="1"/>
  <c r="R19" i="15"/>
  <c r="Q20" i="16" s="1"/>
  <c r="Q39" i="16" s="1"/>
  <c r="S22" i="14"/>
  <c r="N11" i="14"/>
  <c r="J8" i="14"/>
  <c r="L16" i="14"/>
  <c r="P19" i="14"/>
  <c r="M12" i="14"/>
  <c r="N10" i="14"/>
  <c r="N18" i="14"/>
  <c r="Q18" i="14" s="1"/>
  <c r="T18" i="14" s="1"/>
  <c r="L15" i="14"/>
  <c r="J14" i="17"/>
  <c r="P12" i="14"/>
  <c r="K10" i="14"/>
  <c r="L11" i="14"/>
  <c r="D19" i="18"/>
  <c r="E19" i="18" s="1"/>
  <c r="F19" i="18" s="1"/>
  <c r="P19" i="18"/>
  <c r="Q19" i="18" s="1"/>
  <c r="R19" i="18" s="1"/>
  <c r="J21" i="18"/>
  <c r="K21" i="18" s="1"/>
  <c r="L21" i="18" s="1"/>
  <c r="N13" i="14"/>
  <c r="J7" i="14"/>
  <c r="O14" i="14"/>
  <c r="L8" i="14"/>
  <c r="P15" i="14"/>
  <c r="H13" i="17"/>
  <c r="M13" i="17"/>
  <c r="K11" i="14"/>
  <c r="P16" i="14"/>
  <c r="J16" i="14"/>
  <c r="M13" i="14"/>
  <c r="L12" i="14"/>
  <c r="O15" i="14"/>
  <c r="O16" i="14"/>
  <c r="N15" i="14"/>
  <c r="M14" i="14"/>
  <c r="J12" i="14"/>
  <c r="P17" i="14"/>
  <c r="K12" i="14"/>
  <c r="L13" i="14"/>
  <c r="S14" i="15"/>
  <c r="R14" i="15"/>
  <c r="S10" i="15"/>
  <c r="G14" i="17"/>
  <c r="K16" i="14"/>
  <c r="R18" i="15"/>
  <c r="U18" i="15" s="1"/>
  <c r="R13" i="15"/>
  <c r="S16" i="15"/>
  <c r="R16" i="15"/>
  <c r="S13" i="15"/>
  <c r="R15" i="15"/>
  <c r="S15" i="15"/>
  <c r="S11" i="15"/>
  <c r="H7" i="14"/>
  <c r="D3" i="17" s="1"/>
  <c r="D6" i="17" s="1"/>
  <c r="D12" i="17" s="1"/>
  <c r="K7" i="14"/>
  <c r="M16" i="14"/>
  <c r="J14" i="14"/>
  <c r="G18" i="14"/>
  <c r="N19" i="14"/>
  <c r="O20" i="14"/>
  <c r="Q20" i="14" s="1"/>
  <c r="C7" i="17"/>
  <c r="I18" i="15"/>
  <c r="H15" i="14"/>
  <c r="L3" i="17" s="1"/>
  <c r="L6" i="17" s="1"/>
  <c r="L12" i="17" s="1"/>
  <c r="H12" i="14"/>
  <c r="I3" i="17" s="1"/>
  <c r="I6" i="17" s="1"/>
  <c r="I12" i="17" s="1"/>
  <c r="T19" i="15"/>
  <c r="Q11" i="15"/>
  <c r="Q23" i="15" s="1"/>
  <c r="K6" i="15"/>
  <c r="P10" i="15"/>
  <c r="P23" i="15" s="1"/>
  <c r="O9" i="15"/>
  <c r="O23" i="15" s="1"/>
  <c r="N8" i="15"/>
  <c r="R8" i="15" s="1"/>
  <c r="L6" i="15"/>
  <c r="M7" i="15"/>
  <c r="M23" i="15" s="1"/>
  <c r="J18" i="15"/>
  <c r="S7" i="15"/>
  <c r="K13" i="17"/>
  <c r="R17" i="15"/>
  <c r="S17" i="15"/>
  <c r="O11" i="14"/>
  <c r="K14" i="14"/>
  <c r="L17" i="14"/>
  <c r="S9" i="15"/>
  <c r="T22" i="15"/>
  <c r="T20" i="16"/>
  <c r="T39" i="16" s="1"/>
  <c r="T21" i="15"/>
  <c r="S20" i="16"/>
  <c r="S39" i="16" s="1"/>
  <c r="S8" i="15"/>
  <c r="S12" i="15"/>
  <c r="R12" i="15"/>
  <c r="H8" i="14"/>
  <c r="E3" i="17" s="1"/>
  <c r="E6" i="17" s="1"/>
  <c r="E12" i="17" s="1"/>
  <c r="J34" i="11"/>
  <c r="I47" i="11"/>
  <c r="I75" i="11"/>
  <c r="J72" i="11"/>
  <c r="I80" i="11"/>
  <c r="J80" i="11" s="1"/>
  <c r="G34" i="11"/>
  <c r="F47" i="11"/>
  <c r="R13" i="14"/>
  <c r="C3" i="17"/>
  <c r="Q21" i="14"/>
  <c r="R17" i="14"/>
  <c r="G72" i="11"/>
  <c r="F75" i="11"/>
  <c r="F80" i="11"/>
  <c r="G80" i="11" s="1"/>
  <c r="R9" i="14"/>
  <c r="J6" i="14"/>
  <c r="O10" i="14"/>
  <c r="K6" i="14"/>
  <c r="P11" i="14"/>
  <c r="N9" i="14"/>
  <c r="M8" i="14"/>
  <c r="L7" i="14"/>
  <c r="I18" i="14"/>
  <c r="L47" i="11"/>
  <c r="M34" i="11"/>
  <c r="L75" i="11"/>
  <c r="M72" i="11"/>
  <c r="L80" i="11"/>
  <c r="M80" i="11" s="1"/>
  <c r="S70" i="11"/>
  <c r="Q17" i="3"/>
  <c r="Q21" i="3" s="1"/>
  <c r="Q35" i="3"/>
  <c r="Q36" i="3" s="1"/>
  <c r="N35" i="3"/>
  <c r="N36" i="3" s="1"/>
  <c r="N17" i="3"/>
  <c r="N21" i="3" s="1"/>
  <c r="P70" i="11"/>
  <c r="O77" i="11"/>
  <c r="P77" i="11" s="1"/>
  <c r="R77" i="11"/>
  <c r="S77" i="11" s="1"/>
  <c r="T10" i="14"/>
  <c r="R15" i="14" l="1"/>
  <c r="R8" i="14"/>
  <c r="T20" i="15"/>
  <c r="U19" i="15"/>
  <c r="U20" i="15" s="1"/>
  <c r="U21" i="15" s="1"/>
  <c r="U22" i="15" s="1"/>
  <c r="Q16" i="14"/>
  <c r="S16" i="14" s="1"/>
  <c r="Q19" i="14"/>
  <c r="Q6" i="16" s="1"/>
  <c r="Q19" i="16" s="1"/>
  <c r="Q17" i="14"/>
  <c r="S17" i="14" s="1"/>
  <c r="Q15" i="14"/>
  <c r="M6" i="16" s="1"/>
  <c r="M19" i="16" s="1"/>
  <c r="R10" i="14"/>
  <c r="J22" i="18"/>
  <c r="K22" i="18" s="1"/>
  <c r="L22" i="18" s="1"/>
  <c r="P20" i="18"/>
  <c r="Q20" i="18" s="1"/>
  <c r="R20" i="18" s="1"/>
  <c r="D20" i="18"/>
  <c r="E20" i="18" s="1"/>
  <c r="F20" i="18" s="1"/>
  <c r="R9" i="15"/>
  <c r="R7" i="14"/>
  <c r="R14" i="14"/>
  <c r="Q12" i="14"/>
  <c r="S12" i="14" s="1"/>
  <c r="R11" i="14"/>
  <c r="N23" i="15"/>
  <c r="O23" i="14"/>
  <c r="Q14" i="14"/>
  <c r="L6" i="16" s="1"/>
  <c r="L19" i="16" s="1"/>
  <c r="R12" i="14"/>
  <c r="T8" i="15"/>
  <c r="F20" i="16"/>
  <c r="J20" i="16"/>
  <c r="T12" i="15"/>
  <c r="C11" i="17"/>
  <c r="O7" i="17"/>
  <c r="N23" i="14"/>
  <c r="T9" i="15"/>
  <c r="G20" i="16"/>
  <c r="R7" i="15"/>
  <c r="R6" i="15"/>
  <c r="S6" i="15"/>
  <c r="L23" i="15"/>
  <c r="R23" i="15" s="1"/>
  <c r="D14" i="17"/>
  <c r="D13" i="17"/>
  <c r="K20" i="16"/>
  <c r="T13" i="15"/>
  <c r="R10" i="15"/>
  <c r="R16" i="14"/>
  <c r="Q13" i="14"/>
  <c r="K6" i="16" s="1"/>
  <c r="K19" i="16" s="1"/>
  <c r="L13" i="17"/>
  <c r="L14" i="17"/>
  <c r="R11" i="15"/>
  <c r="T18" i="15"/>
  <c r="P20" i="16"/>
  <c r="P39" i="16" s="1"/>
  <c r="I14" i="17"/>
  <c r="I13" i="17"/>
  <c r="M20" i="16"/>
  <c r="T15" i="15"/>
  <c r="H18" i="14"/>
  <c r="E13" i="17"/>
  <c r="E14" i="17"/>
  <c r="T17" i="15"/>
  <c r="O20" i="16"/>
  <c r="N20" i="16"/>
  <c r="T16" i="15"/>
  <c r="L20" i="16"/>
  <c r="T14" i="15"/>
  <c r="J75" i="11"/>
  <c r="I77" i="11"/>
  <c r="J77" i="11" s="1"/>
  <c r="I50" i="11"/>
  <c r="J47" i="11"/>
  <c r="M23" i="14"/>
  <c r="Q8" i="14"/>
  <c r="G47" i="11"/>
  <c r="F50" i="11"/>
  <c r="P23" i="14"/>
  <c r="Q11" i="14"/>
  <c r="F77" i="11"/>
  <c r="G77" i="11" s="1"/>
  <c r="G75" i="11"/>
  <c r="S21" i="14"/>
  <c r="S6" i="16"/>
  <c r="S19" i="16" s="1"/>
  <c r="Q10" i="14"/>
  <c r="P6" i="16"/>
  <c r="P19" i="16" s="1"/>
  <c r="S18" i="14"/>
  <c r="Q7" i="14"/>
  <c r="L23" i="14"/>
  <c r="R6" i="14"/>
  <c r="Q6" i="14"/>
  <c r="K23" i="14"/>
  <c r="O3" i="17"/>
  <c r="C6" i="17"/>
  <c r="R6" i="16"/>
  <c r="R19" i="16" s="1"/>
  <c r="S20" i="14"/>
  <c r="Q9" i="14"/>
  <c r="L77" i="11"/>
  <c r="M77" i="11" s="1"/>
  <c r="M75" i="11"/>
  <c r="L50" i="11"/>
  <c r="M47" i="11"/>
  <c r="R35" i="3"/>
  <c r="R29" i="3"/>
  <c r="R34" i="3"/>
  <c r="R30" i="3"/>
  <c r="R28" i="3"/>
  <c r="R32" i="3"/>
  <c r="Q38" i="3"/>
  <c r="R36" i="3"/>
  <c r="R31" i="3"/>
  <c r="R17" i="3"/>
  <c r="R20" i="3"/>
  <c r="R18" i="3"/>
  <c r="R11" i="3"/>
  <c r="R19" i="3"/>
  <c r="R21" i="3"/>
  <c r="R7" i="3"/>
  <c r="R16" i="3"/>
  <c r="O17" i="3"/>
  <c r="O7" i="3"/>
  <c r="O19" i="3"/>
  <c r="O11" i="3"/>
  <c r="O18" i="3"/>
  <c r="O16" i="3"/>
  <c r="O20" i="3"/>
  <c r="O21" i="3"/>
  <c r="O35" i="3"/>
  <c r="O29" i="3"/>
  <c r="O30" i="3"/>
  <c r="O31" i="3"/>
  <c r="O32" i="3"/>
  <c r="O34" i="3"/>
  <c r="N38" i="3"/>
  <c r="O36" i="3"/>
  <c r="O28" i="3"/>
  <c r="T11" i="14"/>
  <c r="N6" i="16" l="1"/>
  <c r="N19" i="16" s="1"/>
  <c r="S19" i="14"/>
  <c r="T19" i="14"/>
  <c r="T20" i="14" s="1"/>
  <c r="T21" i="14" s="1"/>
  <c r="T22" i="14" s="1"/>
  <c r="S15" i="14"/>
  <c r="J6" i="16"/>
  <c r="J19" i="16" s="1"/>
  <c r="O6" i="16"/>
  <c r="O19" i="16" s="1"/>
  <c r="C12" i="17"/>
  <c r="C13" i="17" s="1"/>
  <c r="O13" i="17" s="1"/>
  <c r="D21" i="18"/>
  <c r="E21" i="18" s="1"/>
  <c r="F21" i="18" s="1"/>
  <c r="P21" i="18"/>
  <c r="Q21" i="18" s="1"/>
  <c r="R21" i="18" s="1"/>
  <c r="J23" i="18"/>
  <c r="K23" i="18" s="1"/>
  <c r="L23" i="18" s="1"/>
  <c r="S14" i="14"/>
  <c r="S13" i="14"/>
  <c r="D20" i="16"/>
  <c r="T6" i="15"/>
  <c r="H20" i="16"/>
  <c r="T10" i="15"/>
  <c r="E20" i="16"/>
  <c r="T7" i="15"/>
  <c r="O11" i="17"/>
  <c r="P7" i="17"/>
  <c r="Q23" i="14"/>
  <c r="I20" i="16"/>
  <c r="T11" i="15"/>
  <c r="J50" i="11"/>
  <c r="I60" i="11"/>
  <c r="F60" i="11"/>
  <c r="G50" i="11"/>
  <c r="S9" i="14"/>
  <c r="G6" i="16"/>
  <c r="G19" i="16" s="1"/>
  <c r="S6" i="14"/>
  <c r="D6" i="16"/>
  <c r="S10" i="14"/>
  <c r="H6" i="16"/>
  <c r="H19" i="16" s="1"/>
  <c r="E6" i="16"/>
  <c r="E19" i="16" s="1"/>
  <c r="S7" i="14"/>
  <c r="S11" i="14"/>
  <c r="I6" i="16"/>
  <c r="I19" i="16" s="1"/>
  <c r="F6" i="16"/>
  <c r="F19" i="16" s="1"/>
  <c r="S8" i="14"/>
  <c r="P3" i="17"/>
  <c r="O6" i="17"/>
  <c r="L60" i="11"/>
  <c r="M50" i="11"/>
  <c r="T12" i="14"/>
  <c r="O12" i="17" l="1"/>
  <c r="C14" i="17"/>
  <c r="O14" i="17" s="1"/>
  <c r="D20" i="17"/>
  <c r="E32" i="16" s="1"/>
  <c r="E39" i="16" s="1"/>
  <c r="J24" i="18"/>
  <c r="K24" i="18" s="1"/>
  <c r="L24" i="18" s="1"/>
  <c r="P22" i="18"/>
  <c r="Q22" i="18" s="1"/>
  <c r="R22" i="18" s="1"/>
  <c r="D22" i="18"/>
  <c r="E22" i="18" s="1"/>
  <c r="F22" i="18" s="1"/>
  <c r="D39" i="16"/>
  <c r="V20" i="16"/>
  <c r="I69" i="11"/>
  <c r="J60" i="11"/>
  <c r="V6" i="16"/>
  <c r="D19" i="16"/>
  <c r="D41" i="16" s="1"/>
  <c r="C19" i="17"/>
  <c r="D17" i="17" s="1"/>
  <c r="G60" i="11"/>
  <c r="F69" i="11"/>
  <c r="M60" i="11"/>
  <c r="L69" i="11"/>
  <c r="T13" i="14"/>
  <c r="C16" i="17" l="1"/>
  <c r="D16" i="17" s="1"/>
  <c r="D23" i="18"/>
  <c r="E23" i="18" s="1"/>
  <c r="F23" i="18" s="1"/>
  <c r="P23" i="18"/>
  <c r="Q23" i="18" s="1"/>
  <c r="R23" i="18" s="1"/>
  <c r="J25" i="18"/>
  <c r="K25" i="18" s="1"/>
  <c r="L25" i="18" s="1"/>
  <c r="J69" i="11"/>
  <c r="I70" i="11"/>
  <c r="D19" i="17"/>
  <c r="E16" i="17"/>
  <c r="G69" i="11"/>
  <c r="F70" i="11"/>
  <c r="E5" i="16"/>
  <c r="E41" i="16" s="1"/>
  <c r="D42" i="16"/>
  <c r="L70" i="11"/>
  <c r="M69" i="11"/>
  <c r="T14" i="14"/>
  <c r="J26" i="18" l="1"/>
  <c r="K26" i="18" s="1"/>
  <c r="L26" i="18" s="1"/>
  <c r="P24" i="18"/>
  <c r="Q24" i="18" s="1"/>
  <c r="R24" i="18" s="1"/>
  <c r="D24" i="18"/>
  <c r="E24" i="18" s="1"/>
  <c r="F24" i="18" s="1"/>
  <c r="J70" i="11"/>
  <c r="H17" i="3"/>
  <c r="H21" i="3" s="1"/>
  <c r="I17" i="3" s="1"/>
  <c r="H35" i="3"/>
  <c r="H36" i="3" s="1"/>
  <c r="I35" i="3" s="1"/>
  <c r="G70" i="11"/>
  <c r="E17" i="3"/>
  <c r="E21" i="3" s="1"/>
  <c r="F17" i="3" s="1"/>
  <c r="E35" i="3"/>
  <c r="F5" i="16"/>
  <c r="E42" i="16"/>
  <c r="E17" i="17"/>
  <c r="E20" i="17"/>
  <c r="F32" i="16" s="1"/>
  <c r="F39" i="16" s="1"/>
  <c r="M70" i="11"/>
  <c r="K35" i="3"/>
  <c r="K36" i="3" s="1"/>
  <c r="L35" i="3" s="1"/>
  <c r="K17" i="3"/>
  <c r="K21" i="3" s="1"/>
  <c r="L17" i="3" s="1"/>
  <c r="T15" i="14"/>
  <c r="L16" i="3" l="1"/>
  <c r="F15" i="3"/>
  <c r="D25" i="18"/>
  <c r="E25" i="18" s="1"/>
  <c r="F25" i="18" s="1"/>
  <c r="P25" i="18"/>
  <c r="Q25" i="18" s="1"/>
  <c r="R25" i="18" s="1"/>
  <c r="J27" i="18"/>
  <c r="K27" i="18" s="1"/>
  <c r="L27" i="18" s="1"/>
  <c r="I28" i="3"/>
  <c r="L20" i="3"/>
  <c r="L7" i="3"/>
  <c r="I18" i="3"/>
  <c r="I20" i="3"/>
  <c r="I19" i="3"/>
  <c r="I16" i="3"/>
  <c r="I21" i="3"/>
  <c r="F16" i="3"/>
  <c r="F20" i="3"/>
  <c r="F11" i="3"/>
  <c r="F7" i="3"/>
  <c r="F21" i="3"/>
  <c r="F18" i="3"/>
  <c r="I32" i="3"/>
  <c r="I7" i="3"/>
  <c r="I11" i="3"/>
  <c r="L11" i="3"/>
  <c r="L28" i="3"/>
  <c r="L34" i="3"/>
  <c r="K38" i="3"/>
  <c r="L36" i="3"/>
  <c r="F41" i="16"/>
  <c r="F42" i="16" s="1"/>
  <c r="I34" i="3"/>
  <c r="H38" i="3"/>
  <c r="I29" i="3"/>
  <c r="I36" i="3"/>
  <c r="I31" i="3"/>
  <c r="I30" i="3"/>
  <c r="E36" i="3"/>
  <c r="F35" i="3" s="1"/>
  <c r="F16" i="17"/>
  <c r="E19" i="17"/>
  <c r="F19" i="3"/>
  <c r="L18" i="3"/>
  <c r="L19" i="3"/>
  <c r="L31" i="3"/>
  <c r="L32" i="3"/>
  <c r="L21" i="3"/>
  <c r="L29" i="3"/>
  <c r="L30" i="3"/>
  <c r="T16" i="14"/>
  <c r="T17" i="14"/>
  <c r="J28" i="18" l="1"/>
  <c r="K28" i="18" s="1"/>
  <c r="L28" i="18" s="1"/>
  <c r="P26" i="18"/>
  <c r="Q26" i="18" s="1"/>
  <c r="R26" i="18" s="1"/>
  <c r="D26" i="18"/>
  <c r="E26" i="18" s="1"/>
  <c r="F26" i="18" s="1"/>
  <c r="G5" i="16"/>
  <c r="F20" i="17"/>
  <c r="G32" i="16" s="1"/>
  <c r="G39" i="16" s="1"/>
  <c r="F17" i="17"/>
  <c r="G16" i="17" s="1"/>
  <c r="F32" i="3"/>
  <c r="F30" i="3"/>
  <c r="F31" i="3"/>
  <c r="F29" i="3"/>
  <c r="F28" i="3"/>
  <c r="F27" i="3"/>
  <c r="F34" i="3"/>
  <c r="F36" i="3"/>
  <c r="E38" i="3"/>
  <c r="E39" i="3" s="1"/>
  <c r="H39" i="3" s="1"/>
  <c r="K39" i="3" s="1"/>
  <c r="N39" i="3" s="1"/>
  <c r="Q39" i="3" s="1"/>
  <c r="D27" i="18" l="1"/>
  <c r="E27" i="18" s="1"/>
  <c r="F27" i="18" s="1"/>
  <c r="P27" i="18"/>
  <c r="Q27" i="18" s="1"/>
  <c r="R27" i="18" s="1"/>
  <c r="J29" i="18"/>
  <c r="K29" i="18" s="1"/>
  <c r="L29" i="18" s="1"/>
  <c r="G41" i="16"/>
  <c r="H5" i="16" s="1"/>
  <c r="F19" i="17"/>
  <c r="J30" i="18" l="1"/>
  <c r="K30" i="18" s="1"/>
  <c r="L30" i="18" s="1"/>
  <c r="P28" i="18"/>
  <c r="Q28" i="18" s="1"/>
  <c r="R28" i="18" s="1"/>
  <c r="D28" i="18"/>
  <c r="E28" i="18" s="1"/>
  <c r="F28" i="18" s="1"/>
  <c r="G42" i="16"/>
  <c r="G20" i="17"/>
  <c r="H32" i="16" s="1"/>
  <c r="H39" i="16" s="1"/>
  <c r="H41" i="16" s="1"/>
  <c r="G17" i="17"/>
  <c r="D29" i="18" l="1"/>
  <c r="E29" i="18" s="1"/>
  <c r="F29" i="18" s="1"/>
  <c r="P29" i="18"/>
  <c r="Q29" i="18" s="1"/>
  <c r="R29" i="18" s="1"/>
  <c r="J31" i="18"/>
  <c r="K31" i="18" s="1"/>
  <c r="L31" i="18" s="1"/>
  <c r="H16" i="17"/>
  <c r="G19" i="17"/>
  <c r="I5" i="16"/>
  <c r="H42" i="16"/>
  <c r="P30" i="18" l="1"/>
  <c r="Q30" i="18" s="1"/>
  <c r="R30" i="18" s="1"/>
  <c r="J32" i="18"/>
  <c r="K32" i="18" s="1"/>
  <c r="L32" i="18" s="1"/>
  <c r="D30" i="18"/>
  <c r="E30" i="18" s="1"/>
  <c r="F30" i="18" s="1"/>
  <c r="H20" i="17"/>
  <c r="I32" i="16" s="1"/>
  <c r="I39" i="16" s="1"/>
  <c r="I41" i="16" s="1"/>
  <c r="H17" i="17"/>
  <c r="I16" i="17" s="1"/>
  <c r="D31" i="18" l="1"/>
  <c r="E31" i="18" s="1"/>
  <c r="F31" i="18" s="1"/>
  <c r="J33" i="18"/>
  <c r="K33" i="18" s="1"/>
  <c r="L33" i="18" s="1"/>
  <c r="P31" i="18"/>
  <c r="Q31" i="18" s="1"/>
  <c r="R31" i="18" s="1"/>
  <c r="H19" i="17"/>
  <c r="I20" i="17" s="1"/>
  <c r="J32" i="16" s="1"/>
  <c r="J39" i="16" s="1"/>
  <c r="I42" i="16"/>
  <c r="J5" i="16"/>
  <c r="I17" i="17" l="1"/>
  <c r="I19" i="17" s="1"/>
  <c r="J17" i="17" s="1"/>
  <c r="P32" i="18"/>
  <c r="Q32" i="18" s="1"/>
  <c r="R32" i="18" s="1"/>
  <c r="J34" i="18"/>
  <c r="K34" i="18" s="1"/>
  <c r="L34" i="18" s="1"/>
  <c r="D32" i="18"/>
  <c r="E32" i="18" s="1"/>
  <c r="F32" i="18" s="1"/>
  <c r="J16" i="17"/>
  <c r="J41" i="16"/>
  <c r="K5" i="16" s="1"/>
  <c r="J20" i="17" l="1"/>
  <c r="K32" i="16" s="1"/>
  <c r="K39" i="16" s="1"/>
  <c r="K41" i="16" s="1"/>
  <c r="D33" i="18"/>
  <c r="E33" i="18" s="1"/>
  <c r="F33" i="18" s="1"/>
  <c r="J35" i="18"/>
  <c r="P33" i="18"/>
  <c r="Q33" i="18" s="1"/>
  <c r="R33" i="18" s="1"/>
  <c r="J19" i="17"/>
  <c r="K20" i="17" s="1"/>
  <c r="L32" i="16" s="1"/>
  <c r="L39" i="16" s="1"/>
  <c r="J42" i="16"/>
  <c r="K16" i="17"/>
  <c r="K17" i="17" l="1"/>
  <c r="K19" i="17" s="1"/>
  <c r="L20" i="17" s="1"/>
  <c r="M32" i="16" s="1"/>
  <c r="M39" i="16" s="1"/>
  <c r="P34" i="18"/>
  <c r="Q34" i="18" s="1"/>
  <c r="R34" i="18" s="1"/>
  <c r="D34" i="18"/>
  <c r="E34" i="18" s="1"/>
  <c r="F34" i="18" s="1"/>
  <c r="K35" i="18"/>
  <c r="J36" i="18"/>
  <c r="K42" i="16"/>
  <c r="L5" i="16"/>
  <c r="L41" i="16" s="1"/>
  <c r="L16" i="17" l="1"/>
  <c r="L17" i="17"/>
  <c r="P35" i="18"/>
  <c r="D35" i="18"/>
  <c r="K36" i="18"/>
  <c r="L35" i="18"/>
  <c r="L42" i="16"/>
  <c r="M5" i="16"/>
  <c r="M41" i="16" s="1"/>
  <c r="L19" i="17" l="1"/>
  <c r="M16" i="17"/>
  <c r="M20" i="17"/>
  <c r="N32" i="16" s="1"/>
  <c r="N39" i="16" s="1"/>
  <c r="M17" i="17"/>
  <c r="Q35" i="18"/>
  <c r="P36" i="18"/>
  <c r="E35" i="18"/>
  <c r="D36" i="18"/>
  <c r="N5" i="16"/>
  <c r="M42" i="16"/>
  <c r="M19" i="17" l="1"/>
  <c r="N20" i="17" s="1"/>
  <c r="O20" i="17" s="1"/>
  <c r="P20" i="17" s="1"/>
  <c r="Q20" i="17" s="1"/>
  <c r="N16" i="17"/>
  <c r="N41" i="16"/>
  <c r="O5" i="16" s="1"/>
  <c r="E36" i="18"/>
  <c r="F35" i="18"/>
  <c r="Q36" i="18"/>
  <c r="R35" i="18"/>
  <c r="N17" i="17" l="1"/>
  <c r="O17" i="17" s="1"/>
  <c r="N42" i="16"/>
  <c r="O32" i="16"/>
  <c r="O39" i="16" s="1"/>
  <c r="O41" i="16" s="1"/>
  <c r="O42" i="16" s="1"/>
  <c r="P21" i="17"/>
  <c r="Q21" i="17" s="1"/>
  <c r="N19" i="17" l="1"/>
  <c r="P5" i="16"/>
  <c r="P41" i="16" s="1"/>
  <c r="P42" i="16" s="1"/>
  <c r="Q5" i="16" l="1"/>
  <c r="Q41" i="16" s="1"/>
  <c r="Q42" i="16" s="1"/>
  <c r="R5" i="16" l="1"/>
  <c r="R41" i="16" s="1"/>
  <c r="R42" i="16" s="1"/>
  <c r="S5" i="16" l="1"/>
  <c r="S41" i="16" s="1"/>
  <c r="S42" i="16" s="1"/>
  <c r="T5" i="16" l="1"/>
  <c r="T41" i="16" s="1"/>
  <c r="U5" i="16" s="1"/>
  <c r="U41" i="16" s="1"/>
  <c r="U42" i="16" s="1"/>
  <c r="T4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BERGARA</author>
  </authors>
  <commentList>
    <comment ref="D80" authorId="0" shapeId="0" xr:uid="{00000000-0006-0000-0000-000001000000}">
      <text>
        <r>
          <rPr>
            <sz val="10"/>
            <color indexed="12"/>
            <rFont val="Calibri"/>
            <family val="2"/>
          </rPr>
          <t>Il s'agit ici d'une approche de point mort car, par commodité, nous avons considéré qu'à l'exception des frais de transport sur vente, le poste "autres achats et charges externes" était uniquement composé de charges fixes ainsi que l'ensemble des postes "Impôts et taxes" et "Charges de personnel" excepté l'intérim, ce qui, bien sûr n'est pas tout-à-fait conforme à la réalité.</t>
        </r>
        <r>
          <rPr>
            <sz val="10"/>
            <color indexed="81"/>
            <rFont val="Tahoma"/>
            <family val="2"/>
          </rPr>
          <t xml:space="preserve">
</t>
        </r>
      </text>
    </comment>
  </commentList>
</comments>
</file>

<file path=xl/sharedStrings.xml><?xml version="1.0" encoding="utf-8"?>
<sst xmlns="http://schemas.openxmlformats.org/spreadsheetml/2006/main" count="494" uniqueCount="313">
  <si>
    <t>Total</t>
  </si>
  <si>
    <t>Autres produits</t>
  </si>
  <si>
    <t>Autres charges</t>
  </si>
  <si>
    <t>Emplois</t>
  </si>
  <si>
    <t>Ressources</t>
  </si>
  <si>
    <t>Production immobilisée</t>
  </si>
  <si>
    <t>Subventions d'exploitation</t>
  </si>
  <si>
    <t>Achats de marchandises</t>
  </si>
  <si>
    <t>Coût d'achat des marchandises consommées</t>
  </si>
  <si>
    <t>Marge commerciale</t>
  </si>
  <si>
    <t>Coût d'achat des matières consommées</t>
  </si>
  <si>
    <t>Personnel extérieur à l'entreprise</t>
  </si>
  <si>
    <t>Résultat d'exploitation</t>
  </si>
  <si>
    <t>Intérêts et charges assimilées</t>
  </si>
  <si>
    <t>Frais financiers nets</t>
  </si>
  <si>
    <t>Résultat financier</t>
  </si>
  <si>
    <t>Résultat courant avant impôts</t>
  </si>
  <si>
    <t>Transferts de charges</t>
  </si>
  <si>
    <t>Participation des salariés aux résultats</t>
  </si>
  <si>
    <t>Impôts sur les bénéfices</t>
  </si>
  <si>
    <t>Charges fixes nettes totales</t>
  </si>
  <si>
    <t>Charges variables nettes totales</t>
  </si>
  <si>
    <t>Marge sur coûts variables</t>
  </si>
  <si>
    <t>Vente de marchandises</t>
  </si>
  <si>
    <t>Production vendue de biens</t>
  </si>
  <si>
    <t>Production vendue de services</t>
  </si>
  <si>
    <t>Chiffre d'affaires net</t>
  </si>
  <si>
    <t>Production stockée ou déstockée (+ ou -)</t>
  </si>
  <si>
    <t>Production de l'exercice</t>
  </si>
  <si>
    <t>Variation de stock de marchandises (+ ou -)</t>
  </si>
  <si>
    <t>Transport et frais accessoires d'achats</t>
  </si>
  <si>
    <t>Différence  de change (si gain : signe - ; si perte : signe +)</t>
  </si>
  <si>
    <t>CV</t>
  </si>
  <si>
    <t>Achats de matières premieres et autres approvisionnements</t>
  </si>
  <si>
    <t>Variation de stock de matières 1ères et autres appros (+ ou -)</t>
  </si>
  <si>
    <t>Sous-traitance de production</t>
  </si>
  <si>
    <t xml:space="preserve">Marge brute sur production de biens ou de services </t>
  </si>
  <si>
    <t>Marge brute  totale</t>
  </si>
  <si>
    <r>
      <t xml:space="preserve">Autres achats et charges externes 
</t>
    </r>
    <r>
      <rPr>
        <sz val="8"/>
        <color indexed="32"/>
        <rFont val="Calibri"/>
        <family val="2"/>
      </rPr>
      <t>(hors sous-traitance de prod. et transports/achats</t>
    </r>
    <r>
      <rPr>
        <sz val="10"/>
        <color indexed="32"/>
        <rFont val="Calibri"/>
        <family val="2"/>
      </rPr>
      <t>)</t>
    </r>
  </si>
  <si>
    <t>- dont transports sur ventes</t>
  </si>
  <si>
    <t>- dont personnel extérieur à l'entreprise</t>
  </si>
  <si>
    <t>Valeur ajoutée</t>
  </si>
  <si>
    <t>CF</t>
  </si>
  <si>
    <t>Impôts et taxes</t>
  </si>
  <si>
    <t>Charges  de personnel</t>
  </si>
  <si>
    <t>Total charges de personnel</t>
  </si>
  <si>
    <t>Reprise sur provisions d'exploitation</t>
  </si>
  <si>
    <t>Dotation aux provisions d'exploitation</t>
  </si>
  <si>
    <t>- dont provisions d'exploitation sur immobilisations</t>
  </si>
  <si>
    <t>Excédent brut d'exploitation</t>
  </si>
  <si>
    <t xml:space="preserve">Dotation aux amortissements </t>
  </si>
  <si>
    <t>Dotation aux provisions d'exploitation sur immobilisations</t>
  </si>
  <si>
    <t>Produits financiers de participations</t>
  </si>
  <si>
    <t>Autres intérêts et produits financiers</t>
  </si>
  <si>
    <t>Reprise sur provisions financières</t>
  </si>
  <si>
    <t>Dotation aux provisions financières</t>
  </si>
  <si>
    <t>Résultat exceptionnel sur opération de gestion (+ ou -)</t>
  </si>
  <si>
    <t>Résultat exceptionnel sur opération en capital (+ ou -)</t>
  </si>
  <si>
    <t>- dont provisions exceptionnelles (dotation- reprise)</t>
  </si>
  <si>
    <t>- dont amortissements dérogatoires (dotation- reprise)</t>
  </si>
  <si>
    <t xml:space="preserve">Bénéfice net ou perte nette   </t>
  </si>
  <si>
    <t>Capacité d'autofinancement   -   CAF</t>
  </si>
  <si>
    <t>Résultat courant avant impôt (hors subvention)</t>
  </si>
  <si>
    <r>
      <t xml:space="preserve">C.A. critique - Point mort  </t>
    </r>
    <r>
      <rPr>
        <b/>
        <i/>
        <sz val="10"/>
        <color indexed="10"/>
        <rFont val="Calibri"/>
        <family val="2"/>
      </rPr>
      <t>(hors subventions)</t>
    </r>
  </si>
  <si>
    <t>Commentaire</t>
  </si>
  <si>
    <t>D</t>
  </si>
  <si>
    <t>Délai d'écoulement des stocks
en jours d'achats HT</t>
  </si>
  <si>
    <t>matières</t>
  </si>
  <si>
    <t>marchandises</t>
  </si>
  <si>
    <t>Délai d'écoulement des stocks d'encours
de production en jours de production réalisée</t>
  </si>
  <si>
    <t>biens</t>
  </si>
  <si>
    <t>sercices</t>
  </si>
  <si>
    <t>Délai moyen de paiement des clients</t>
  </si>
  <si>
    <t>Délai moyen de paiement aux fournisseurs</t>
  </si>
  <si>
    <t>Autres créances d'exploitation en jours de CA hors taxe</t>
  </si>
  <si>
    <t>Dettes fiscales et sociales en jours de CA hors taxe</t>
  </si>
  <si>
    <t>Autres dettes d'exploitation en jours de CA hors taxe</t>
  </si>
  <si>
    <t>Stocks</t>
  </si>
  <si>
    <t xml:space="preserve">clients </t>
  </si>
  <si>
    <t>autres créances</t>
  </si>
  <si>
    <t>total réalisable</t>
  </si>
  <si>
    <t>Amortissements</t>
  </si>
  <si>
    <t>Provisions nettes</t>
  </si>
  <si>
    <t>Résulat exceptionnel</t>
  </si>
  <si>
    <t>Compte de résultat prévisionnel</t>
  </si>
  <si>
    <t>Autres consommations  (hors intérim)</t>
  </si>
  <si>
    <t>Besoin ou dégagement en Fonds de Roulement prévisionnel</t>
  </si>
  <si>
    <t>Nature</t>
  </si>
  <si>
    <t>Terrains</t>
  </si>
  <si>
    <t>Bâtiments</t>
  </si>
  <si>
    <t>Agencements 
et aménagements</t>
  </si>
  <si>
    <t>Matériel 
de transport</t>
  </si>
  <si>
    <t>Equipement 
informatique</t>
  </si>
  <si>
    <t>Brevets, marques, dessins et modèles</t>
  </si>
  <si>
    <t>Autres frais de R&amp;D (part immobilisée)</t>
  </si>
  <si>
    <t>Prototypes</t>
  </si>
  <si>
    <t>Droit au bail, fonds de commerce</t>
  </si>
  <si>
    <t>Franchise, licence</t>
  </si>
  <si>
    <t>Logiciels dissociés</t>
  </si>
  <si>
    <t>Investissements 
financiers</t>
  </si>
  <si>
    <t>Dépôt de garantie</t>
  </si>
  <si>
    <t>Titres de participation</t>
  </si>
  <si>
    <t>Financier</t>
  </si>
  <si>
    <t>Immatériel</t>
  </si>
  <si>
    <t>Matériel-mobilier</t>
  </si>
  <si>
    <t>Immobilier</t>
  </si>
  <si>
    <t>Matériel mobilier</t>
  </si>
  <si>
    <t>Matériels  techniques 
et outillages</t>
  </si>
  <si>
    <t>Frais de constitution</t>
  </si>
  <si>
    <t>Frais d'augmentation de capital</t>
  </si>
  <si>
    <t>Frais 
d'établissement</t>
  </si>
  <si>
    <t>Investissements matériels</t>
  </si>
  <si>
    <t>Autres 
investissements 
immatériels</t>
  </si>
  <si>
    <t xml:space="preserve"> Besoin en 
 fonds de roulement </t>
  </si>
  <si>
    <t xml:space="preserve">superficie : </t>
  </si>
  <si>
    <t xml:space="preserve"> Terrains 
 et bâtiments</t>
  </si>
  <si>
    <t>Apport 
en 
nature ?</t>
  </si>
  <si>
    <t>I - Investissements immatériels</t>
  </si>
  <si>
    <t xml:space="preserve"> Total des investissements immatériels</t>
  </si>
  <si>
    <t>Investissements financiers</t>
  </si>
  <si>
    <t>Récapitualtif des investissements</t>
  </si>
  <si>
    <t>Plan de financement</t>
  </si>
  <si>
    <r>
      <t xml:space="preserve">Les montants sont exprimés en </t>
    </r>
    <r>
      <rPr>
        <b/>
        <i/>
        <sz val="11"/>
        <color indexed="30"/>
        <rFont val="Calibri"/>
        <family val="2"/>
      </rPr>
      <t>€</t>
    </r>
    <r>
      <rPr>
        <b/>
        <i/>
        <sz val="10"/>
        <color indexed="30"/>
        <rFont val="Calibri"/>
        <family val="2"/>
      </rPr>
      <t xml:space="preserve"> et </t>
    </r>
    <r>
      <rPr>
        <b/>
        <i/>
        <sz val="11"/>
        <color indexed="30"/>
        <rFont val="Calibri"/>
        <family val="2"/>
      </rPr>
      <t>hors TVA</t>
    </r>
  </si>
  <si>
    <t>Acquisition</t>
  </si>
  <si>
    <t>Crédit-bail</t>
  </si>
  <si>
    <t>Description 
sommaire</t>
  </si>
  <si>
    <t>Investissements hors crédit-bail</t>
  </si>
  <si>
    <t>Distribution de dividendes</t>
  </si>
  <si>
    <t>Subventions d'équipement</t>
  </si>
  <si>
    <t>Capital</t>
  </si>
  <si>
    <t>Cession d'actifs immobilisés</t>
  </si>
  <si>
    <t>Comptes courants d'associés</t>
  </si>
  <si>
    <t>Capacité d'autofinancement</t>
  </si>
  <si>
    <t>Total des ressources</t>
  </si>
  <si>
    <t>Solde cumulé</t>
  </si>
  <si>
    <t>Total des besoins</t>
  </si>
  <si>
    <t xml:space="preserve"> Années</t>
  </si>
  <si>
    <t xml:space="preserve"> Durée</t>
  </si>
  <si>
    <t>Matériel
mobilier 
de bureau</t>
  </si>
  <si>
    <t>Dégagement de fonds de roulement global retenu (€ à renseigner)</t>
  </si>
  <si>
    <r>
      <rPr>
        <b/>
        <i/>
        <sz val="10"/>
        <color rgb="FF002060"/>
        <rFont val="Calibri"/>
        <family val="2"/>
      </rPr>
      <t>Approche de calcul du</t>
    </r>
    <r>
      <rPr>
        <b/>
        <i/>
        <sz val="10"/>
        <color theme="9" tint="-0.24994659260841701"/>
        <rFont val="Calibri"/>
        <family val="2"/>
      </rPr>
      <t xml:space="preserve"> BFR global moyen </t>
    </r>
    <r>
      <rPr>
        <b/>
        <i/>
        <sz val="10"/>
        <color rgb="FF002060"/>
        <rFont val="Calibri"/>
        <family val="2"/>
      </rPr>
      <t xml:space="preserve">ou du </t>
    </r>
    <r>
      <rPr>
        <b/>
        <i/>
        <sz val="10"/>
        <color rgb="FF0000CC"/>
        <rFont val="Calibri"/>
        <family val="2"/>
      </rPr>
      <t>DFR global moyen</t>
    </r>
  </si>
  <si>
    <t>Produits d'activités annexes</t>
  </si>
  <si>
    <t>TVA appliquée sur les ventes</t>
  </si>
  <si>
    <t>TVA appliquée sur les achats</t>
  </si>
  <si>
    <t>Taux de TVA</t>
  </si>
  <si>
    <t>Quotité 
des ventes</t>
  </si>
  <si>
    <t>Quotité 
des achats</t>
  </si>
  <si>
    <t>Taux normal</t>
  </si>
  <si>
    <t>Exonération</t>
  </si>
  <si>
    <t>Quotité totale des ventes</t>
  </si>
  <si>
    <t>Quotité totale des achats</t>
  </si>
  <si>
    <t>Montant du Besoin en fonds de roulement global retenu (€ à renseigner)</t>
  </si>
  <si>
    <r>
      <rPr>
        <b/>
        <i/>
        <sz val="10"/>
        <color rgb="FF002060"/>
        <rFont val="Calibri"/>
        <family val="2"/>
      </rPr>
      <t>Approche de calcul du</t>
    </r>
    <r>
      <rPr>
        <b/>
        <i/>
        <sz val="10"/>
        <color theme="9" tint="-0.24994659260841701"/>
        <rFont val="Calibri"/>
        <family val="2"/>
      </rPr>
      <t xml:space="preserve"> </t>
    </r>
    <r>
      <rPr>
        <b/>
        <i/>
        <sz val="10"/>
        <color rgb="FFC00000"/>
        <rFont val="Calibri"/>
        <family val="2"/>
      </rPr>
      <t>BFR d'exploitation moyen (BFRE)</t>
    </r>
    <r>
      <rPr>
        <b/>
        <i/>
        <sz val="10"/>
        <color theme="9" tint="-0.24994659260841701"/>
        <rFont val="Calibri"/>
        <family val="2"/>
      </rPr>
      <t xml:space="preserve"> </t>
    </r>
    <r>
      <rPr>
        <b/>
        <i/>
        <sz val="10"/>
        <color rgb="FF002060"/>
        <rFont val="Calibri"/>
        <family val="2"/>
      </rPr>
      <t>ou du</t>
    </r>
    <r>
      <rPr>
        <b/>
        <i/>
        <sz val="10"/>
        <color theme="9" tint="-0.24994659260841701"/>
        <rFont val="Calibri"/>
        <family val="2"/>
      </rPr>
      <t xml:space="preserve"> </t>
    </r>
    <r>
      <rPr>
        <b/>
        <i/>
        <sz val="10"/>
        <color rgb="FF0000CC"/>
        <rFont val="Calibri"/>
        <family val="2"/>
      </rPr>
      <t>DFRE</t>
    </r>
  </si>
  <si>
    <t>Délai d'écoulement des stocks de produits finis en jours de production vendue</t>
  </si>
  <si>
    <t>Capacité d'autofinancement négative</t>
  </si>
  <si>
    <r>
      <t>Solde annuel   (</t>
    </r>
    <r>
      <rPr>
        <b/>
        <sz val="10"/>
        <color rgb="FF0000CC"/>
        <rFont val="Calibri"/>
        <family val="2"/>
        <scheme val="minor"/>
      </rPr>
      <t>Ressources</t>
    </r>
    <r>
      <rPr>
        <b/>
        <sz val="10"/>
        <color rgb="FF002060"/>
        <rFont val="Calibri"/>
        <family val="2"/>
        <scheme val="minor"/>
      </rPr>
      <t xml:space="preserve"> - </t>
    </r>
    <r>
      <rPr>
        <b/>
        <sz val="10"/>
        <color rgb="FFC00000"/>
        <rFont val="Calibri"/>
        <family val="2"/>
        <scheme val="minor"/>
      </rPr>
      <t>Emplois</t>
    </r>
    <r>
      <rPr>
        <b/>
        <sz val="10"/>
        <color rgb="FF002060"/>
        <rFont val="Calibri"/>
        <family val="2"/>
        <scheme val="minor"/>
      </rPr>
      <t>)</t>
    </r>
  </si>
  <si>
    <t>Remboursement du capital des emprunts</t>
  </si>
  <si>
    <t>Remboursement du capital des comptes courants</t>
  </si>
  <si>
    <t xml:space="preserve"> Dégagement de
 fonds de roulement </t>
  </si>
  <si>
    <t>- dont produits sur cession d'actifs</t>
  </si>
  <si>
    <t>€</t>
  </si>
  <si>
    <t>- dont quote-part de la subvention d'invest. reportée au résultat</t>
  </si>
  <si>
    <t>L'entreprise ayant déjà clôturé un exercice ?</t>
  </si>
  <si>
    <t>Budget des ventes mensuelles</t>
  </si>
  <si>
    <t>Mois</t>
  </si>
  <si>
    <t>Répartition des ventes mensuelles 
hors taxe par taux de TVA</t>
  </si>
  <si>
    <t>TVA 
collectée</t>
  </si>
  <si>
    <t>Montant 
TTC</t>
  </si>
  <si>
    <t>Conditions de règlement</t>
  </si>
  <si>
    <t>Ecart</t>
  </si>
  <si>
    <t>Comptant</t>
  </si>
  <si>
    <t>30 jours</t>
  </si>
  <si>
    <t>&gt; 30 j &lt;= 60 j</t>
  </si>
  <si>
    <t>&gt; 60 j &lt;= 90 j</t>
  </si>
  <si>
    <t>&gt; 90 &lt;= 120 j</t>
  </si>
  <si>
    <t>&gt; 120 &lt;= 150 j</t>
  </si>
  <si>
    <t>Budget des achats mensuels de matières et marchandises</t>
  </si>
  <si>
    <t xml:space="preserve">Achats mensuels
HT </t>
  </si>
  <si>
    <t>Budget de TVA</t>
  </si>
  <si>
    <t>Sur ventes</t>
  </si>
  <si>
    <t>Sur autres produits</t>
  </si>
  <si>
    <t>Sur cessions d’actifs</t>
  </si>
  <si>
    <t>TVA collectée</t>
  </si>
  <si>
    <t>Sur achats</t>
  </si>
  <si>
    <t>Sur frais généraux</t>
  </si>
  <si>
    <t>Sur autres charges</t>
  </si>
  <si>
    <t>Sur investissements</t>
  </si>
  <si>
    <t xml:space="preserve">TVA récupérable </t>
  </si>
  <si>
    <t>Solde mensuel</t>
  </si>
  <si>
    <t>Remboursement de crédit TVA</t>
  </si>
  <si>
    <t>Solde après remboursement de TVA</t>
  </si>
  <si>
    <t>Paiement de la TVA</t>
  </si>
  <si>
    <t>Solde de trésorerie en début de mois</t>
  </si>
  <si>
    <t>ENCAISSEMENTS</t>
  </si>
  <si>
    <t>Ajustements éventuels/clients</t>
  </si>
  <si>
    <t>Apport en capital</t>
  </si>
  <si>
    <t>Apport en compte courant</t>
  </si>
  <si>
    <t>Emprunts contractés</t>
  </si>
  <si>
    <t>Encaissements aides &amp; subventions</t>
  </si>
  <si>
    <t>Remboursement de crédit de tva</t>
  </si>
  <si>
    <t>Cession d'actifs</t>
  </si>
  <si>
    <t>Total encaissements</t>
  </si>
  <si>
    <t>DECAISSEMENTS</t>
  </si>
  <si>
    <t>Ajustements éventuels/fournisseurs</t>
  </si>
  <si>
    <t>Echéances de crédit-bail TTC</t>
  </si>
  <si>
    <t>Loyers TTC</t>
  </si>
  <si>
    <t>Assurances</t>
  </si>
  <si>
    <t>Impôts &amp; taxes</t>
  </si>
  <si>
    <t>Salaires nets</t>
  </si>
  <si>
    <t xml:space="preserve">Charges sociales </t>
  </si>
  <si>
    <t>Fournisseurs d'immobilisations</t>
  </si>
  <si>
    <t>Paiement tva</t>
  </si>
  <si>
    <t>Remboursement compte courants</t>
  </si>
  <si>
    <t>Échéances d'emprunts</t>
  </si>
  <si>
    <t>Total décaissements</t>
  </si>
  <si>
    <t>Solde de trésorerie en fin de mois</t>
  </si>
  <si>
    <t>Plan de trésorerie des 18 premiers mois</t>
  </si>
  <si>
    <t>Récapitulatif des encaissements et décaissements</t>
  </si>
  <si>
    <t>TVA à payer</t>
  </si>
  <si>
    <t>Crédit de tva</t>
  </si>
  <si>
    <t>Imputation du crédit de tva</t>
  </si>
  <si>
    <t>Crédits de tva cumulés</t>
  </si>
  <si>
    <t>Poduits financiers</t>
  </si>
  <si>
    <t>Agios et frais bancaires</t>
  </si>
  <si>
    <t>Dividendes</t>
  </si>
  <si>
    <t>Impôt sur les sociétés</t>
  </si>
  <si>
    <t>Clients/ventes budgétées</t>
  </si>
  <si>
    <t>Clients/ventes antérieures</t>
  </si>
  <si>
    <t>Fournisseurs/achats budgétés</t>
  </si>
  <si>
    <t>Fournisseurs/achats antérieurs</t>
  </si>
  <si>
    <r>
      <t xml:space="preserve">Besoin ou </t>
    </r>
    <r>
      <rPr>
        <b/>
        <sz val="10"/>
        <color rgb="FF0000CC"/>
        <rFont val="Calibri"/>
        <family val="2"/>
      </rPr>
      <t>dégagement</t>
    </r>
    <r>
      <rPr>
        <b/>
        <sz val="10"/>
        <color rgb="FFCC6600"/>
        <rFont val="Calibri"/>
        <family val="2"/>
      </rPr>
      <t xml:space="preserve"> </t>
    </r>
    <r>
      <rPr>
        <b/>
        <sz val="10"/>
        <color rgb="FF002060"/>
        <rFont val="Calibri"/>
        <family val="2"/>
      </rPr>
      <t>en FR hors exploitation</t>
    </r>
    <r>
      <rPr>
        <b/>
        <sz val="10"/>
        <color rgb="FFCC6600"/>
        <rFont val="Calibri"/>
        <family val="2"/>
      </rPr>
      <t xml:space="preserve"> </t>
    </r>
    <r>
      <rPr>
        <b/>
        <sz val="9"/>
        <color rgb="FF002060"/>
        <rFont val="Calibri"/>
        <family val="2"/>
      </rPr>
      <t>(</t>
    </r>
    <r>
      <rPr>
        <b/>
        <i/>
        <sz val="10"/>
        <color rgb="FF002060"/>
        <rFont val="Calibri"/>
        <family val="2"/>
      </rPr>
      <t>en jour de CA HT, à renseigner</t>
    </r>
    <r>
      <rPr>
        <b/>
        <sz val="9"/>
        <color rgb="FF002060"/>
        <rFont val="Calibri"/>
        <family val="2"/>
      </rPr>
      <t>)</t>
    </r>
  </si>
  <si>
    <t>Programme d'investissements</t>
  </si>
  <si>
    <t>Investissements en crédit-bail</t>
  </si>
  <si>
    <t>Emprunt bancaire à moyen terme et à long terme</t>
  </si>
  <si>
    <t xml:space="preserve"> Total des investissements matériels</t>
  </si>
  <si>
    <t xml:space="preserve"> Total des investissements financiers</t>
  </si>
  <si>
    <t>Taux intermédiaire</t>
  </si>
  <si>
    <t>Taux réduit</t>
  </si>
  <si>
    <t>Délais d'écoulement  et de paiement moyens</t>
  </si>
  <si>
    <r>
      <rPr>
        <b/>
        <sz val="10"/>
        <color rgb="FF002060"/>
        <rFont val="Calibri"/>
        <family val="2"/>
        <scheme val="minor"/>
      </rPr>
      <t xml:space="preserve">jours </t>
    </r>
    <r>
      <rPr>
        <b/>
        <sz val="9"/>
        <color rgb="FF002060"/>
        <rFont val="Calibri"/>
        <family val="2"/>
        <scheme val="minor"/>
      </rPr>
      <t xml:space="preserve">
</t>
    </r>
    <r>
      <rPr>
        <i/>
        <sz val="9"/>
        <color rgb="FF002060"/>
        <rFont val="Calibri"/>
        <family val="2"/>
        <scheme val="minor"/>
      </rPr>
      <t>(à renseigner)</t>
    </r>
  </si>
  <si>
    <r>
      <t xml:space="preserve">Les montants sont exprimés en </t>
    </r>
    <r>
      <rPr>
        <b/>
        <i/>
        <sz val="11"/>
        <color indexed="30"/>
        <rFont val="Calibri"/>
        <family val="2"/>
      </rPr>
      <t>€</t>
    </r>
  </si>
  <si>
    <r>
      <t xml:space="preserve">Les montants sont exprimés en </t>
    </r>
    <r>
      <rPr>
        <b/>
        <i/>
        <sz val="11"/>
        <color indexed="30"/>
        <rFont val="Calibri"/>
        <family val="2"/>
      </rPr>
      <t>€</t>
    </r>
    <r>
      <rPr>
        <b/>
        <i/>
        <sz val="10"/>
        <color indexed="30"/>
        <rFont val="Calibri"/>
        <family val="2"/>
      </rPr>
      <t/>
    </r>
  </si>
  <si>
    <t>Fournisseurs/autres achats et services</t>
  </si>
  <si>
    <t>Rappel 
des ventes
 mensuelles 
HT</t>
  </si>
  <si>
    <t>TVA
déductible</t>
  </si>
  <si>
    <t>non</t>
  </si>
  <si>
    <r>
      <rPr>
        <sz val="10"/>
        <color theme="5" tint="-0.499984740745262"/>
        <rFont val="Calibri"/>
        <family val="2"/>
      </rPr>
      <t xml:space="preserve">▪ </t>
    </r>
    <r>
      <rPr>
        <sz val="10"/>
        <color theme="5" tint="-0.499984740745262"/>
        <rFont val="Calibri"/>
        <family val="2"/>
        <scheme val="minor"/>
      </rPr>
      <t>Investissements immatériels</t>
    </r>
  </si>
  <si>
    <r>
      <rPr>
        <sz val="10"/>
        <color theme="5" tint="-0.499984740745262"/>
        <rFont val="Calibri"/>
        <family val="2"/>
      </rPr>
      <t xml:space="preserve">▪ </t>
    </r>
    <r>
      <rPr>
        <sz val="10"/>
        <color theme="5" tint="-0.499984740745262"/>
        <rFont val="Calibri"/>
        <family val="2"/>
        <scheme val="minor"/>
      </rPr>
      <t>Investissements matériels</t>
    </r>
  </si>
  <si>
    <r>
      <rPr>
        <sz val="10"/>
        <color theme="5" tint="-0.499984740745262"/>
        <rFont val="Calibri"/>
        <family val="2"/>
      </rPr>
      <t xml:space="preserve">▪ </t>
    </r>
    <r>
      <rPr>
        <sz val="10"/>
        <color theme="5" tint="-0.499984740745262"/>
        <rFont val="Calibri"/>
        <family val="2"/>
        <scheme val="minor"/>
      </rPr>
      <t>Investissements financiers</t>
    </r>
  </si>
  <si>
    <t>▪ Investissements immatériels</t>
  </si>
  <si>
    <t>▪ Investissements matériels</t>
  </si>
  <si>
    <t>▪ Investissements financiers</t>
  </si>
  <si>
    <t>▪ Apports en nature</t>
  </si>
  <si>
    <t>▪ Apports en numéraire</t>
  </si>
  <si>
    <t xml:space="preserve"> ▪ Constitution si nouvelle entreprise</t>
  </si>
  <si>
    <t xml:space="preserve"> ▪ Evolution (+ ou -)</t>
  </si>
  <si>
    <t>Tableaux de remboursement d'emprunts - annuités constantes</t>
  </si>
  <si>
    <t>Emprunt n°1</t>
  </si>
  <si>
    <t>Emprunt n°2</t>
  </si>
  <si>
    <t>Emprunt n°3</t>
  </si>
  <si>
    <t>Montant</t>
  </si>
  <si>
    <t>Taux annuel</t>
  </si>
  <si>
    <t>Durée</t>
  </si>
  <si>
    <t>Différé (mois)</t>
  </si>
  <si>
    <t>années</t>
  </si>
  <si>
    <t>annuités</t>
  </si>
  <si>
    <t>intérêts</t>
  </si>
  <si>
    <t>capital 
remboursé</t>
  </si>
  <si>
    <t xml:space="preserve">capital 
restant dû </t>
  </si>
  <si>
    <t xml:space="preserve">Mois </t>
  </si>
  <si>
    <t>%</t>
  </si>
  <si>
    <r>
      <t xml:space="preserve">Chiffres d'affaires mensuels sur 5 ans </t>
    </r>
    <r>
      <rPr>
        <b/>
        <sz val="10"/>
        <color theme="0"/>
        <rFont val="Calibri"/>
        <family val="2"/>
      </rPr>
      <t xml:space="preserve"> (périodes de 12 mois)</t>
    </r>
  </si>
  <si>
    <t>Montants exprimés en €</t>
  </si>
  <si>
    <t>Aide au calcul de la masse salariale - répartition des charges de personnel</t>
  </si>
  <si>
    <t xml:space="preserve"> 1er exercice - durée :</t>
  </si>
  <si>
    <r>
      <rPr>
        <b/>
        <sz val="10"/>
        <color rgb="FF002060"/>
        <rFont val="Symbol"/>
        <family val="1"/>
        <charset val="2"/>
      </rPr>
      <t>S</t>
    </r>
    <r>
      <rPr>
        <b/>
        <sz val="10"/>
        <color rgb="FF002060"/>
        <rFont val="Calibri"/>
        <family val="2"/>
        <scheme val="minor"/>
      </rPr>
      <t xml:space="preserve"> salaires bruts</t>
    </r>
  </si>
  <si>
    <t>Charges sociales</t>
  </si>
  <si>
    <r>
      <rPr>
        <b/>
        <sz val="10"/>
        <color rgb="FF002060"/>
        <rFont val="Symbol"/>
        <family val="1"/>
        <charset val="2"/>
      </rPr>
      <t>S</t>
    </r>
    <r>
      <rPr>
        <b/>
        <sz val="10"/>
        <color rgb="FF002060"/>
        <rFont val="Calibri"/>
        <family val="2"/>
        <scheme val="minor"/>
      </rPr>
      <t xml:space="preserve"> ch. de personnel</t>
    </r>
  </si>
  <si>
    <t>Fonction</t>
  </si>
  <si>
    <t xml:space="preserve"> Direction Générale</t>
  </si>
  <si>
    <t xml:space="preserve"> Marketing/Vente</t>
  </si>
  <si>
    <t xml:space="preserve"> Production</t>
  </si>
  <si>
    <t xml:space="preserve"> Administration</t>
  </si>
  <si>
    <t xml:space="preserve"> Recherche &amp; Développement</t>
  </si>
  <si>
    <t xml:space="preserve"> 2° exercice - durée :</t>
  </si>
  <si>
    <t xml:space="preserve"> 3° exercice - durée :</t>
  </si>
  <si>
    <t>Augmentations salariales annuelles prévues</t>
  </si>
  <si>
    <t>Calcul du taux réel d'augmentation 
des salaires sur l'année civile</t>
  </si>
  <si>
    <t>Période</t>
  </si>
  <si>
    <t>Augmentations</t>
  </si>
  <si>
    <t xml:space="preserve">Indice 
du mois </t>
  </si>
  <si>
    <t>Augmentation générale totale prévue (AG)</t>
  </si>
  <si>
    <t>Augmentation individuelle totale prévue (AI)</t>
  </si>
  <si>
    <t>Générales</t>
  </si>
  <si>
    <t>Individuelles</t>
  </si>
  <si>
    <t>Janvier</t>
  </si>
  <si>
    <t>Mois 
d'application</t>
  </si>
  <si>
    <t>Février</t>
  </si>
  <si>
    <t>Mars</t>
  </si>
  <si>
    <t>Mai</t>
  </si>
  <si>
    <t>Avril</t>
  </si>
  <si>
    <t>Août</t>
  </si>
  <si>
    <t>Septembre</t>
  </si>
  <si>
    <t>Juin</t>
  </si>
  <si>
    <t>Juillet</t>
  </si>
  <si>
    <t>Octobre</t>
  </si>
  <si>
    <t>Novembre</t>
  </si>
  <si>
    <t>Décembre</t>
  </si>
  <si>
    <t xml:space="preserve">Total </t>
  </si>
  <si>
    <t>Taux réel</t>
  </si>
  <si>
    <t>4° exercice - durée :</t>
  </si>
  <si>
    <t xml:space="preserve"> 5° exercice - durée :</t>
  </si>
  <si>
    <r>
      <t xml:space="preserve">Les montants sont exprimés en </t>
    </r>
    <r>
      <rPr>
        <sz val="11"/>
        <color rgb="FF000099"/>
        <rFont val="Calibri"/>
        <family val="2"/>
      </rPr>
      <t>€</t>
    </r>
    <r>
      <rPr>
        <b/>
        <i/>
        <sz val="10"/>
        <color indexed="30"/>
        <rFont val="Calibri"/>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</si>
</sst>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 #,##0.00\ &quot;€&quot;_-;\-* #,##0.00\ &quot;€&quot;_-;_-* &quot;-&quot;??\ &quot;€&quot;_-;_-@_-"/>
    <numFmt numFmtId="164" formatCode="_-* #,##0.00\ _€_-;\-* #,##0.00\ _€_-;_-* &quot;-&quot;??\ _€_-;_-@_-"/>
    <numFmt numFmtId="165" formatCode="0.0%"/>
    <numFmt numFmtId="166" formatCode="0&quot; mois&quot;"/>
    <numFmt numFmtId="167" formatCode="#,##0&quot; &quot;"/>
    <numFmt numFmtId="168" formatCode="0&quot; p&quot;"/>
    <numFmt numFmtId="169" formatCode="0&quot; j de CA&quot;"/>
    <numFmt numFmtId="170" formatCode="0.0"/>
    <numFmt numFmtId="171" formatCode="0&quot; j&quot;"/>
    <numFmt numFmtId="172" formatCode="#,##0&quot; j CA&quot;"/>
    <numFmt numFmtId="173" formatCode="#,##0&quot; m2   &quot;"/>
    <numFmt numFmtId="174" formatCode="0%&quot; du CA&quot;"/>
    <numFmt numFmtId="175" formatCode="#,##0\ [$€-1]"/>
    <numFmt numFmtId="176" formatCode="\+\ #,##0&quot; &quot;;\-\ #,##0&quot; &quot;;0&quot; &quot;"/>
    <numFmt numFmtId="177" formatCode="&quot;Chiffre d'affaires&quot;\ 0"/>
    <numFmt numFmtId="178" formatCode="&quot;Besoin en FR&quot;\ 0"/>
    <numFmt numFmtId="179" formatCode="&quot;Dégagement de FR&quot;\ 0"/>
    <numFmt numFmtId="180" formatCode="&quot;Durée exercice&quot;\ 0"/>
    <numFmt numFmtId="181" formatCode="&quot;Tva&quot;\ 0.0%"/>
    <numFmt numFmtId="182" formatCode="#,##0\ &quot;€&quot;\ &quot; &quot;"/>
    <numFmt numFmtId="183" formatCode="#,##0\ &quot;€&quot;"/>
    <numFmt numFmtId="184" formatCode="0&quot; ans&quot;"/>
    <numFmt numFmtId="185" formatCode="#,##0.00&quot; &quot;"/>
    <numFmt numFmtId="186" formatCode="0&quot;° mois&quot;"/>
    <numFmt numFmtId="187" formatCode="#,##0&quot; : écart avec Cpte de Résultat&quot;"/>
    <numFmt numFmtId="188" formatCode="&quot;M&quot;\ 0"/>
    <numFmt numFmtId="189" formatCode="mmm"/>
    <numFmt numFmtId="190" formatCode="0.0000"/>
    <numFmt numFmtId="191" formatCode="0.00000"/>
    <numFmt numFmtId="192" formatCode="_-* #,##0.00000\ _F_-;\-* #,##0.00000\ _F_-;_-* &quot;-&quot;??\ _F_-;_-@_-"/>
    <numFmt numFmtId="193" formatCode="0.000%"/>
  </numFmts>
  <fonts count="171">
    <font>
      <sz val="10"/>
      <name val="Arial"/>
    </font>
    <font>
      <sz val="10"/>
      <name val="Arial"/>
      <family val="2"/>
    </font>
    <font>
      <sz val="8"/>
      <name val="Arial"/>
      <family val="2"/>
    </font>
    <font>
      <sz val="10"/>
      <name val="Calibri"/>
      <family val="2"/>
    </font>
    <font>
      <b/>
      <sz val="10"/>
      <name val="Calibri"/>
      <family val="2"/>
    </font>
    <font>
      <b/>
      <sz val="12"/>
      <name val="Calibri"/>
      <family val="2"/>
    </font>
    <font>
      <i/>
      <sz val="10"/>
      <name val="Calibri"/>
      <family val="2"/>
    </font>
    <font>
      <b/>
      <sz val="10"/>
      <color theme="0"/>
      <name val="Calibri"/>
      <family val="2"/>
    </font>
    <font>
      <sz val="10"/>
      <color theme="0"/>
      <name val="Calibri"/>
      <family val="2"/>
    </font>
    <font>
      <b/>
      <sz val="11"/>
      <color theme="0"/>
      <name val="Calibri"/>
      <family val="2"/>
    </font>
    <font>
      <sz val="10"/>
      <color rgb="FF002060"/>
      <name val="Calibri"/>
      <family val="2"/>
    </font>
    <font>
      <b/>
      <sz val="12"/>
      <color theme="0"/>
      <name val="Calibri"/>
      <family val="2"/>
    </font>
    <font>
      <sz val="10"/>
      <color rgb="FF0000CC"/>
      <name val="Calibri"/>
      <family val="2"/>
    </font>
    <font>
      <b/>
      <sz val="10"/>
      <color rgb="FF0000CC"/>
      <name val="Calibri"/>
      <family val="2"/>
    </font>
    <font>
      <b/>
      <sz val="10.5"/>
      <color theme="0"/>
      <name val="Calibri"/>
      <family val="2"/>
    </font>
    <font>
      <b/>
      <sz val="12"/>
      <color rgb="FF002060"/>
      <name val="Calibri"/>
      <family val="2"/>
    </font>
    <font>
      <sz val="11"/>
      <color theme="0"/>
      <name val="Calibri"/>
      <family val="2"/>
      <scheme val="minor"/>
    </font>
    <font>
      <sz val="11"/>
      <name val="Calibri"/>
      <family val="2"/>
    </font>
    <font>
      <b/>
      <sz val="10"/>
      <color indexed="9"/>
      <name val="Calibri"/>
      <family val="2"/>
    </font>
    <font>
      <sz val="10"/>
      <color rgb="FF002060"/>
      <name val="Calibri"/>
      <family val="2"/>
      <scheme val="minor"/>
    </font>
    <font>
      <b/>
      <i/>
      <sz val="10"/>
      <color rgb="FF002060"/>
      <name val="Calibri"/>
      <family val="2"/>
    </font>
    <font>
      <b/>
      <i/>
      <sz val="10"/>
      <name val="Calibri"/>
      <family val="2"/>
    </font>
    <font>
      <b/>
      <sz val="10"/>
      <color indexed="12"/>
      <name val="Calibri"/>
      <family val="2"/>
    </font>
    <font>
      <sz val="10"/>
      <color indexed="12"/>
      <name val="Calibri"/>
      <family val="2"/>
    </font>
    <font>
      <i/>
      <sz val="10"/>
      <color indexed="12"/>
      <name val="Calibri"/>
      <family val="2"/>
    </font>
    <font>
      <sz val="9"/>
      <name val="Calibri"/>
      <family val="2"/>
    </font>
    <font>
      <b/>
      <sz val="10"/>
      <color indexed="32"/>
      <name val="Calibri"/>
      <family val="2"/>
    </font>
    <font>
      <b/>
      <i/>
      <sz val="10"/>
      <color indexed="32"/>
      <name val="Calibri"/>
      <family val="2"/>
    </font>
    <font>
      <sz val="10"/>
      <color rgb="FF000080"/>
      <name val="Calibri"/>
      <family val="2"/>
    </font>
    <font>
      <sz val="10"/>
      <color indexed="32"/>
      <name val="Calibri"/>
      <family val="2"/>
    </font>
    <font>
      <b/>
      <i/>
      <sz val="10"/>
      <color theme="0"/>
      <name val="Calibri"/>
      <family val="2"/>
    </font>
    <font>
      <b/>
      <sz val="10"/>
      <color indexed="10"/>
      <name val="Calibri"/>
      <family val="2"/>
    </font>
    <font>
      <b/>
      <i/>
      <sz val="10"/>
      <color indexed="10"/>
      <name val="Calibri"/>
      <family val="2"/>
    </font>
    <font>
      <i/>
      <sz val="10"/>
      <color theme="0"/>
      <name val="Calibri"/>
      <family val="2"/>
    </font>
    <font>
      <sz val="9"/>
      <color rgb="FF0000FF"/>
      <name val="Times New Roman"/>
      <family val="1"/>
    </font>
    <font>
      <sz val="12"/>
      <name val="Calibri"/>
      <family val="2"/>
    </font>
    <font>
      <b/>
      <sz val="11"/>
      <color indexed="9"/>
      <name val="Calibri"/>
      <family val="2"/>
    </font>
    <font>
      <b/>
      <sz val="11"/>
      <color indexed="32"/>
      <name val="Calibri"/>
      <family val="2"/>
    </font>
    <font>
      <b/>
      <i/>
      <sz val="10.5"/>
      <color indexed="9"/>
      <name val="Calibri"/>
      <family val="2"/>
    </font>
    <font>
      <sz val="10"/>
      <color indexed="9"/>
      <name val="Calibri"/>
      <family val="2"/>
    </font>
    <font>
      <b/>
      <sz val="10.5"/>
      <color indexed="9"/>
      <name val="Calibri"/>
      <family val="2"/>
    </font>
    <font>
      <sz val="11"/>
      <color theme="0"/>
      <name val="Calibri"/>
      <family val="2"/>
    </font>
    <font>
      <sz val="10"/>
      <name val="Calibri"/>
      <family val="2"/>
      <scheme val="minor"/>
    </font>
    <font>
      <b/>
      <sz val="11"/>
      <name val="Calibri"/>
      <family val="2"/>
    </font>
    <font>
      <sz val="8"/>
      <color indexed="32"/>
      <name val="Calibri"/>
      <family val="2"/>
    </font>
    <font>
      <i/>
      <sz val="10"/>
      <color indexed="32"/>
      <name val="Calibri"/>
      <family val="2"/>
    </font>
    <font>
      <sz val="10"/>
      <color theme="0"/>
      <name val="Calibri"/>
      <family val="2"/>
      <scheme val="minor"/>
    </font>
    <font>
      <sz val="11"/>
      <color indexed="12"/>
      <name val="Calibri"/>
      <family val="2"/>
    </font>
    <font>
      <sz val="10"/>
      <name val="Times New Roman"/>
      <family val="1"/>
    </font>
    <font>
      <sz val="10"/>
      <color theme="0"/>
      <name val="Times New Roman"/>
      <family val="1"/>
    </font>
    <font>
      <sz val="10"/>
      <color rgb="FF0000FF"/>
      <name val="Calibri"/>
      <family val="2"/>
    </font>
    <font>
      <b/>
      <sz val="8"/>
      <color rgb="FF0000CC"/>
      <name val="Calibri"/>
      <family val="2"/>
      <scheme val="minor"/>
    </font>
    <font>
      <b/>
      <sz val="10"/>
      <color theme="9" tint="-0.24994659260841701"/>
      <name val="Calibri"/>
      <family val="2"/>
    </font>
    <font>
      <b/>
      <sz val="10"/>
      <color rgb="FF0066CC"/>
      <name val="Calibri"/>
      <family val="2"/>
    </font>
    <font>
      <b/>
      <sz val="10"/>
      <color rgb="FF0066CC"/>
      <name val="Calibri"/>
      <family val="2"/>
      <scheme val="minor"/>
    </font>
    <font>
      <sz val="10"/>
      <color theme="6" tint="-0.499984740745262"/>
      <name val="Calibri"/>
      <family val="2"/>
    </font>
    <font>
      <b/>
      <sz val="10"/>
      <color theme="6" tint="-0.499984740745262"/>
      <name val="Calibri"/>
      <family val="2"/>
    </font>
    <font>
      <i/>
      <sz val="10"/>
      <color theme="6" tint="-0.499984740745262"/>
      <name val="Calibri"/>
      <family val="2"/>
    </font>
    <font>
      <b/>
      <i/>
      <sz val="10"/>
      <color theme="6" tint="-0.499984740745262"/>
      <name val="Calibri"/>
      <family val="2"/>
    </font>
    <font>
      <sz val="10"/>
      <color theme="6" tint="-0.24994659260841701"/>
      <name val="Calibri"/>
      <family val="2"/>
    </font>
    <font>
      <i/>
      <sz val="11"/>
      <name val="Calibri"/>
      <family val="2"/>
    </font>
    <font>
      <b/>
      <sz val="10"/>
      <color rgb="FFCC6600"/>
      <name val="Calibri"/>
      <family val="2"/>
    </font>
    <font>
      <i/>
      <sz val="10"/>
      <name val="Times New Roman"/>
      <family val="1"/>
    </font>
    <font>
      <b/>
      <i/>
      <sz val="9"/>
      <color indexed="32"/>
      <name val="Calibri"/>
      <family val="2"/>
    </font>
    <font>
      <i/>
      <sz val="9"/>
      <color indexed="32"/>
      <name val="Calibri"/>
      <family val="2"/>
    </font>
    <font>
      <i/>
      <sz val="9"/>
      <name val="Calibri"/>
      <family val="2"/>
    </font>
    <font>
      <b/>
      <i/>
      <sz val="10"/>
      <color theme="9" tint="-0.24994659260841701"/>
      <name val="Calibri"/>
      <family val="2"/>
    </font>
    <font>
      <b/>
      <i/>
      <sz val="10"/>
      <color rgb="FF0066CC"/>
      <name val="Calibri"/>
      <family val="2"/>
    </font>
    <font>
      <b/>
      <sz val="12"/>
      <color indexed="9"/>
      <name val="Calibri"/>
      <family val="2"/>
    </font>
    <font>
      <sz val="14"/>
      <name val="Calibri"/>
      <family val="2"/>
    </font>
    <font>
      <b/>
      <sz val="12"/>
      <color indexed="32"/>
      <name val="Calibri"/>
      <family val="2"/>
    </font>
    <font>
      <b/>
      <i/>
      <sz val="10"/>
      <color indexed="30"/>
      <name val="Calibri"/>
      <family val="2"/>
    </font>
    <font>
      <b/>
      <sz val="8"/>
      <name val="Calibri"/>
      <family val="2"/>
    </font>
    <font>
      <b/>
      <i/>
      <sz val="12"/>
      <color indexed="10"/>
      <name val="Calibri"/>
      <family val="2"/>
    </font>
    <font>
      <b/>
      <sz val="11"/>
      <color indexed="60"/>
      <name val="Calibri"/>
      <family val="2"/>
    </font>
    <font>
      <sz val="8"/>
      <name val="Calibri"/>
      <family val="2"/>
    </font>
    <font>
      <sz val="8"/>
      <color theme="0"/>
      <name val="Calibri"/>
      <family val="2"/>
    </font>
    <font>
      <sz val="10.5"/>
      <color theme="0"/>
      <name val="Calibri"/>
      <family val="2"/>
    </font>
    <font>
      <sz val="10"/>
      <color indexed="60"/>
      <name val="Calibri"/>
      <family val="2"/>
    </font>
    <font>
      <b/>
      <sz val="10"/>
      <color rgb="FF002060"/>
      <name val="Calibri"/>
      <family val="2"/>
      <scheme val="minor"/>
    </font>
    <font>
      <b/>
      <sz val="10"/>
      <name val="Calibri"/>
      <family val="2"/>
      <scheme val="minor"/>
    </font>
    <font>
      <b/>
      <i/>
      <sz val="11"/>
      <color indexed="30"/>
      <name val="Calibri"/>
      <family val="2"/>
    </font>
    <font>
      <b/>
      <sz val="10.5"/>
      <name val="Calibri"/>
      <family val="2"/>
    </font>
    <font>
      <b/>
      <sz val="10"/>
      <color rgb="FFC00000"/>
      <name val="Calibri"/>
      <family val="2"/>
    </font>
    <font>
      <b/>
      <sz val="10"/>
      <color rgb="FF002060"/>
      <name val="Calibri"/>
      <family val="2"/>
    </font>
    <font>
      <sz val="10"/>
      <color rgb="FF008000"/>
      <name val="Calibri"/>
      <family val="2"/>
    </font>
    <font>
      <b/>
      <sz val="10"/>
      <color rgb="FF008000"/>
      <name val="Calibri"/>
      <family val="2"/>
      <scheme val="minor"/>
    </font>
    <font>
      <sz val="8"/>
      <color rgb="FF008000"/>
      <name val="Calibri"/>
      <family val="2"/>
    </font>
    <font>
      <sz val="10"/>
      <color rgb="FF008000"/>
      <name val="Calibri"/>
      <family val="2"/>
      <scheme val="minor"/>
    </font>
    <font>
      <b/>
      <sz val="10"/>
      <color rgb="FF008000"/>
      <name val="Calibri"/>
      <family val="2"/>
    </font>
    <font>
      <b/>
      <sz val="10"/>
      <name val="Arial"/>
      <family val="2"/>
    </font>
    <font>
      <b/>
      <i/>
      <sz val="10"/>
      <color rgb="FF0000CC"/>
      <name val="Calibri"/>
      <family val="2"/>
    </font>
    <font>
      <sz val="10"/>
      <color rgb="FF002060"/>
      <name val="Arial"/>
      <family val="2"/>
    </font>
    <font>
      <b/>
      <sz val="9"/>
      <name val="Calibri"/>
      <family val="2"/>
    </font>
    <font>
      <sz val="10.5"/>
      <name val="Calibri"/>
      <family val="2"/>
    </font>
    <font>
      <sz val="9"/>
      <name val="Cambria"/>
      <family val="1"/>
    </font>
    <font>
      <u/>
      <sz val="10"/>
      <color indexed="12"/>
      <name val="Times New Roman"/>
      <family val="1"/>
    </font>
    <font>
      <b/>
      <i/>
      <sz val="9"/>
      <color indexed="10"/>
      <name val="Calibri"/>
      <family val="2"/>
    </font>
    <font>
      <sz val="10.5"/>
      <name val="Cambria"/>
      <family val="1"/>
    </font>
    <font>
      <b/>
      <i/>
      <sz val="9"/>
      <name val="Cambria"/>
      <family val="1"/>
    </font>
    <font>
      <sz val="10"/>
      <name val="Cambria"/>
      <family val="1"/>
    </font>
    <font>
      <b/>
      <i/>
      <sz val="10.5"/>
      <color indexed="10"/>
      <name val="Calibri"/>
      <family val="2"/>
    </font>
    <font>
      <sz val="10.5"/>
      <name val="Times New Roman"/>
      <family val="1"/>
    </font>
    <font>
      <b/>
      <i/>
      <sz val="10"/>
      <color indexed="9"/>
      <name val="Calibri"/>
      <family val="2"/>
    </font>
    <font>
      <b/>
      <i/>
      <sz val="10"/>
      <color rgb="FFC00000"/>
      <name val="Calibri"/>
      <family val="2"/>
    </font>
    <font>
      <b/>
      <sz val="9"/>
      <color rgb="FF002060"/>
      <name val="Calibri"/>
      <family val="2"/>
    </font>
    <font>
      <i/>
      <sz val="10"/>
      <color rgb="FF0000CC"/>
      <name val="Calibri"/>
      <family val="2"/>
    </font>
    <font>
      <b/>
      <sz val="10"/>
      <color rgb="FF0000CC"/>
      <name val="Calibri"/>
      <family val="2"/>
      <scheme val="minor"/>
    </font>
    <font>
      <b/>
      <sz val="10"/>
      <color rgb="FFC00000"/>
      <name val="Calibri"/>
      <family val="2"/>
      <scheme val="minor"/>
    </font>
    <font>
      <sz val="10.5"/>
      <name val="Arial"/>
      <family val="2"/>
    </font>
    <font>
      <b/>
      <sz val="10"/>
      <color rgb="FFE26B0A"/>
      <name val="Calibri"/>
      <family val="2"/>
    </font>
    <font>
      <b/>
      <sz val="10"/>
      <color rgb="FF0000CC"/>
      <name val="Symbol"/>
      <family val="1"/>
      <charset val="2"/>
    </font>
    <font>
      <sz val="10"/>
      <color theme="0" tint="-0.14996795556505021"/>
      <name val="Calibri"/>
      <family val="2"/>
    </font>
    <font>
      <sz val="8"/>
      <color rgb="FF0000CC"/>
      <name val="Calibri"/>
      <family val="2"/>
    </font>
    <font>
      <b/>
      <sz val="10"/>
      <color indexed="9"/>
      <name val="Calibri"/>
      <family val="2"/>
      <scheme val="minor"/>
    </font>
    <font>
      <sz val="10"/>
      <color rgb="FF0000CC"/>
      <name val="Calibri"/>
      <family val="2"/>
      <scheme val="minor"/>
    </font>
    <font>
      <b/>
      <sz val="10"/>
      <color theme="0"/>
      <name val="Calibri"/>
      <family val="2"/>
      <scheme val="minor"/>
    </font>
    <font>
      <b/>
      <sz val="10"/>
      <color rgb="FF595959"/>
      <name val="Calibri"/>
      <family val="2"/>
    </font>
    <font>
      <b/>
      <sz val="12"/>
      <color rgb="FFC00000"/>
      <name val="Calibri"/>
      <family val="2"/>
    </font>
    <font>
      <sz val="10"/>
      <color rgb="FFC00000"/>
      <name val="Calibri"/>
      <family val="2"/>
    </font>
    <font>
      <sz val="10"/>
      <color rgb="FF990000"/>
      <name val="Calibri"/>
      <family val="2"/>
    </font>
    <font>
      <sz val="10.5"/>
      <color rgb="FFC00000"/>
      <name val="Calibri"/>
      <family val="2"/>
    </font>
    <font>
      <sz val="10.5"/>
      <color rgb="FF002060"/>
      <name val="Calibri"/>
      <family val="2"/>
    </font>
    <font>
      <b/>
      <sz val="10.5"/>
      <color rgb="FF002060"/>
      <name val="Calibri"/>
      <family val="2"/>
    </font>
    <font>
      <sz val="7"/>
      <color theme="0"/>
      <name val="Calibri"/>
      <family val="2"/>
    </font>
    <font>
      <sz val="8"/>
      <color theme="0"/>
      <name val="Calibri"/>
      <family val="2"/>
      <scheme val="minor"/>
    </font>
    <font>
      <b/>
      <sz val="10"/>
      <color rgb="FF0000D4"/>
      <name val="Calibri"/>
      <family val="2"/>
    </font>
    <font>
      <i/>
      <sz val="10.5"/>
      <color rgb="FFFF0000"/>
      <name val="Calibri"/>
      <family val="2"/>
    </font>
    <font>
      <i/>
      <sz val="9"/>
      <color indexed="12"/>
      <name val="Calibri"/>
      <family val="2"/>
    </font>
    <font>
      <b/>
      <i/>
      <sz val="9"/>
      <color theme="0"/>
      <name val="Calibri"/>
      <family val="2"/>
    </font>
    <font>
      <b/>
      <sz val="10"/>
      <color theme="5"/>
      <name val="Calibri"/>
      <family val="2"/>
    </font>
    <font>
      <sz val="10.5"/>
      <color theme="5"/>
      <name val="Calibri"/>
      <family val="2"/>
    </font>
    <font>
      <sz val="10"/>
      <color theme="5"/>
      <name val="Calibri"/>
      <family val="2"/>
    </font>
    <font>
      <i/>
      <sz val="10"/>
      <color theme="5"/>
      <name val="Calibri"/>
      <family val="2"/>
    </font>
    <font>
      <b/>
      <sz val="10"/>
      <color theme="5" tint="-0.499984740745262"/>
      <name val="Calibri"/>
      <family val="2"/>
      <scheme val="minor"/>
    </font>
    <font>
      <sz val="10"/>
      <color theme="5" tint="-0.499984740745262"/>
      <name val="Calibri"/>
      <family val="2"/>
      <scheme val="minor"/>
    </font>
    <font>
      <b/>
      <sz val="10.5"/>
      <color theme="5" tint="-0.499984740745262"/>
      <name val="Calibri"/>
      <family val="2"/>
    </font>
    <font>
      <sz val="10"/>
      <color theme="5" tint="-0.499984740745262"/>
      <name val="Calibri"/>
      <family val="2"/>
    </font>
    <font>
      <b/>
      <sz val="10"/>
      <color theme="5" tint="-0.499984740745262"/>
      <name val="Calibri"/>
      <family val="2"/>
    </font>
    <font>
      <sz val="10"/>
      <color theme="5" tint="-0.499984740745262"/>
      <name val="Arial"/>
      <family val="2"/>
    </font>
    <font>
      <b/>
      <sz val="8"/>
      <color rgb="FF002060"/>
      <name val="Calibri"/>
      <family val="2"/>
    </font>
    <font>
      <sz val="8"/>
      <color rgb="FF002060"/>
      <name val="Calibri"/>
      <family val="2"/>
    </font>
    <font>
      <b/>
      <sz val="10.5"/>
      <color rgb="FF002060"/>
      <name val="Calibri"/>
      <family val="2"/>
      <scheme val="minor"/>
    </font>
    <font>
      <b/>
      <sz val="9"/>
      <color rgb="FF002060"/>
      <name val="Calibri"/>
      <family val="2"/>
      <scheme val="minor"/>
    </font>
    <font>
      <b/>
      <sz val="10"/>
      <color rgb="FF002060"/>
      <name val="Symbol"/>
      <family val="1"/>
      <charset val="2"/>
    </font>
    <font>
      <i/>
      <sz val="9"/>
      <color rgb="FF002060"/>
      <name val="Calibri"/>
      <family val="2"/>
      <scheme val="minor"/>
    </font>
    <font>
      <b/>
      <sz val="10"/>
      <color rgb="FF000099"/>
      <name val="Calibri"/>
      <family val="2"/>
    </font>
    <font>
      <sz val="10"/>
      <color rgb="FF000099"/>
      <name val="Calibri"/>
      <family val="2"/>
    </font>
    <font>
      <sz val="10"/>
      <color rgb="FFFF0000"/>
      <name val="Calibri"/>
      <family val="2"/>
    </font>
    <font>
      <b/>
      <i/>
      <sz val="10"/>
      <color rgb="FFC00000"/>
      <name val="Calibri"/>
      <family val="2"/>
      <scheme val="minor"/>
    </font>
    <font>
      <sz val="10"/>
      <color rgb="FFC00000"/>
      <name val="Calibri"/>
      <family val="2"/>
      <scheme val="minor"/>
    </font>
    <font>
      <sz val="10"/>
      <color rgb="FF000099"/>
      <name val="Calibri"/>
      <family val="2"/>
      <scheme val="minor"/>
    </font>
    <font>
      <sz val="10"/>
      <name val="Arial"/>
      <family val="2"/>
    </font>
    <font>
      <b/>
      <sz val="12"/>
      <color theme="0"/>
      <name val="Calibri"/>
      <family val="2"/>
      <scheme val="minor"/>
    </font>
    <font>
      <sz val="12"/>
      <color theme="0"/>
      <name val="Arial"/>
      <family val="2"/>
    </font>
    <font>
      <sz val="6"/>
      <color theme="0"/>
      <name val="Calibri"/>
      <family val="2"/>
    </font>
    <font>
      <i/>
      <sz val="10"/>
      <color rgb="FF002060"/>
      <name val="Calibri"/>
      <family val="2"/>
    </font>
    <font>
      <i/>
      <sz val="9.5"/>
      <color rgb="FFFF0000"/>
      <name val="Calibri"/>
      <family val="2"/>
    </font>
    <font>
      <sz val="6"/>
      <name val="Calibri"/>
      <family val="2"/>
    </font>
    <font>
      <sz val="9"/>
      <color rgb="FF002060"/>
      <name val="Calibri"/>
      <family val="2"/>
    </font>
    <font>
      <sz val="10"/>
      <color rgb="FF595959"/>
      <name val="Calibri"/>
      <family val="2"/>
    </font>
    <font>
      <b/>
      <sz val="11"/>
      <color theme="0"/>
      <name val="Calibri"/>
      <family val="2"/>
      <scheme val="minor"/>
    </font>
    <font>
      <b/>
      <sz val="10"/>
      <color rgb="FF002060"/>
      <name val="Calibri"/>
      <family val="1"/>
      <charset val="2"/>
      <scheme val="minor"/>
    </font>
    <font>
      <b/>
      <sz val="10"/>
      <color rgb="FF000099"/>
      <name val="Calibri"/>
      <family val="2"/>
      <scheme val="minor"/>
    </font>
    <font>
      <sz val="10"/>
      <color rgb="FF7030A0"/>
      <name val="Calibri"/>
      <family val="2"/>
    </font>
    <font>
      <i/>
      <sz val="10"/>
      <color rgb="FF002060"/>
      <name val="Calibri"/>
      <family val="2"/>
      <scheme val="minor"/>
    </font>
    <font>
      <sz val="6"/>
      <color theme="0"/>
      <name val="Calibri"/>
      <family val="2"/>
      <scheme val="minor"/>
    </font>
    <font>
      <sz val="6"/>
      <color rgb="FF002060"/>
      <name val="Calibri"/>
      <family val="2"/>
      <scheme val="minor"/>
    </font>
    <font>
      <sz val="10"/>
      <color indexed="81"/>
      <name val="Tahoma"/>
      <family val="2"/>
    </font>
    <font>
      <b/>
      <sz val="11"/>
      <color rgb="FF002060"/>
      <name val="Calibri"/>
      <family val="2"/>
    </font>
    <font>
      <sz val="11"/>
      <color rgb="FF000099"/>
      <name val="Calibri"/>
      <family val="2"/>
    </font>
  </fonts>
  <fills count="27">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39997558519241921"/>
        <bgColor indexed="65"/>
      </patternFill>
    </fill>
    <fill>
      <patternFill patternType="solid">
        <fgColor indexed="24"/>
        <bgColor indexed="64"/>
      </patternFill>
    </fill>
    <fill>
      <patternFill patternType="solid">
        <fgColor indexed="51"/>
        <bgColor indexed="64"/>
      </patternFill>
    </fill>
    <fill>
      <patternFill patternType="solid">
        <fgColor rgb="FFFFCC00"/>
        <bgColor indexed="64"/>
      </patternFill>
    </fill>
    <fill>
      <patternFill patternType="solid">
        <fgColor indexed="9"/>
        <bgColor indexed="64"/>
      </patternFill>
    </fill>
    <fill>
      <patternFill patternType="solid">
        <fgColor rgb="FF008000"/>
        <bgColor indexed="64"/>
      </patternFill>
    </fill>
    <fill>
      <patternFill patternType="solid">
        <fgColor indexed="42"/>
        <bgColor indexed="64"/>
      </patternFill>
    </fill>
    <fill>
      <patternFill patternType="solid">
        <fgColor rgb="FF666699"/>
        <bgColor indexed="64"/>
      </patternFill>
    </fill>
    <fill>
      <patternFill patternType="solid">
        <fgColor rgb="FF9999FF"/>
        <bgColor indexed="64"/>
      </patternFill>
    </fill>
    <fill>
      <patternFill patternType="solid">
        <fgColor indexed="65"/>
        <bgColor indexed="64"/>
      </patternFill>
    </fill>
    <fill>
      <patternFill patternType="solid">
        <fgColor theme="0" tint="-0.14996795556505021"/>
        <bgColor indexed="64"/>
      </patternFill>
    </fill>
    <fill>
      <patternFill patternType="solid">
        <fgColor theme="0"/>
        <bgColor indexed="64"/>
      </patternFill>
    </fill>
    <fill>
      <patternFill patternType="solid">
        <fgColor rgb="FFEAEAEA"/>
        <bgColor indexed="64"/>
      </patternFill>
    </fill>
    <fill>
      <patternFill patternType="solid">
        <fgColor rgb="FFFFFFCC"/>
        <bgColor indexed="64"/>
      </patternFill>
    </fill>
    <fill>
      <patternFill patternType="solid">
        <fgColor theme="8" tint="-0.24994659260841701"/>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rgb="FFDAEEF3"/>
        <bgColor indexed="64"/>
      </patternFill>
    </fill>
    <fill>
      <patternFill patternType="solid">
        <fgColor rgb="FFEBF9FF"/>
        <bgColor indexed="64"/>
      </patternFill>
    </fill>
    <fill>
      <patternFill patternType="solid">
        <fgColor theme="5" tint="0.79998168889431442"/>
        <bgColor indexed="64"/>
      </patternFill>
    </fill>
    <fill>
      <patternFill patternType="solid">
        <fgColor rgb="FFDDDDDD"/>
        <bgColor indexed="64"/>
      </patternFill>
    </fill>
    <fill>
      <patternFill patternType="solid">
        <fgColor rgb="FFFFFFFF"/>
        <bgColor indexed="64"/>
      </patternFill>
    </fill>
  </fills>
  <borders count="253">
    <border>
      <left/>
      <right/>
      <top/>
      <bottom/>
      <diagonal/>
    </border>
    <border>
      <left style="thin">
        <color theme="0" tint="-0.499984740745262"/>
      </left>
      <right/>
      <top/>
      <bottom/>
      <diagonal/>
    </border>
    <border>
      <left style="thin">
        <color theme="0" tint="-0.24994659260841701"/>
      </left>
      <right style="thin">
        <color theme="0" tint="-0.499984740745262"/>
      </right>
      <top/>
      <bottom/>
      <diagonal/>
    </border>
    <border>
      <left style="thin">
        <color theme="0" tint="-0.499984740745262"/>
      </left>
      <right/>
      <top style="thin">
        <color theme="0" tint="-0.24994659260841701"/>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tint="-0.24994659260841701"/>
      </right>
      <top/>
      <bottom/>
      <diagonal/>
    </border>
    <border>
      <left style="thin">
        <color theme="0" tint="-0.499984740745262"/>
      </left>
      <right style="thin">
        <color theme="0" tint="-0.24994659260841701"/>
      </right>
      <top style="thin">
        <color theme="0" tint="-0.24994659260841701"/>
      </top>
      <bottom style="thin">
        <color theme="0" tint="-0.2499465926084170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style="thin">
        <color theme="0"/>
      </left>
      <right/>
      <top/>
      <bottom/>
      <diagonal/>
    </border>
    <border>
      <left/>
      <right/>
      <top style="thin">
        <color theme="0" tint="-0.499984740745262"/>
      </top>
      <bottom style="thin">
        <color theme="0" tint="-0.24994659260841701"/>
      </bottom>
      <diagonal/>
    </border>
    <border>
      <left/>
      <right/>
      <top style="thin">
        <color theme="0" tint="-0.14996795556505021"/>
      </top>
      <bottom style="thin">
        <color theme="0" tint="-0.14996795556505021"/>
      </bottom>
      <diagonal/>
    </border>
    <border>
      <left/>
      <right/>
      <top style="thin">
        <color theme="0" tint="-0.14996795556505021"/>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14996795556505021"/>
      </bottom>
      <diagonal/>
    </border>
    <border>
      <left/>
      <right/>
      <top style="thin">
        <color theme="0" tint="-0.499984740745262"/>
      </top>
      <bottom style="thin">
        <color theme="0" tint="-0.14996795556505021"/>
      </bottom>
      <diagonal/>
    </border>
    <border>
      <left/>
      <right/>
      <top style="thin">
        <color theme="0" tint="-0.24994659260841701"/>
      </top>
      <bottom style="thin">
        <color theme="0" tint="-0.499984740745262"/>
      </bottom>
      <diagonal/>
    </border>
    <border>
      <left/>
      <right/>
      <top style="thin">
        <color theme="0" tint="-0.499984740745262"/>
      </top>
      <bottom/>
      <diagonal/>
    </border>
    <border>
      <left/>
      <right/>
      <top style="thin">
        <color theme="0" tint="-0.34998626667073579"/>
      </top>
      <bottom style="thin">
        <color theme="0" tint="-0.499984740745262"/>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style="thin">
        <color theme="0" tint="-0.34998626667073579"/>
      </top>
      <bottom style="thin">
        <color theme="0" tint="-0.499984740745262"/>
      </bottom>
      <diagonal/>
    </border>
    <border>
      <left/>
      <right style="thin">
        <color theme="0" tint="-0.499984740745262"/>
      </right>
      <top style="thin">
        <color theme="0" tint="-0.34998626667073579"/>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499984740745262"/>
      </left>
      <right style="thin">
        <color theme="3" tint="0.39994506668294322"/>
      </right>
      <top style="thin">
        <color theme="0" tint="-0.499984740745262"/>
      </top>
      <bottom/>
      <diagonal/>
    </border>
    <border>
      <left style="thin">
        <color theme="0" tint="-0.499984740745262"/>
      </left>
      <right style="thin">
        <color theme="0" tint="-0.24994659260841701"/>
      </right>
      <top style="thin">
        <color theme="0" tint="-0.499984740745262"/>
      </top>
      <bottom style="thin">
        <color theme="0" tint="-0.34998626667073579"/>
      </bottom>
      <diagonal/>
    </border>
    <border>
      <left style="thin">
        <color theme="0" tint="-0.499984740745262"/>
      </left>
      <right style="thin">
        <color theme="0" tint="-0.24994659260841701"/>
      </right>
      <top style="thin">
        <color theme="0" tint="-0.34998626667073579"/>
      </top>
      <bottom style="thin">
        <color theme="0" tint="-0.499984740745262"/>
      </bottom>
      <diagonal/>
    </border>
    <border>
      <left style="thin">
        <color theme="0" tint="-0.499984740745262"/>
      </left>
      <right style="thin">
        <color theme="0" tint="-0.24994659260841701"/>
      </right>
      <top style="thin">
        <color theme="0" tint="-0.34998626667073579"/>
      </top>
      <bottom style="thin">
        <color theme="0" tint="-0.34998626667073579"/>
      </bottom>
      <diagonal/>
    </border>
    <border>
      <left style="thin">
        <color theme="0" tint="-0.499984740745262"/>
      </left>
      <right style="thin">
        <color theme="0" tint="-0.24994659260841701"/>
      </right>
      <top style="thin">
        <color theme="0" tint="-0.34998626667073579"/>
      </top>
      <bottom/>
      <diagonal/>
    </border>
    <border>
      <left style="thin">
        <color theme="0" tint="-0.24994659260841701"/>
      </left>
      <right/>
      <top style="thin">
        <color theme="0" tint="-0.24994659260841701"/>
      </top>
      <bottom style="thin">
        <color theme="0" tint="-0.2499465926084170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tint="-0.24994659260841701"/>
      </right>
      <top/>
      <bottom style="thin">
        <color theme="0" tint="-0.34998626667073579"/>
      </bottom>
      <diagonal/>
    </border>
    <border>
      <left style="thin">
        <color theme="0" tint="-0.499984740745262"/>
      </left>
      <right style="thin">
        <color theme="0" tint="-0.24994659260841701"/>
      </right>
      <top style="thin">
        <color theme="0" tint="-0.499984740745262"/>
      </top>
      <bottom/>
      <diagonal/>
    </border>
    <border>
      <left style="thin">
        <color theme="0" tint="-0.499984740745262"/>
      </left>
      <right style="thin">
        <color theme="0" tint="-0.24994659260841701"/>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style="thin">
        <color theme="0" tint="-0.24994659260841701"/>
      </bottom>
      <diagonal/>
    </border>
    <border>
      <left/>
      <right style="thin">
        <color theme="0" tint="-0.499984740745262"/>
      </right>
      <top/>
      <bottom style="thin">
        <color theme="0" tint="-0.24994659260841701"/>
      </bottom>
      <diagonal/>
    </border>
    <border>
      <left/>
      <right style="thin">
        <color theme="0" tint="-0.499984740745262"/>
      </right>
      <top style="thin">
        <color theme="0" tint="-0.24994659260841701"/>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34998626667073579"/>
      </bottom>
      <diagonal/>
    </border>
    <border>
      <left style="thin">
        <color theme="0" tint="-0.499984740745262"/>
      </left>
      <right/>
      <top style="thin">
        <color theme="0" tint="-0.499984740745262"/>
      </top>
      <bottom style="thin">
        <color theme="0" tint="-0.24994659260841701"/>
      </bottom>
      <diagonal/>
    </border>
    <border>
      <left style="thin">
        <color theme="0" tint="-0.499984740745262"/>
      </left>
      <right/>
      <top style="thin">
        <color theme="0" tint="-0.24994659260841701"/>
      </top>
      <bottom/>
      <diagonal/>
    </border>
    <border>
      <left style="thin">
        <color theme="0" tint="-0.499984740745262"/>
      </left>
      <right/>
      <top/>
      <bottom style="thin">
        <color theme="0" tint="-0.24994659260841701"/>
      </bottom>
      <diagonal/>
    </border>
    <border>
      <left style="thin">
        <color theme="0" tint="-0.499984740745262"/>
      </left>
      <right/>
      <top style="thin">
        <color theme="0" tint="-0.499984740745262"/>
      </top>
      <bottom style="thin">
        <color theme="0" tint="-0.34998626667073579"/>
      </bottom>
      <diagonal/>
    </border>
    <border>
      <left style="thin">
        <color theme="0" tint="-0.24994659260841701"/>
      </left>
      <right style="thin">
        <color theme="0" tint="-0.499984740745262"/>
      </right>
      <top style="thin">
        <color theme="0" tint="-0.34998626667073579"/>
      </top>
      <bottom style="thin">
        <color theme="0" tint="-0.499984740745262"/>
      </bottom>
      <diagonal/>
    </border>
    <border>
      <left style="thin">
        <color theme="0" tint="-0.24994659260841701"/>
      </left>
      <right style="thin">
        <color theme="0" tint="-0.24994659260841701"/>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499984740745262"/>
      </bottom>
      <diagonal/>
    </border>
    <border>
      <left style="thin">
        <color theme="0" tint="-0.24994659260841701"/>
      </left>
      <right/>
      <top style="thin">
        <color theme="0" tint="-0.499984740745262"/>
      </top>
      <bottom/>
      <diagonal/>
    </border>
    <border>
      <left style="thin">
        <color theme="0" tint="-0.24994659260841701"/>
      </left>
      <right/>
      <top/>
      <bottom style="thin">
        <color theme="0" tint="-0.499984740745262"/>
      </bottom>
      <diagonal/>
    </border>
    <border>
      <left style="thin">
        <color theme="0" tint="-0.499984740745262"/>
      </left>
      <right style="thin">
        <color theme="0" tint="-0.24994659260841701"/>
      </right>
      <top style="thin">
        <color theme="0" tint="-0.499984740745262"/>
      </top>
      <bottom style="thin">
        <color theme="0" tint="-0.24994659260841701"/>
      </bottom>
      <diagonal/>
    </border>
    <border>
      <left style="thin">
        <color theme="0" tint="-0.499984740745262"/>
      </left>
      <right style="thin">
        <color theme="0" tint="-0.24994659260841701"/>
      </right>
      <top style="thin">
        <color theme="0" tint="-0.24994659260841701"/>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24994659260841701"/>
      </bottom>
      <diagonal/>
    </border>
    <border>
      <left style="thin">
        <color theme="0" tint="-0.34998626667073579"/>
      </left>
      <right style="thin">
        <color theme="0" tint="-0.499984740745262"/>
      </right>
      <top style="thin">
        <color theme="0" tint="-0.24994659260841701"/>
      </top>
      <bottom style="thin">
        <color theme="0" tint="-0.24994659260841701"/>
      </bottom>
      <diagonal/>
    </border>
    <border>
      <left style="thin">
        <color theme="0" tint="-0.34998626667073579"/>
      </left>
      <right style="thin">
        <color theme="0" tint="-0.499984740745262"/>
      </right>
      <top style="thin">
        <color theme="0" tint="-0.24994659260841701"/>
      </top>
      <bottom style="thin">
        <color theme="0" tint="-0.499984740745262"/>
      </bottom>
      <diagonal/>
    </border>
    <border>
      <left style="thin">
        <color theme="0" tint="-0.499984740745262"/>
      </left>
      <right style="thin">
        <color theme="0" tint="-0.24994659260841701"/>
      </right>
      <top style="thin">
        <color theme="0" tint="-0.24994659260841701"/>
      </top>
      <bottom/>
      <diagonal/>
    </border>
    <border>
      <left style="thin">
        <color theme="0" tint="-0.499984740745262"/>
      </left>
      <right style="thin">
        <color theme="0" tint="-0.499984740745262"/>
      </right>
      <top style="thin">
        <color theme="0" tint="-0.24994659260841701"/>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24994659260841701"/>
      </bottom>
      <diagonal/>
    </border>
    <border>
      <left style="thin">
        <color theme="0" tint="-0.34998626667073579"/>
      </left>
      <right style="thin">
        <color theme="0" tint="-0.499984740745262"/>
      </right>
      <top style="thin">
        <color theme="0" tint="-0.499984740745262"/>
      </top>
      <bottom/>
      <diagonal/>
    </border>
    <border>
      <left style="thin">
        <color theme="0" tint="-0.499984740745262"/>
      </left>
      <right style="thin">
        <color theme="3" tint="0.39994506668294322"/>
      </right>
      <top/>
      <bottom/>
      <diagonal/>
    </border>
    <border>
      <left style="thin">
        <color theme="0" tint="-0.499984740745262"/>
      </left>
      <right style="thin">
        <color theme="3" tint="0.39994506668294322"/>
      </right>
      <top/>
      <bottom style="thin">
        <color theme="0" tint="-0.499984740745262"/>
      </bottom>
      <diagonal/>
    </border>
    <border>
      <left style="thin">
        <color theme="0" tint="-0.24994659260841701"/>
      </left>
      <right style="thin">
        <color theme="0" tint="-0.499984740745262"/>
      </right>
      <top style="thin">
        <color theme="0" tint="-0.499984740745262"/>
      </top>
      <bottom/>
      <diagonal/>
    </border>
    <border>
      <left style="thin">
        <color theme="0" tint="-0.24994659260841701"/>
      </left>
      <right style="thin">
        <color theme="0" tint="-0.499984740745262"/>
      </right>
      <top style="thin">
        <color theme="0" tint="-0.499984740745262"/>
      </top>
      <bottom style="thin">
        <color theme="0" tint="-0.24994659260841701"/>
      </bottom>
      <diagonal/>
    </border>
    <border>
      <left style="thin">
        <color theme="0" tint="-0.24994659260841701"/>
      </left>
      <right style="thin">
        <color theme="0" tint="-0.499984740745262"/>
      </right>
      <top/>
      <bottom style="thin">
        <color theme="0" tint="-0.24994659260841701"/>
      </bottom>
      <diagonal/>
    </border>
    <border>
      <left style="thin">
        <color theme="0" tint="-0.24994659260841701"/>
      </left>
      <right style="thin">
        <color theme="0" tint="-0.499984740745262"/>
      </right>
      <top style="thin">
        <color theme="0" tint="-0.24994659260841701"/>
      </top>
      <bottom/>
      <diagonal/>
    </border>
    <border>
      <left style="thin">
        <color theme="0" tint="-0.499984740745262"/>
      </left>
      <right/>
      <top style="thin">
        <color theme="0" tint="-0.34998626667073579"/>
      </top>
      <bottom style="thin">
        <color theme="0" tint="-0.24994659260841701"/>
      </bottom>
      <diagonal/>
    </border>
    <border>
      <left/>
      <right style="thin">
        <color theme="0" tint="-0.499984740745262"/>
      </right>
      <top style="thin">
        <color theme="0" tint="-0.34998626667073579"/>
      </top>
      <bottom style="thin">
        <color theme="0" tint="-0.24994659260841701"/>
      </bottom>
      <diagonal/>
    </border>
    <border>
      <left style="thin">
        <color theme="0" tint="-0.499984740745262"/>
      </left>
      <right/>
      <top style="thin">
        <color theme="0" tint="-0.24994659260841701"/>
      </top>
      <bottom style="thin">
        <color theme="0" tint="-0.34998626667073579"/>
      </bottom>
      <diagonal/>
    </border>
    <border>
      <left style="thin">
        <color theme="0" tint="-0.24994659260841701"/>
      </left>
      <right style="thin">
        <color theme="0" tint="-0.499984740745262"/>
      </right>
      <top style="thin">
        <color theme="0" tint="-0.34998626667073579"/>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34998626667073579"/>
      </bottom>
      <diagonal/>
    </border>
    <border>
      <left style="thin">
        <color theme="0" tint="-0.499984740745262"/>
      </left>
      <right/>
      <top/>
      <bottom style="thin">
        <color theme="0" tint="-0.34998626667073579"/>
      </bottom>
      <diagonal/>
    </border>
    <border>
      <left/>
      <right style="thin">
        <color theme="0" tint="-0.499984740745262"/>
      </right>
      <top/>
      <bottom style="thin">
        <color theme="0" tint="-0.34998626667073579"/>
      </bottom>
      <diagonal/>
    </border>
    <border>
      <left style="thin">
        <color theme="0" tint="-0.24994659260841701"/>
      </left>
      <right style="thin">
        <color theme="0" tint="-0.499984740745262"/>
      </right>
      <top/>
      <bottom style="thin">
        <color theme="0" tint="-0.34998626667073579"/>
      </bottom>
      <diagonal/>
    </border>
    <border>
      <left style="thin">
        <color theme="0" tint="-0.499984740745262"/>
      </left>
      <right style="thin">
        <color theme="0"/>
      </right>
      <top style="thin">
        <color theme="0" tint="-0.499984740745262"/>
      </top>
      <bottom/>
      <diagonal/>
    </border>
    <border>
      <left style="thin">
        <color theme="0" tint="-0.499984740745262"/>
      </left>
      <right style="thin">
        <color theme="0"/>
      </right>
      <top/>
      <bottom style="thin">
        <color theme="0" tint="-0.499984740745262"/>
      </bottom>
      <diagonal/>
    </border>
    <border>
      <left style="thin">
        <color theme="0" tint="-0.499984740745262"/>
      </left>
      <right/>
      <top style="thin">
        <color theme="0" tint="-0.14996795556505021"/>
      </top>
      <bottom style="thin">
        <color theme="0" tint="-0.14996795556505021"/>
      </bottom>
      <diagonal/>
    </border>
    <border>
      <left style="thin">
        <color theme="0" tint="-0.499984740745262"/>
      </left>
      <right/>
      <top style="thin">
        <color theme="0" tint="-0.14996795556505021"/>
      </top>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op>
      <bottom style="thin">
        <color theme="0" tint="-0.499984740745262"/>
      </bottom>
      <diagonal/>
    </border>
    <border>
      <left style="thin">
        <color theme="0" tint="-0.499984740745262"/>
      </left>
      <right/>
      <top/>
      <bottom style="thin">
        <color theme="0" tint="-0.14996795556505021"/>
      </bottom>
      <diagonal/>
    </border>
    <border>
      <left/>
      <right style="thin">
        <color theme="0" tint="-0.499984740745262"/>
      </right>
      <top style="thin">
        <color theme="0" tint="-0.499984740745262"/>
      </top>
      <bottom style="thin">
        <color theme="0" tint="-0.14996795556505021"/>
      </bottom>
      <diagonal/>
    </border>
    <border>
      <left/>
      <right style="thin">
        <color theme="0" tint="-0.499984740745262"/>
      </right>
      <top style="thin">
        <color theme="0" tint="-0.14996795556505021"/>
      </top>
      <bottom style="thin">
        <color theme="0" tint="-0.14996795556505021"/>
      </bottom>
      <diagonal/>
    </border>
    <border>
      <left/>
      <right style="thin">
        <color theme="0" tint="-0.499984740745262"/>
      </right>
      <top style="thin">
        <color theme="0" tint="-0.14996795556505021"/>
      </top>
      <bottom/>
      <diagonal/>
    </border>
    <border>
      <left/>
      <right style="thin">
        <color theme="0" tint="-0.499984740745262"/>
      </right>
      <top/>
      <bottom style="thin">
        <color theme="0" tint="-0.14996795556505021"/>
      </bottom>
      <diagonal/>
    </border>
    <border>
      <left/>
      <right style="thin">
        <color theme="0" tint="-0.499984740745262"/>
      </right>
      <top style="thin">
        <color theme="0"/>
      </top>
      <bottom style="thin">
        <color theme="0" tint="-0.499984740745262"/>
      </bottom>
      <diagonal/>
    </border>
    <border>
      <left style="thin">
        <color theme="0" tint="-0.499984740745262"/>
      </left>
      <right/>
      <top style="thin">
        <color theme="0" tint="-0.24994659260841701"/>
      </top>
      <bottom style="thin">
        <color theme="0" tint="-0.14996795556505021"/>
      </bottom>
      <diagonal/>
    </border>
    <border>
      <left/>
      <right style="thin">
        <color theme="0" tint="-0.499984740745262"/>
      </right>
      <top style="thin">
        <color theme="0" tint="-0.24994659260841701"/>
      </top>
      <bottom style="thin">
        <color theme="0" tint="-0.14996795556505021"/>
      </bottom>
      <diagonal/>
    </border>
    <border>
      <left/>
      <right style="thin">
        <color theme="0" tint="-0.499984740745262"/>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14996795556505021"/>
      </top>
      <bottom/>
      <diagonal/>
    </border>
    <border>
      <left style="thin">
        <color theme="0" tint="-0.34998626667073579"/>
      </left>
      <right style="thin">
        <color theme="0" tint="-0.499984740745262"/>
      </right>
      <top/>
      <bottom/>
      <diagonal/>
    </border>
    <border>
      <left style="thin">
        <color theme="0" tint="-0.34998626667073579"/>
      </left>
      <right style="thin">
        <color theme="0" tint="-0.499984740745262"/>
      </right>
      <top/>
      <bottom style="thin">
        <color theme="0" tint="-0.24994659260841701"/>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499984740745262"/>
      </left>
      <right/>
      <top style="thin">
        <color theme="0" tint="-0.14996795556505021"/>
      </top>
      <bottom style="thin">
        <color theme="0" tint="-0.499984740745262"/>
      </bottom>
      <diagonal/>
    </border>
    <border>
      <left style="thin">
        <color theme="0" tint="-0.34998626667073579"/>
      </left>
      <right style="thin">
        <color theme="0" tint="-0.499984740745262"/>
      </right>
      <top style="thin">
        <color theme="0" tint="-0.14996795556505021"/>
      </top>
      <bottom style="thin">
        <color theme="0" tint="-0.499984740745262"/>
      </bottom>
      <diagonal/>
    </border>
    <border>
      <left/>
      <right style="thin">
        <color theme="0" tint="-0.499984740745262"/>
      </right>
      <top style="thin">
        <color theme="0" tint="-0.14996795556505021"/>
      </top>
      <bottom style="thin">
        <color theme="0" tint="-0.499984740745262"/>
      </bottom>
      <diagonal/>
    </border>
    <border>
      <left style="thin">
        <color theme="0" tint="-0.499984740745262"/>
      </left>
      <right/>
      <top style="thin">
        <color theme="0" tint="-0.34998626667073579"/>
      </top>
      <bottom/>
      <diagonal/>
    </border>
    <border>
      <left/>
      <right style="thin">
        <color theme="0" tint="-0.499984740745262"/>
      </right>
      <top style="thin">
        <color theme="0" tint="-0.34998626667073579"/>
      </top>
      <bottom/>
      <diagonal/>
    </border>
    <border>
      <left style="thin">
        <color theme="0" tint="-0.499984740745262"/>
      </left>
      <right/>
      <top style="thin">
        <color theme="0" tint="-0.34998626667073579"/>
      </top>
      <bottom style="thin">
        <color theme="0" tint="-0.14996795556505021"/>
      </bottom>
      <diagonal/>
    </border>
    <border>
      <left/>
      <right style="thin">
        <color theme="0" tint="-0.499984740745262"/>
      </right>
      <top style="thin">
        <color theme="0" tint="-0.34998626667073579"/>
      </top>
      <bottom style="thin">
        <color theme="0" tint="-0.14996795556505021"/>
      </bottom>
      <diagonal/>
    </border>
    <border>
      <left style="thin">
        <color theme="0" tint="-0.34998626667073579"/>
      </left>
      <right style="thin">
        <color theme="0" tint="-0.499984740745262"/>
      </right>
      <top style="thin">
        <color theme="0" tint="-0.34998626667073579"/>
      </top>
      <bottom/>
      <diagonal/>
    </border>
    <border>
      <left style="thin">
        <color theme="0" tint="-0.499984740745262"/>
      </left>
      <right style="thin">
        <color theme="0" tint="-0.34998626667073579"/>
      </right>
      <top/>
      <bottom/>
      <diagonal/>
    </border>
    <border>
      <left style="thin">
        <color theme="0"/>
      </left>
      <right style="thin">
        <color theme="0" tint="-0.499984740745262"/>
      </right>
      <top style="thin">
        <color theme="0" tint="-0.499984740745262"/>
      </top>
      <bottom/>
      <diagonal/>
    </border>
    <border>
      <left style="thin">
        <color theme="0" tint="-0.34998626667073579"/>
      </left>
      <right/>
      <top/>
      <bottom style="thin">
        <color theme="0" tint="-0.24994659260841701"/>
      </bottom>
      <diagonal/>
    </border>
    <border>
      <left style="thin">
        <color theme="0" tint="-0.499984740745262"/>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24994659260841701"/>
      </bottom>
      <diagonal/>
    </border>
    <border>
      <left style="thin">
        <color theme="0" tint="-0.499984740745262"/>
      </left>
      <right style="thin">
        <color theme="0" tint="-0.34998626667073579"/>
      </right>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style="thin">
        <color theme="0" tint="-0.499984740745262"/>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24994659260841701"/>
      </top>
      <bottom style="thin">
        <color theme="0" tint="-0.34998626667073579"/>
      </bottom>
      <diagonal/>
    </border>
    <border>
      <left style="thin">
        <color theme="0" tint="-0.34998626667073579"/>
      </left>
      <right style="thin">
        <color theme="0" tint="-0.499984740745262"/>
      </right>
      <top style="thin">
        <color theme="0" tint="-0.24994659260841701"/>
      </top>
      <bottom style="thin">
        <color theme="0" tint="-0.34998626667073579"/>
      </bottom>
      <diagonal/>
    </border>
    <border>
      <left style="thin">
        <color theme="0" tint="-0.24994659260841701"/>
      </left>
      <right style="thin">
        <color theme="0" tint="-0.499984740745262"/>
      </right>
      <top style="thin">
        <color theme="0" tint="-0.14996795556505021"/>
      </top>
      <bottom style="thin">
        <color theme="0" tint="-0.14996795556505021"/>
      </bottom>
      <diagonal/>
    </border>
    <border>
      <left style="thin">
        <color theme="0" tint="-0.24994659260841701"/>
      </left>
      <right style="thin">
        <color theme="0" tint="-0.499984740745262"/>
      </right>
      <top style="thin">
        <color theme="0" tint="-0.14996795556505021"/>
      </top>
      <bottom/>
      <diagonal/>
    </border>
    <border>
      <left style="thin">
        <color theme="0" tint="-0.24994659260841701"/>
      </left>
      <right style="thin">
        <color theme="0" tint="-0.499984740745262"/>
      </right>
      <top style="thin">
        <color theme="0"/>
      </top>
      <bottom style="thin">
        <color theme="0" tint="-0.499984740745262"/>
      </bottom>
      <diagonal/>
    </border>
    <border>
      <left style="thin">
        <color theme="0" tint="-0.24994659260841701"/>
      </left>
      <right style="thin">
        <color theme="0" tint="-0.499984740745262"/>
      </right>
      <top/>
      <bottom style="thin">
        <color theme="0" tint="-0.14996795556505021"/>
      </bottom>
      <diagonal/>
    </border>
    <border>
      <left style="thin">
        <color theme="0" tint="-0.24994659260841701"/>
      </left>
      <right style="thin">
        <color theme="0" tint="-0.499984740745262"/>
      </right>
      <top/>
      <bottom style="thin">
        <color theme="0" tint="-0.499984740745262"/>
      </bottom>
      <diagonal/>
    </border>
    <border>
      <left style="thin">
        <color theme="0" tint="-0.24994659260841701"/>
      </left>
      <right style="thin">
        <color theme="0" tint="-0.499984740745262"/>
      </right>
      <top style="thin">
        <color theme="0" tint="-0.34998626667073579"/>
      </top>
      <bottom style="thin">
        <color theme="0" tint="-0.34998626667073579"/>
      </bottom>
      <diagonal/>
    </border>
    <border>
      <left style="thin">
        <color theme="0" tint="-0.24994659260841701"/>
      </left>
      <right style="thin">
        <color theme="0" tint="-0.499984740745262"/>
      </right>
      <top style="thin">
        <color theme="0" tint="-0.34998626667073579"/>
      </top>
      <bottom style="thin">
        <color theme="0" tint="-0.14996795556505021"/>
      </bottom>
      <diagonal/>
    </border>
    <border>
      <left style="thin">
        <color theme="0" tint="-0.24994659260841701"/>
      </left>
      <right style="thin">
        <color theme="0" tint="-0.499984740745262"/>
      </right>
      <top style="thin">
        <color theme="0" tint="-0.34998626667073579"/>
      </top>
      <bottom/>
      <diagonal/>
    </border>
    <border>
      <left/>
      <right/>
      <top style="thin">
        <color theme="0" tint="-0.14996795556505021"/>
      </top>
      <bottom/>
      <diagonal/>
    </border>
    <border>
      <left/>
      <right/>
      <top/>
      <bottom style="thin">
        <color theme="0" tint="-0.14996795556505021"/>
      </bottom>
      <diagonal/>
    </border>
    <border>
      <left/>
      <right/>
      <top style="thin">
        <color theme="0"/>
      </top>
      <bottom style="thin">
        <color theme="0" tint="-0.499984740745262"/>
      </bottom>
      <diagonal/>
    </border>
    <border>
      <left/>
      <right/>
      <top/>
      <bottom style="thin">
        <color theme="0" tint="-0.24994659260841701"/>
      </bottom>
      <diagonal/>
    </border>
    <border>
      <left/>
      <right/>
      <top style="thin">
        <color theme="0" tint="-0.24994659260841701"/>
      </top>
      <bottom style="thin">
        <color theme="0" tint="-0.14996795556505021"/>
      </bottom>
      <diagonal/>
    </border>
    <border>
      <left/>
      <right/>
      <top style="thin">
        <color theme="0" tint="-0.34998626667073579"/>
      </top>
      <bottom style="thin">
        <color theme="0" tint="-0.14996795556505021"/>
      </bottom>
      <diagonal/>
    </border>
    <border>
      <left/>
      <right/>
      <top style="thin">
        <color theme="0" tint="-0.34998626667073579"/>
      </top>
      <bottom/>
      <diagonal/>
    </border>
    <border>
      <left style="thin">
        <color theme="0"/>
      </left>
      <right style="thin">
        <color theme="0"/>
      </right>
      <top style="thin">
        <color theme="0" tint="-0.499984740745262"/>
      </top>
      <bottom/>
      <diagonal/>
    </border>
    <border>
      <left style="thin">
        <color theme="0"/>
      </left>
      <right style="thin">
        <color theme="0"/>
      </right>
      <top/>
      <bottom style="thin">
        <color theme="0" tint="-0.499984740745262"/>
      </bottom>
      <diagonal/>
    </border>
    <border>
      <left style="thin">
        <color theme="0"/>
      </left>
      <right style="thin">
        <color theme="0" tint="-0.499984740745262"/>
      </right>
      <top/>
      <bottom style="thin">
        <color theme="0" tint="-0.499984740745262"/>
      </bottom>
      <diagonal/>
    </border>
    <border>
      <left style="thin">
        <color theme="0" tint="-0.499984740745262"/>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right/>
      <top/>
      <bottom style="thin">
        <color theme="0" tint="-0.34998626667073579"/>
      </bottom>
      <diagonal/>
    </border>
    <border>
      <left style="thin">
        <color theme="0" tint="-0.24994659260841701"/>
      </left>
      <right style="thin">
        <color theme="0" tint="-0.24994659260841701"/>
      </right>
      <top/>
      <bottom style="thin">
        <color theme="0" tint="-0.499984740745262"/>
      </bottom>
      <diagonal/>
    </border>
    <border>
      <left style="thin">
        <color theme="0" tint="-0.34998626667073579"/>
      </left>
      <right style="thin">
        <color theme="0" tint="-0.499984740745262"/>
      </right>
      <top/>
      <bottom style="thin">
        <color theme="0" tint="-0.34998626667073579"/>
      </bottom>
      <diagonal/>
    </border>
    <border>
      <left style="thin">
        <color theme="0" tint="-0.499984740745262"/>
      </left>
      <right style="thin">
        <color theme="0"/>
      </right>
      <top style="thin">
        <color theme="0" tint="-0.499984740745262"/>
      </top>
      <bottom style="thin">
        <color theme="0" tint="-0.24994659260841701"/>
      </bottom>
      <diagonal/>
    </border>
    <border>
      <left style="thin">
        <color theme="0"/>
      </left>
      <right style="thin">
        <color theme="0"/>
      </right>
      <top style="thin">
        <color theme="0" tint="-0.499984740745262"/>
      </top>
      <bottom style="thin">
        <color theme="0" tint="-0.24994659260841701"/>
      </bottom>
      <diagonal/>
    </border>
    <border>
      <left style="thin">
        <color theme="0"/>
      </left>
      <right style="thin">
        <color theme="0" tint="-0.499984740745262"/>
      </right>
      <top style="thin">
        <color theme="0" tint="-0.499984740745262"/>
      </top>
      <bottom style="thin">
        <color theme="0" tint="-0.24994659260841701"/>
      </bottom>
      <diagonal/>
    </border>
    <border>
      <left/>
      <right/>
      <top/>
      <bottom style="thin">
        <color indexed="9"/>
      </bottom>
      <diagonal/>
    </border>
    <border>
      <left style="thin">
        <color theme="0" tint="-0.24994659260841701"/>
      </left>
      <right/>
      <top/>
      <bottom/>
      <diagonal/>
    </border>
    <border>
      <left/>
      <right style="thin">
        <color theme="0" tint="-0.24994659260841701"/>
      </right>
      <top/>
      <bottom/>
      <diagonal/>
    </border>
    <border>
      <left/>
      <right style="thin">
        <color theme="0" tint="-0.34998626667073579"/>
      </right>
      <top style="thin">
        <color theme="0" tint="-0.34998626667073579"/>
      </top>
      <bottom style="thin">
        <color theme="0" tint="-0.499984740745262"/>
      </bottom>
      <diagonal/>
    </border>
    <border>
      <left style="thin">
        <color theme="0"/>
      </left>
      <right/>
      <top style="thin">
        <color theme="0" tint="-0.499984740745262"/>
      </top>
      <bottom style="thin">
        <color theme="0" tint="-0.499984740745262"/>
      </bottom>
      <diagonal/>
    </border>
    <border>
      <left/>
      <right style="thin">
        <color theme="0"/>
      </right>
      <top style="thin">
        <color theme="0" tint="-0.499984740745262"/>
      </top>
      <bottom style="thin">
        <color theme="0" tint="-0.499984740745262"/>
      </bottom>
      <diagonal/>
    </border>
    <border>
      <left style="thin">
        <color theme="0" tint="-0.499984740745262"/>
      </left>
      <right/>
      <top style="thin">
        <color theme="0" tint="-0.24994659260841701"/>
      </top>
      <bottom style="thin">
        <color theme="0" tint="-0.499984740745262"/>
      </bottom>
      <diagonal/>
    </border>
    <border>
      <left style="thin">
        <color theme="0" tint="-0.34998626667073579"/>
      </left>
      <right style="thin">
        <color theme="0" tint="-0.499984740745262"/>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499984740745262"/>
      </left>
      <right style="thin">
        <color theme="0" tint="-0.34998626667073579"/>
      </right>
      <top style="thin">
        <color theme="0" tint="-0.499984740745262"/>
      </top>
      <bottom style="thin">
        <color theme="0" tint="-0.24994659260841701"/>
      </bottom>
      <diagonal/>
    </border>
    <border>
      <left style="thin">
        <color theme="0" tint="-0.499984740745262"/>
      </left>
      <right style="thin">
        <color theme="0" tint="-0.34998626667073579"/>
      </right>
      <top style="thin">
        <color theme="0" tint="-0.24994659260841701"/>
      </top>
      <bottom style="thin">
        <color theme="0" tint="-0.24994659260841701"/>
      </bottom>
      <diagonal/>
    </border>
    <border>
      <left style="thin">
        <color theme="0" tint="-0.499984740745262"/>
      </left>
      <right style="thin">
        <color theme="0" tint="-0.34998626667073579"/>
      </right>
      <top style="thin">
        <color theme="0" tint="-0.24994659260841701"/>
      </top>
      <bottom style="thin">
        <color theme="0" tint="-0.499984740745262"/>
      </bottom>
      <diagonal/>
    </border>
    <border>
      <left/>
      <right/>
      <top style="thin">
        <color theme="0" tint="-0.34998626667073579"/>
      </top>
      <bottom style="thin">
        <color theme="0" tint="-0.24994659260841701"/>
      </bottom>
      <diagonal/>
    </border>
    <border>
      <left/>
      <right/>
      <top style="thin">
        <color theme="0" tint="-0.24994659260841701"/>
      </top>
      <bottom style="thin">
        <color theme="0" tint="-0.34998626667073579"/>
      </bottom>
      <diagonal/>
    </border>
    <border>
      <left/>
      <right/>
      <top style="thin">
        <color theme="0" tint="-0.24994659260841701"/>
      </top>
      <bottom/>
      <diagonal/>
    </border>
    <border>
      <left style="thin">
        <color theme="0" tint="-0.34998626667073579"/>
      </left>
      <right/>
      <top/>
      <bottom style="thin">
        <color theme="0" tint="-0.34998626667073579"/>
      </bottom>
      <diagonal/>
    </border>
    <border>
      <left style="thin">
        <color theme="0" tint="-0.24994659260841701"/>
      </left>
      <right style="thin">
        <color theme="0" tint="-0.34998626667073579"/>
      </right>
      <top style="thin">
        <color theme="0" tint="-0.499984740745262"/>
      </top>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right/>
      <top style="thin">
        <color theme="0" tint="-0.499984740745262"/>
      </top>
      <bottom style="thin">
        <color theme="0" tint="-0.34998626667073579"/>
      </bottom>
      <diagonal/>
    </border>
    <border>
      <left style="thin">
        <color theme="0" tint="-0.24994659260841701"/>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thin">
        <color theme="0" tint="-0.24994659260841701"/>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34998626667073579"/>
      </top>
      <bottom style="thin">
        <color theme="0" tint="-0.499984740745262"/>
      </bottom>
      <diagonal/>
    </border>
    <border>
      <left style="thin">
        <color theme="0" tint="-0.24994659260841701"/>
      </left>
      <right style="thin">
        <color theme="0" tint="-0.24994659260841701"/>
      </right>
      <top style="thin">
        <color theme="0" tint="-0.34998626667073579"/>
      </top>
      <bottom style="thin">
        <color theme="0" tint="-0.499984740745262"/>
      </bottom>
      <diagonal/>
    </border>
    <border>
      <left style="thin">
        <color theme="0" tint="-0.34998626667073579"/>
      </left>
      <right/>
      <top style="thin">
        <color theme="0" tint="-0.34998626667073579"/>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34998626667073579"/>
      </left>
      <right style="thin">
        <color theme="0" tint="-0.34998626667073579"/>
      </right>
      <top style="thin">
        <color theme="0" tint="-0.499984740745262"/>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9"/>
      </right>
      <top style="thin">
        <color theme="0" tint="-0.499984740745262"/>
      </top>
      <bottom style="thin">
        <color theme="0" tint="-0.499984740745262"/>
      </bottom>
      <diagonal/>
    </border>
    <border>
      <left/>
      <right style="thin">
        <color theme="0" tint="-0.34998626667073579"/>
      </right>
      <top/>
      <bottom/>
      <diagonal/>
    </border>
    <border>
      <left/>
      <right style="thin">
        <color theme="0" tint="-0.34998626667073579"/>
      </right>
      <top style="thin">
        <color theme="0" tint="-0.499984740745262"/>
      </top>
      <bottom style="thin">
        <color theme="0" tint="-0.499984740745262"/>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24994659260841701"/>
      </bottom>
      <diagonal/>
    </border>
    <border>
      <left/>
      <right style="thin">
        <color theme="0"/>
      </right>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24994659260841701"/>
      </bottom>
      <diagonal/>
    </border>
    <border>
      <left style="thin">
        <color theme="0" tint="-0.34998626667073579"/>
      </left>
      <right/>
      <top/>
      <bottom style="thin">
        <color theme="0" tint="-0.499984740745262"/>
      </bottom>
      <diagonal/>
    </border>
    <border>
      <left style="thin">
        <color theme="0" tint="-0.499984740745262"/>
      </left>
      <right style="thin">
        <color theme="0" tint="-0.499984740745262"/>
      </right>
      <top/>
      <bottom/>
      <diagonal/>
    </border>
    <border>
      <left style="thin">
        <color theme="0"/>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499984740745262"/>
      </top>
      <bottom style="thin">
        <color theme="0" tint="-0.499984740745262"/>
      </bottom>
      <diagonal/>
    </border>
    <border>
      <left style="thin">
        <color theme="0" tint="-0.24994659260841701"/>
      </left>
      <right/>
      <top style="thin">
        <color theme="0" tint="-0.499984740745262"/>
      </top>
      <bottom style="thin">
        <color theme="0" tint="-0.24994659260841701"/>
      </bottom>
      <diagonal/>
    </border>
    <border>
      <left style="thin">
        <color theme="0" tint="-0.24994659260841701"/>
      </left>
      <right/>
      <top style="thin">
        <color theme="0" tint="-0.24994659260841701"/>
      </top>
      <bottom style="thin">
        <color theme="0" tint="-0.499984740745262"/>
      </bottom>
      <diagonal/>
    </border>
    <border>
      <left style="thin">
        <color theme="0" tint="-0.499984740745262"/>
      </left>
      <right style="thin">
        <color theme="0" tint="-0.24994659260841701"/>
      </right>
      <top/>
      <bottom style="thin">
        <color theme="0" tint="-0.24994659260841701"/>
      </bottom>
      <diagonal/>
    </border>
    <border>
      <left style="thin">
        <color theme="3" tint="0.39994506668294322"/>
      </left>
      <right/>
      <top style="thin">
        <color theme="0" tint="-0.499984740745262"/>
      </top>
      <bottom/>
      <diagonal/>
    </border>
    <border>
      <left style="thin">
        <color theme="3" tint="0.39994506668294322"/>
      </left>
      <right/>
      <top/>
      <bottom style="thin">
        <color theme="0" tint="-0.499984740745262"/>
      </bottom>
      <diagonal/>
    </border>
    <border>
      <left style="thin">
        <color theme="3" tint="0.39994506668294322"/>
      </left>
      <right/>
      <top style="thin">
        <color theme="0" tint="-0.24994659260841701"/>
      </top>
      <bottom style="thin">
        <color theme="0" tint="-0.24994659260841701"/>
      </bottom>
      <diagonal/>
    </border>
    <border>
      <left/>
      <right style="thin">
        <color theme="0" tint="-0.499984740745262"/>
      </right>
      <top style="thin">
        <color theme="0" tint="-0.34998626667073579"/>
      </top>
      <bottom style="thin">
        <color theme="0"/>
      </bottom>
      <diagonal/>
    </border>
    <border>
      <left style="thin">
        <color theme="0" tint="-0.499984740745262"/>
      </left>
      <right/>
      <top style="thin">
        <color theme="0" tint="-0.34998626667073579"/>
      </top>
      <bottom style="thin">
        <color theme="0"/>
      </bottom>
      <diagonal/>
    </border>
    <border>
      <left/>
      <right/>
      <top style="thin">
        <color theme="0" tint="-0.34998626667073579"/>
      </top>
      <bottom style="thin">
        <color theme="0"/>
      </bottom>
      <diagonal/>
    </border>
    <border>
      <left style="thin">
        <color theme="0" tint="-0.24994659260841701"/>
      </left>
      <right style="thin">
        <color theme="0" tint="-0.499984740745262"/>
      </right>
      <top style="thin">
        <color theme="0" tint="-0.34998626667073579"/>
      </top>
      <bottom style="thin">
        <color theme="0"/>
      </bottom>
      <diagonal/>
    </border>
    <border>
      <left/>
      <right/>
      <top style="thin">
        <color theme="0"/>
      </top>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24994659260841701"/>
      </right>
      <top style="thin">
        <color theme="0" tint="-0.34998626667073579"/>
      </top>
      <bottom style="thin">
        <color theme="0"/>
      </bottom>
      <diagonal/>
    </border>
    <border>
      <left style="thin">
        <color theme="0" tint="-0.499984740745262"/>
      </left>
      <right style="thin">
        <color theme="0" tint="-0.34998626667073579"/>
      </right>
      <top style="thin">
        <color theme="0" tint="-0.24994659260841701"/>
      </top>
      <bottom/>
      <diagonal/>
    </border>
    <border>
      <left style="thin">
        <color theme="0" tint="-0.34998626667073579"/>
      </left>
      <right style="thin">
        <color theme="0" tint="-0.34998626667073579"/>
      </right>
      <top style="thin">
        <color theme="0" tint="-0.24994659260841701"/>
      </top>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thin">
        <color theme="0" tint="-0.499984740745262"/>
      </left>
      <right style="thin">
        <color theme="0" tint="-0.34998626667073579"/>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tint="-0.499984740745262"/>
      </left>
      <right style="thin">
        <color theme="0" tint="-0.34998626667073579"/>
      </right>
      <top style="thin">
        <color theme="0" tint="-0.34998626667073579"/>
      </top>
      <bottom style="thin">
        <color theme="0" tint="-0.499984740745262"/>
      </bottom>
      <diagonal/>
    </border>
    <border>
      <left style="thin">
        <color theme="0" tint="-0.34998626667073579"/>
      </left>
      <right/>
      <top style="thin">
        <color theme="0" tint="-0.499984740745262"/>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499984740745262"/>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thin">
        <color theme="0" tint="-0.34998626667073579"/>
      </left>
      <right style="thin">
        <color theme="0" tint="-0.14996795556505021"/>
      </right>
      <top style="thin">
        <color theme="0" tint="-0.499984740745262"/>
      </top>
      <bottom/>
      <diagonal/>
    </border>
    <border>
      <left style="thin">
        <color theme="0" tint="-0.14996795556505021"/>
      </left>
      <right style="thin">
        <color theme="0" tint="-0.34998626667073579"/>
      </right>
      <top style="thin">
        <color theme="0" tint="-0.499984740745262"/>
      </top>
      <bottom/>
      <diagonal/>
    </border>
    <border>
      <left/>
      <right style="thin">
        <color theme="0" tint="-0.34998626667073579"/>
      </right>
      <top style="thin">
        <color theme="0" tint="-0.499984740745262"/>
      </top>
      <bottom style="thin">
        <color theme="0" tint="-0.24994659260841701"/>
      </bottom>
      <diagonal/>
    </border>
    <border>
      <left style="thin">
        <color theme="0" tint="-0.34998626667073579"/>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34998626667073579"/>
      </right>
      <top style="thin">
        <color theme="0" tint="-0.499984740745262"/>
      </top>
      <bottom style="thin">
        <color theme="0" tint="-0.24994659260841701"/>
      </bottom>
      <diagonal/>
    </border>
    <border>
      <left style="thin">
        <color theme="0" tint="-0.34998626667073579"/>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14996795556505021"/>
      </right>
      <top/>
      <bottom style="thin">
        <color theme="0" tint="-0.24994659260841701"/>
      </bottom>
      <diagonal/>
    </border>
    <border>
      <left style="thin">
        <color theme="0" tint="-0.14996795556505021"/>
      </left>
      <right style="thin">
        <color theme="0" tint="-0.34998626667073579"/>
      </right>
      <top/>
      <bottom style="thin">
        <color theme="0" tint="-0.24994659260841701"/>
      </bottom>
      <diagonal/>
    </border>
    <border>
      <left style="thin">
        <color theme="0" tint="-0.34998626667073579"/>
      </left>
      <right style="thin">
        <color theme="0" tint="-0.14996795556505021"/>
      </right>
      <top style="thin">
        <color theme="0" tint="-0.24994659260841701"/>
      </top>
      <bottom style="thin">
        <color theme="0" tint="-0.499984740745262"/>
      </bottom>
      <diagonal/>
    </border>
    <border>
      <left style="thin">
        <color theme="0" tint="-0.14996795556505021"/>
      </left>
      <right style="thin">
        <color theme="0" tint="-0.34998626667073579"/>
      </right>
      <top style="thin">
        <color theme="0" tint="-0.24994659260841701"/>
      </top>
      <bottom style="thin">
        <color theme="0" tint="-0.499984740745262"/>
      </bottom>
      <diagonal/>
    </border>
    <border>
      <left style="thin">
        <color theme="0" tint="-0.34998626667073579"/>
      </left>
      <right style="thin">
        <color theme="0" tint="-0.24994659260841701"/>
      </right>
      <top style="thin">
        <color theme="0" tint="-0.24994659260841701"/>
      </top>
      <bottom style="thin">
        <color theme="0" tint="-0.499984740745262"/>
      </bottom>
      <diagonal/>
    </border>
    <border>
      <left style="thin">
        <color theme="0" tint="-0.34998626667073579"/>
      </left>
      <right/>
      <top style="thin">
        <color theme="0" tint="-0.24994659260841701"/>
      </top>
      <bottom style="thin">
        <color theme="0" tint="-0.499984740745262"/>
      </bottom>
      <diagonal/>
    </border>
    <border>
      <left style="thin">
        <color theme="0" tint="-0.24994659260841701"/>
      </left>
      <right style="thin">
        <color theme="0" tint="-0.34998626667073579"/>
      </right>
      <top style="thin">
        <color theme="0" tint="-0.24994659260841701"/>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34998626667073579"/>
      </left>
      <right style="thin">
        <color theme="0" tint="-0.24994659260841701"/>
      </right>
      <top style="thin">
        <color theme="0" tint="-0.34998626667073579"/>
      </top>
      <bottom/>
      <diagonal/>
    </border>
    <border>
      <left style="thin">
        <color theme="0" tint="-0.24994659260841701"/>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24994659260841701"/>
      </right>
      <top/>
      <bottom style="thin">
        <color theme="0" tint="-0.34998626667073579"/>
      </bottom>
      <diagonal/>
    </border>
    <border>
      <left style="thin">
        <color theme="0" tint="-0.24994659260841701"/>
      </left>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
      <left style="thin">
        <color theme="0" tint="-0.34998626667073579"/>
      </left>
      <right style="thin">
        <color theme="0" tint="-0.24994659260841701"/>
      </right>
      <top/>
      <bottom style="thin">
        <color theme="0" tint="-0.24994659260841701"/>
      </bottom>
      <diagonal/>
    </border>
    <border>
      <left style="thin">
        <color theme="0" tint="-0.24994659260841701"/>
      </left>
      <right style="thin">
        <color theme="0" tint="-0.34998626667073579"/>
      </right>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499984740745262"/>
      </bottom>
      <diagonal/>
    </border>
  </borders>
  <cellStyleXfs count="6">
    <xf numFmtId="0" fontId="0" fillId="0" borderId="0"/>
    <xf numFmtId="164" fontId="1" fillId="0" borderId="0" applyFont="0" applyFill="0" applyBorder="0" applyAlignment="0" applyProtection="0"/>
    <xf numFmtId="0" fontId="16" fillId="5" borderId="0" applyNumberFormat="0" applyBorder="0" applyAlignment="0" applyProtection="0"/>
    <xf numFmtId="175" fontId="96" fillId="0" borderId="0" applyNumberFormat="0" applyFill="0" applyBorder="0" applyAlignment="0" applyProtection="0">
      <alignment vertical="top"/>
      <protection locked="0"/>
    </xf>
    <xf numFmtId="9" fontId="152" fillId="0" borderId="0" applyFont="0" applyFill="0" applyBorder="0" applyAlignment="0" applyProtection="0"/>
    <xf numFmtId="44" fontId="1" fillId="0" borderId="0" applyFont="0" applyFill="0" applyBorder="0" applyAlignment="0" applyProtection="0"/>
  </cellStyleXfs>
  <cellXfs count="1273">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left" vertical="center"/>
    </xf>
    <xf numFmtId="167" fontId="3" fillId="0" borderId="0" xfId="0" applyNumberFormat="1"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0" fontId="37" fillId="0" borderId="0" xfId="0" applyFont="1" applyAlignment="1" applyProtection="1">
      <alignment horizontal="left"/>
      <protection locked="0"/>
    </xf>
    <xf numFmtId="1" fontId="37" fillId="0" borderId="0" xfId="0" applyNumberFormat="1" applyFont="1" applyAlignment="1" applyProtection="1">
      <alignment horizontal="left"/>
      <protection locked="0"/>
    </xf>
    <xf numFmtId="0" fontId="3" fillId="0" borderId="0" xfId="0" applyFont="1" applyAlignment="1" applyProtection="1">
      <alignment horizontal="right"/>
      <protection locked="0"/>
    </xf>
    <xf numFmtId="0" fontId="39" fillId="0" borderId="0" xfId="0" applyFont="1" applyAlignment="1" applyProtection="1">
      <alignment horizontal="right" vertical="center"/>
      <protection locked="0"/>
    </xf>
    <xf numFmtId="0" fontId="40"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15" fillId="9" borderId="0" xfId="0" applyFont="1" applyFill="1" applyAlignment="1" applyProtection="1">
      <alignment horizontal="left" vertical="center"/>
      <protection hidden="1"/>
    </xf>
    <xf numFmtId="0" fontId="17" fillId="9" borderId="0" xfId="0" applyFont="1" applyFill="1" applyAlignment="1" applyProtection="1">
      <alignment horizontal="right"/>
      <protection hidden="1"/>
    </xf>
    <xf numFmtId="0" fontId="3" fillId="0" borderId="0" xfId="0" applyFont="1" applyAlignment="1" applyProtection="1">
      <alignment horizontal="right" indent="1"/>
      <protection locked="0"/>
    </xf>
    <xf numFmtId="0" fontId="17" fillId="9" borderId="0" xfId="0" applyFont="1" applyFill="1" applyAlignment="1" applyProtection="1">
      <alignment horizontal="right"/>
      <protection locked="0"/>
    </xf>
    <xf numFmtId="0" fontId="17" fillId="0" borderId="0" xfId="0" applyFont="1" applyAlignment="1" applyProtection="1">
      <alignment horizontal="right"/>
      <protection locked="0"/>
    </xf>
    <xf numFmtId="0" fontId="8" fillId="0" borderId="0" xfId="0" applyFont="1" applyAlignment="1" applyProtection="1">
      <alignment horizontal="left"/>
      <protection hidden="1"/>
    </xf>
    <xf numFmtId="165" fontId="27" fillId="0" borderId="0" xfId="0" applyNumberFormat="1" applyFont="1" applyAlignment="1" applyProtection="1">
      <alignment horizontal="left" vertical="center"/>
      <protection locked="0"/>
    </xf>
    <xf numFmtId="165" fontId="29" fillId="0" borderId="0" xfId="0" applyNumberFormat="1" applyFont="1" applyAlignment="1" applyProtection="1">
      <alignment horizontal="center" vertical="center"/>
      <protection locked="0"/>
    </xf>
    <xf numFmtId="165" fontId="27" fillId="0" borderId="0" xfId="0" applyNumberFormat="1" applyFont="1" applyAlignment="1" applyProtection="1">
      <alignment vertical="center"/>
      <protection locked="0"/>
    </xf>
    <xf numFmtId="167" fontId="3" fillId="0" borderId="0" xfId="0" applyNumberFormat="1" applyFont="1" applyAlignment="1" applyProtection="1">
      <alignment horizontal="right"/>
      <protection locked="0"/>
    </xf>
    <xf numFmtId="165" fontId="26" fillId="0" borderId="0" xfId="0" applyNumberFormat="1" applyFont="1" applyAlignment="1" applyProtection="1">
      <alignment horizontal="center" vertical="center"/>
      <protection locked="0"/>
    </xf>
    <xf numFmtId="0" fontId="17" fillId="0" borderId="0" xfId="0" applyFont="1" applyAlignment="1" applyProtection="1">
      <alignment horizontal="right" vertical="center"/>
      <protection locked="0"/>
    </xf>
    <xf numFmtId="0" fontId="3" fillId="0" borderId="11" xfId="0" applyFont="1" applyBorder="1" applyAlignment="1" applyProtection="1">
      <alignment horizontal="right"/>
      <protection locked="0"/>
    </xf>
    <xf numFmtId="165" fontId="29" fillId="0" borderId="0" xfId="0" applyNumberFormat="1" applyFont="1" applyAlignment="1" applyProtection="1">
      <alignment horizontal="right" vertical="center"/>
      <protection locked="0"/>
    </xf>
    <xf numFmtId="165" fontId="45" fillId="0" borderId="0" xfId="0" applyNumberFormat="1" applyFont="1" applyAlignment="1" applyProtection="1">
      <alignment horizontal="center" vertical="center"/>
      <protection locked="0"/>
    </xf>
    <xf numFmtId="165" fontId="45" fillId="0" borderId="0" xfId="0" applyNumberFormat="1" applyFont="1" applyAlignment="1" applyProtection="1">
      <alignment horizontal="right" vertical="center"/>
      <protection locked="0"/>
    </xf>
    <xf numFmtId="0" fontId="3" fillId="0" borderId="0" xfId="0" applyFont="1" applyAlignment="1" applyProtection="1">
      <alignment horizontal="right"/>
      <protection hidden="1"/>
    </xf>
    <xf numFmtId="167" fontId="8" fillId="0" borderId="0" xfId="0" applyNumberFormat="1" applyFont="1" applyAlignment="1" applyProtection="1">
      <alignment horizontal="right" vertical="center"/>
      <protection locked="0"/>
    </xf>
    <xf numFmtId="165" fontId="8" fillId="0" borderId="0" xfId="0" applyNumberFormat="1" applyFont="1" applyAlignment="1" applyProtection="1">
      <alignment horizontal="center" vertical="center"/>
      <protection locked="0"/>
    </xf>
    <xf numFmtId="165" fontId="8" fillId="0" borderId="0" xfId="0" applyNumberFormat="1" applyFont="1" applyAlignment="1" applyProtection="1">
      <alignment horizontal="right" vertical="center"/>
      <protection locked="0"/>
    </xf>
    <xf numFmtId="165" fontId="23" fillId="0" borderId="0" xfId="0" applyNumberFormat="1" applyFont="1" applyAlignment="1" applyProtection="1">
      <alignment horizontal="center" vertical="center"/>
      <protection locked="0"/>
    </xf>
    <xf numFmtId="165" fontId="23" fillId="0" borderId="0" xfId="0" applyNumberFormat="1" applyFont="1" applyAlignment="1" applyProtection="1">
      <alignment horizontal="right" vertical="center"/>
      <protection locked="0"/>
    </xf>
    <xf numFmtId="0" fontId="47" fillId="0" borderId="0" xfId="0" applyFont="1" applyAlignment="1" applyProtection="1">
      <alignment horizontal="right"/>
      <protection locked="0"/>
    </xf>
    <xf numFmtId="10" fontId="3" fillId="0" borderId="0" xfId="0" applyNumberFormat="1" applyFont="1" applyAlignment="1" applyProtection="1">
      <alignment horizontal="right"/>
      <protection locked="0"/>
    </xf>
    <xf numFmtId="167" fontId="25" fillId="0" borderId="0" xfId="0" applyNumberFormat="1" applyFont="1" applyAlignment="1" applyProtection="1">
      <alignment horizontal="right"/>
      <protection locked="0"/>
    </xf>
    <xf numFmtId="0" fontId="8" fillId="0" borderId="0" xfId="0" applyFont="1" applyAlignment="1" applyProtection="1">
      <alignment horizontal="right" indent="1"/>
      <protection locked="0"/>
    </xf>
    <xf numFmtId="0" fontId="41" fillId="0" borderId="0" xfId="0" applyFont="1" applyAlignment="1" applyProtection="1">
      <alignment horizontal="right"/>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center" indent="1"/>
      <protection hidden="1"/>
    </xf>
    <xf numFmtId="0" fontId="49" fillId="0" borderId="0" xfId="0" applyFont="1" applyAlignment="1" applyProtection="1">
      <alignment horizontal="left" vertical="center" indent="1"/>
      <protection hidden="1"/>
    </xf>
    <xf numFmtId="167" fontId="8" fillId="0" borderId="0" xfId="0" applyNumberFormat="1" applyFont="1" applyAlignment="1" applyProtection="1">
      <alignment horizontal="right" vertical="center"/>
      <protection hidden="1"/>
    </xf>
    <xf numFmtId="0" fontId="3" fillId="0" borderId="0" xfId="0" applyFont="1" applyAlignment="1" applyProtection="1">
      <alignment horizontal="left"/>
      <protection locked="0"/>
    </xf>
    <xf numFmtId="165" fontId="18" fillId="0" borderId="0" xfId="0" applyNumberFormat="1" applyFont="1" applyAlignment="1" applyProtection="1">
      <alignment horizontal="center" vertical="center"/>
      <protection locked="0"/>
    </xf>
    <xf numFmtId="165" fontId="3" fillId="0" borderId="0" xfId="0" applyNumberFormat="1" applyFont="1" applyAlignment="1" applyProtection="1">
      <alignment horizontal="center"/>
      <protection locked="0"/>
    </xf>
    <xf numFmtId="0" fontId="17" fillId="0" borderId="0" xfId="0" applyFont="1" applyAlignment="1" applyProtection="1">
      <alignment horizontal="right"/>
      <protection hidden="1"/>
    </xf>
    <xf numFmtId="165" fontId="3" fillId="0" borderId="0" xfId="0" applyNumberFormat="1" applyFont="1" applyAlignment="1" applyProtection="1">
      <alignment horizontal="center" vertical="center"/>
      <protection locked="0"/>
    </xf>
    <xf numFmtId="0" fontId="29" fillId="0" borderId="0" xfId="0" applyFont="1" applyAlignment="1" applyProtection="1">
      <alignment horizontal="left" vertical="center" indent="1"/>
      <protection hidden="1"/>
    </xf>
    <xf numFmtId="0" fontId="0" fillId="0" borderId="0" xfId="0" applyAlignment="1">
      <alignment horizontal="left" vertical="center" indent="1"/>
    </xf>
    <xf numFmtId="165" fontId="50" fillId="0" borderId="0" xfId="0" applyNumberFormat="1" applyFont="1" applyAlignment="1" applyProtection="1">
      <alignment horizontal="center" vertical="center"/>
      <protection locked="0"/>
    </xf>
    <xf numFmtId="0" fontId="42" fillId="0" borderId="0" xfId="0" applyFont="1" applyAlignment="1">
      <alignment vertical="top"/>
    </xf>
    <xf numFmtId="0" fontId="6" fillId="0" borderId="0" xfId="0" applyFont="1" applyAlignment="1" applyProtection="1">
      <alignment horizontal="right"/>
      <protection locked="0"/>
    </xf>
    <xf numFmtId="168" fontId="18" fillId="0" borderId="0" xfId="0" applyNumberFormat="1" applyFont="1" applyAlignment="1" applyProtection="1">
      <alignment horizontal="center" vertical="center"/>
      <protection locked="0"/>
    </xf>
    <xf numFmtId="9" fontId="18" fillId="0" borderId="0" xfId="0" applyNumberFormat="1" applyFont="1" applyAlignment="1" applyProtection="1">
      <alignment horizontal="center" vertical="center"/>
      <protection locked="0"/>
    </xf>
    <xf numFmtId="165" fontId="8" fillId="0" borderId="0" xfId="0" applyNumberFormat="1" applyFont="1" applyAlignment="1" applyProtection="1">
      <alignment horizontal="center"/>
      <protection locked="0"/>
    </xf>
    <xf numFmtId="0" fontId="8" fillId="0" borderId="0" xfId="0" applyFont="1" applyAlignment="1" applyProtection="1">
      <alignment horizontal="right"/>
      <protection locked="0"/>
    </xf>
    <xf numFmtId="167" fontId="17" fillId="0" borderId="0" xfId="0" applyNumberFormat="1" applyFont="1" applyAlignment="1" applyProtection="1">
      <alignment horizontal="right"/>
      <protection locked="0"/>
    </xf>
    <xf numFmtId="165" fontId="50" fillId="0" borderId="0" xfId="0" applyNumberFormat="1" applyFont="1" applyAlignment="1" applyProtection="1">
      <alignment horizontal="center"/>
      <protection locked="0"/>
    </xf>
    <xf numFmtId="165" fontId="17" fillId="0" borderId="0" xfId="0" applyNumberFormat="1" applyFont="1" applyAlignment="1" applyProtection="1">
      <alignment horizontal="center"/>
      <protection locked="0"/>
    </xf>
    <xf numFmtId="170" fontId="17" fillId="0" borderId="0" xfId="0" applyNumberFormat="1" applyFont="1" applyAlignment="1" applyProtection="1">
      <alignment horizontal="center"/>
      <protection locked="0"/>
    </xf>
    <xf numFmtId="171" fontId="26" fillId="0" borderId="0" xfId="0" applyNumberFormat="1" applyFont="1" applyAlignment="1" applyProtection="1">
      <alignment horizontal="right" indent="1"/>
      <protection locked="0"/>
    </xf>
    <xf numFmtId="171" fontId="26" fillId="0" borderId="0" xfId="0" applyNumberFormat="1" applyFont="1" applyAlignment="1" applyProtection="1">
      <alignment horizontal="center"/>
      <protection locked="0"/>
    </xf>
    <xf numFmtId="0" fontId="48" fillId="0" borderId="9" xfId="0" applyFont="1" applyBorder="1" applyAlignment="1">
      <alignment vertical="center"/>
    </xf>
    <xf numFmtId="171" fontId="27" fillId="0" borderId="0" xfId="0" applyNumberFormat="1" applyFont="1" applyAlignment="1" applyProtection="1">
      <alignment horizontal="center"/>
      <protection locked="0"/>
    </xf>
    <xf numFmtId="0" fontId="26" fillId="0" borderId="0" xfId="0" applyFont="1" applyAlignment="1" applyProtection="1">
      <alignment horizontal="right" indent="1"/>
      <protection locked="0"/>
    </xf>
    <xf numFmtId="0" fontId="56" fillId="0" borderId="0" xfId="0" applyFont="1" applyAlignment="1" applyProtection="1">
      <alignment horizontal="right" indent="1"/>
      <protection locked="0"/>
    </xf>
    <xf numFmtId="171" fontId="56" fillId="0" borderId="0" xfId="0" applyNumberFormat="1" applyFont="1" applyAlignment="1" applyProtection="1">
      <alignment horizontal="center"/>
      <protection locked="0"/>
    </xf>
    <xf numFmtId="0" fontId="55" fillId="0" borderId="0" xfId="0" applyFont="1" applyAlignment="1">
      <alignment vertical="center" wrapText="1"/>
    </xf>
    <xf numFmtId="171" fontId="56" fillId="0" borderId="0" xfId="0" applyNumberFormat="1" applyFont="1" applyAlignment="1" applyProtection="1">
      <alignment horizontal="right" indent="1"/>
      <protection locked="0"/>
    </xf>
    <xf numFmtId="171" fontId="58" fillId="0" borderId="0" xfId="0" applyNumberFormat="1" applyFont="1" applyAlignment="1" applyProtection="1">
      <alignment horizontal="center"/>
      <protection locked="0"/>
    </xf>
    <xf numFmtId="0" fontId="60" fillId="0" borderId="0" xfId="0" applyFont="1" applyAlignment="1" applyProtection="1">
      <alignment horizontal="right"/>
      <protection locked="0"/>
    </xf>
    <xf numFmtId="171" fontId="63" fillId="0" borderId="0" xfId="0" applyNumberFormat="1" applyFont="1" applyAlignment="1" applyProtection="1">
      <alignment horizontal="right" indent="1"/>
      <protection locked="0"/>
    </xf>
    <xf numFmtId="171" fontId="63" fillId="0" borderId="0" xfId="0" applyNumberFormat="1" applyFont="1" applyAlignment="1" applyProtection="1">
      <alignment horizontal="center"/>
      <protection locked="0"/>
    </xf>
    <xf numFmtId="0" fontId="65" fillId="0" borderId="0" xfId="0" applyFont="1" applyAlignment="1" applyProtection="1">
      <alignment horizontal="right"/>
      <protection locked="0"/>
    </xf>
    <xf numFmtId="165" fontId="33" fillId="0" borderId="0" xfId="0" applyNumberFormat="1" applyFont="1" applyAlignment="1" applyProtection="1">
      <alignment horizontal="center"/>
      <protection locked="0"/>
    </xf>
    <xf numFmtId="0" fontId="33" fillId="0" borderId="0" xfId="0" applyFont="1" applyAlignment="1" applyProtection="1">
      <alignment horizontal="right"/>
      <protection locked="0"/>
    </xf>
    <xf numFmtId="0" fontId="17" fillId="0" borderId="0" xfId="0" applyFont="1" applyProtection="1">
      <protection hidden="1"/>
    </xf>
    <xf numFmtId="0" fontId="4" fillId="0" borderId="0" xfId="0" applyFont="1" applyAlignment="1" applyProtection="1">
      <alignment horizontal="left" indent="1"/>
      <protection locked="0"/>
    </xf>
    <xf numFmtId="171" fontId="4" fillId="0" borderId="0" xfId="0" applyNumberFormat="1" applyFont="1" applyAlignment="1" applyProtection="1">
      <alignment horizontal="center" vertical="center"/>
      <protection locked="0"/>
    </xf>
    <xf numFmtId="171" fontId="4" fillId="0" borderId="0" xfId="0" applyNumberFormat="1" applyFont="1" applyAlignment="1" applyProtection="1">
      <alignment horizontal="center"/>
      <protection locked="0"/>
    </xf>
    <xf numFmtId="0" fontId="3" fillId="0" borderId="0" xfId="0" applyFont="1" applyProtection="1">
      <protection hidden="1"/>
    </xf>
    <xf numFmtId="0" fontId="46" fillId="0" borderId="0" xfId="0" applyFont="1" applyAlignment="1" applyProtection="1">
      <alignment horizontal="left"/>
      <protection hidden="1"/>
    </xf>
    <xf numFmtId="0" fontId="8" fillId="0" borderId="0" xfId="0" applyFont="1" applyAlignment="1" applyProtection="1">
      <alignment horizontal="right"/>
      <protection hidden="1"/>
    </xf>
    <xf numFmtId="3" fontId="8" fillId="0" borderId="0" xfId="0" applyNumberFormat="1" applyFont="1" applyAlignment="1" applyProtection="1">
      <alignment horizontal="right" vertical="center"/>
      <protection hidden="1"/>
    </xf>
    <xf numFmtId="3" fontId="8" fillId="0" borderId="0" xfId="0" applyNumberFormat="1" applyFont="1" applyAlignment="1" applyProtection="1">
      <alignment horizontal="center" vertical="center"/>
      <protection hidden="1"/>
    </xf>
    <xf numFmtId="3" fontId="3" fillId="0" borderId="0" xfId="0" applyNumberFormat="1" applyFont="1" applyAlignment="1" applyProtection="1">
      <alignment horizontal="right" vertical="center"/>
      <protection locked="0"/>
    </xf>
    <xf numFmtId="3" fontId="8" fillId="0" borderId="0" xfId="0" applyNumberFormat="1" applyFont="1" applyAlignment="1" applyProtection="1">
      <alignment vertical="center"/>
      <protection hidden="1"/>
    </xf>
    <xf numFmtId="3" fontId="8" fillId="0" borderId="0" xfId="0" applyNumberFormat="1" applyFont="1" applyAlignment="1" applyProtection="1">
      <alignment horizontal="right" vertical="center"/>
      <protection locked="0"/>
    </xf>
    <xf numFmtId="3" fontId="8" fillId="0" borderId="0" xfId="0" applyNumberFormat="1" applyFont="1" applyAlignment="1" applyProtection="1">
      <alignment horizontal="center" vertical="center"/>
      <protection locked="0"/>
    </xf>
    <xf numFmtId="3" fontId="3" fillId="0" borderId="0" xfId="0" applyNumberFormat="1" applyFont="1" applyAlignment="1" applyProtection="1">
      <alignment horizontal="center" vertical="center"/>
      <protection locked="0"/>
    </xf>
    <xf numFmtId="3" fontId="17" fillId="0" borderId="0" xfId="0" applyNumberFormat="1" applyFont="1" applyAlignment="1" applyProtection="1">
      <alignment horizontal="right" vertical="center"/>
      <protection locked="0"/>
    </xf>
    <xf numFmtId="3" fontId="17" fillId="0" borderId="0" xfId="0" applyNumberFormat="1" applyFont="1" applyAlignment="1" applyProtection="1">
      <alignment horizontal="center" vertical="center"/>
      <protection locked="0"/>
    </xf>
    <xf numFmtId="0" fontId="17" fillId="9" borderId="0" xfId="0" applyFont="1" applyFill="1" applyProtection="1">
      <protection hidden="1"/>
    </xf>
    <xf numFmtId="0" fontId="60" fillId="0" borderId="0" xfId="0" applyFont="1" applyProtection="1">
      <protection hidden="1"/>
    </xf>
    <xf numFmtId="0" fontId="6" fillId="0" borderId="0" xfId="0" applyFont="1" applyProtection="1">
      <protection hidden="1"/>
    </xf>
    <xf numFmtId="0" fontId="65" fillId="0" borderId="0" xfId="0" applyFont="1" applyProtection="1">
      <protection hidden="1"/>
    </xf>
    <xf numFmtId="0" fontId="43" fillId="0" borderId="0" xfId="0" applyFont="1" applyAlignment="1" applyProtection="1">
      <alignment horizontal="right" vertical="center" indent="1"/>
      <protection locked="0"/>
    </xf>
    <xf numFmtId="0" fontId="45" fillId="0" borderId="0" xfId="0" applyFont="1" applyAlignment="1" applyProtection="1">
      <alignment horizontal="right" indent="1"/>
      <protection locked="0"/>
    </xf>
    <xf numFmtId="0" fontId="69" fillId="0" borderId="0" xfId="0" applyFont="1" applyAlignment="1" applyProtection="1">
      <alignment horizontal="right"/>
      <protection locked="0"/>
    </xf>
    <xf numFmtId="0" fontId="0" fillId="0" borderId="0" xfId="0" applyAlignment="1" applyProtection="1">
      <alignment horizontal="left" vertical="center" indent="1"/>
      <protection locked="0"/>
    </xf>
    <xf numFmtId="0" fontId="70" fillId="0" borderId="0" xfId="0" applyFont="1" applyAlignment="1" applyProtection="1">
      <alignment horizontal="center" vertical="center"/>
      <protection locked="0"/>
    </xf>
    <xf numFmtId="167" fontId="73" fillId="0" borderId="0" xfId="0" applyNumberFormat="1" applyFont="1" applyAlignment="1" applyProtection="1">
      <alignment vertical="center"/>
      <protection hidden="1"/>
    </xf>
    <xf numFmtId="0" fontId="26" fillId="0" borderId="0" xfId="0" applyFont="1" applyAlignment="1" applyProtection="1">
      <alignment horizontal="center"/>
      <protection locked="0"/>
    </xf>
    <xf numFmtId="0" fontId="4" fillId="0" borderId="0" xfId="0" applyFont="1" applyAlignment="1" applyProtection="1">
      <alignment horizontal="center"/>
      <protection locked="0"/>
    </xf>
    <xf numFmtId="0" fontId="43" fillId="0" borderId="0" xfId="0" applyFont="1" applyAlignment="1" applyProtection="1">
      <alignment horizontal="center"/>
      <protection locked="0"/>
    </xf>
    <xf numFmtId="0" fontId="74" fillId="0" borderId="0" xfId="0" applyFont="1" applyAlignment="1" applyProtection="1">
      <alignment horizontal="right" indent="2"/>
      <protection locked="0"/>
    </xf>
    <xf numFmtId="0" fontId="3" fillId="0" borderId="0" xfId="0" applyFont="1" applyAlignment="1" applyProtection="1">
      <alignment horizontal="left" indent="1"/>
      <protection locked="0"/>
    </xf>
    <xf numFmtId="0" fontId="3" fillId="0" borderId="0" xfId="0" applyFont="1" applyAlignment="1" applyProtection="1">
      <alignment horizontal="center"/>
      <protection locked="0"/>
    </xf>
    <xf numFmtId="0" fontId="75" fillId="0" borderId="0" xfId="0" applyFont="1" applyAlignment="1" applyProtection="1">
      <alignment horizontal="right"/>
      <protection locked="0"/>
    </xf>
    <xf numFmtId="0" fontId="76" fillId="0" borderId="0" xfId="0" applyFont="1" applyAlignment="1" applyProtection="1">
      <alignment horizontal="center"/>
      <protection hidden="1"/>
    </xf>
    <xf numFmtId="0" fontId="76" fillId="0" borderId="0" xfId="0" applyFont="1" applyAlignment="1" applyProtection="1">
      <alignment horizontal="right"/>
      <protection hidden="1"/>
    </xf>
    <xf numFmtId="3" fontId="76" fillId="0" borderId="0" xfId="0" applyNumberFormat="1" applyFont="1" applyAlignment="1" applyProtection="1">
      <alignment vertical="center"/>
      <protection hidden="1"/>
    </xf>
    <xf numFmtId="0" fontId="77" fillId="0" borderId="0" xfId="0" applyFont="1" applyAlignment="1" applyProtection="1">
      <alignment horizontal="right" vertical="center"/>
      <protection hidden="1"/>
    </xf>
    <xf numFmtId="9" fontId="14" fillId="0" borderId="0" xfId="0" applyNumberFormat="1" applyFont="1" applyAlignment="1" applyProtection="1">
      <alignment horizontal="center" vertical="center"/>
      <protection hidden="1"/>
    </xf>
    <xf numFmtId="0" fontId="78" fillId="0" borderId="0" xfId="0" applyFont="1" applyAlignment="1" applyProtection="1">
      <alignment horizontal="right"/>
      <protection locked="0"/>
    </xf>
    <xf numFmtId="0" fontId="72" fillId="0" borderId="0" xfId="0" applyFont="1" applyAlignment="1" applyProtection="1">
      <alignment horizontal="center" textRotation="90"/>
      <protection hidden="1"/>
    </xf>
    <xf numFmtId="167" fontId="3" fillId="0" borderId="0" xfId="0" applyNumberFormat="1" applyFont="1" applyAlignment="1" applyProtection="1">
      <alignment vertical="center"/>
      <protection locked="0"/>
    </xf>
    <xf numFmtId="167" fontId="4" fillId="0" borderId="0" xfId="0" applyNumberFormat="1" applyFont="1" applyProtection="1">
      <protection locked="0"/>
    </xf>
    <xf numFmtId="0" fontId="1" fillId="0" borderId="0" xfId="0" applyFont="1"/>
    <xf numFmtId="0" fontId="79" fillId="0" borderId="0" xfId="0" applyFont="1" applyAlignment="1" applyProtection="1">
      <alignment horizontal="right" vertical="center"/>
      <protection hidden="1"/>
    </xf>
    <xf numFmtId="0" fontId="28" fillId="0" borderId="53" xfId="0" applyFont="1" applyBorder="1" applyAlignment="1" applyProtection="1">
      <alignment horizontal="left" vertical="center" indent="1"/>
      <protection hidden="1"/>
    </xf>
    <xf numFmtId="0" fontId="29" fillId="14" borderId="53" xfId="0" applyFont="1" applyFill="1" applyBorder="1" applyAlignment="1" applyProtection="1">
      <alignment horizontal="right" vertical="center"/>
      <protection hidden="1"/>
    </xf>
    <xf numFmtId="173" fontId="28" fillId="0" borderId="53" xfId="0" applyNumberFormat="1" applyFont="1" applyBorder="1" applyAlignment="1" applyProtection="1">
      <alignment horizontal="right" vertical="center"/>
      <protection locked="0"/>
    </xf>
    <xf numFmtId="0" fontId="29" fillId="0" borderId="54" xfId="0" applyFont="1" applyBorder="1" applyAlignment="1" applyProtection="1">
      <alignment horizontal="left" vertical="center" indent="1"/>
      <protection hidden="1"/>
    </xf>
    <xf numFmtId="0" fontId="29" fillId="14" borderId="54" xfId="0" applyFont="1" applyFill="1" applyBorder="1" applyAlignment="1" applyProtection="1">
      <alignment horizontal="right" vertical="center"/>
      <protection hidden="1"/>
    </xf>
    <xf numFmtId="173" fontId="28" fillId="0" borderId="54" xfId="0" applyNumberFormat="1" applyFont="1" applyBorder="1" applyAlignment="1" applyProtection="1">
      <alignment horizontal="right" vertical="center"/>
      <protection locked="0"/>
    </xf>
    <xf numFmtId="167" fontId="3" fillId="16" borderId="0" xfId="0" applyNumberFormat="1" applyFont="1" applyFill="1" applyProtection="1">
      <protection locked="0"/>
    </xf>
    <xf numFmtId="0" fontId="82" fillId="0" borderId="0" xfId="0" applyFont="1" applyAlignment="1" applyProtection="1">
      <alignment horizontal="center"/>
      <protection hidden="1"/>
    </xf>
    <xf numFmtId="0" fontId="87" fillId="0" borderId="0" xfId="0" applyFont="1" applyAlignment="1" applyProtection="1">
      <alignment horizontal="center"/>
      <protection hidden="1"/>
    </xf>
    <xf numFmtId="167" fontId="3" fillId="0" borderId="42" xfId="0" applyNumberFormat="1" applyFont="1" applyBorder="1" applyAlignment="1" applyProtection="1">
      <alignment horizontal="right" vertical="center"/>
      <protection locked="0"/>
    </xf>
    <xf numFmtId="167" fontId="3" fillId="0" borderId="82" xfId="0" applyNumberFormat="1" applyFont="1" applyBorder="1" applyAlignment="1" applyProtection="1">
      <alignment horizontal="right" vertical="center"/>
      <protection locked="0"/>
    </xf>
    <xf numFmtId="167" fontId="3" fillId="0" borderId="83" xfId="0" applyNumberFormat="1" applyFont="1" applyBorder="1" applyAlignment="1" applyProtection="1">
      <alignment horizontal="right" vertical="center"/>
      <protection locked="0"/>
    </xf>
    <xf numFmtId="167" fontId="3" fillId="0" borderId="1" xfId="0" applyNumberFormat="1" applyFont="1" applyBorder="1" applyAlignment="1" applyProtection="1">
      <alignment horizontal="right" vertical="center"/>
      <protection locked="0"/>
    </xf>
    <xf numFmtId="167" fontId="3" fillId="0" borderId="50" xfId="0" applyNumberFormat="1" applyFont="1" applyBorder="1" applyAlignment="1" applyProtection="1">
      <alignment horizontal="right" vertical="center"/>
      <protection locked="0"/>
    </xf>
    <xf numFmtId="167" fontId="24" fillId="0" borderId="86" xfId="0" applyNumberFormat="1" applyFont="1" applyBorder="1" applyAlignment="1" applyProtection="1">
      <alignment horizontal="right" vertical="center"/>
      <protection locked="0"/>
    </xf>
    <xf numFmtId="167" fontId="24" fillId="0" borderId="82" xfId="0" applyNumberFormat="1" applyFont="1" applyBorder="1" applyAlignment="1" applyProtection="1">
      <alignment horizontal="right" vertical="center"/>
      <protection locked="0"/>
    </xf>
    <xf numFmtId="167" fontId="24" fillId="0" borderId="1" xfId="0" applyNumberFormat="1" applyFont="1" applyBorder="1" applyAlignment="1" applyProtection="1">
      <alignment horizontal="right" vertical="center"/>
      <protection locked="0"/>
    </xf>
    <xf numFmtId="167" fontId="18" fillId="3" borderId="22" xfId="0" applyNumberFormat="1" applyFont="1" applyFill="1" applyBorder="1" applyAlignment="1" applyProtection="1">
      <alignment vertical="center"/>
      <protection hidden="1"/>
    </xf>
    <xf numFmtId="167" fontId="23" fillId="0" borderId="1" xfId="0" applyNumberFormat="1" applyFont="1" applyBorder="1" applyAlignment="1" applyProtection="1">
      <alignment horizontal="right" vertical="center"/>
      <protection hidden="1"/>
    </xf>
    <xf numFmtId="167" fontId="26" fillId="11" borderId="84" xfId="0" applyNumberFormat="1" applyFont="1" applyFill="1" applyBorder="1" applyAlignment="1" applyProtection="1">
      <alignment vertical="center"/>
      <protection hidden="1"/>
    </xf>
    <xf numFmtId="167" fontId="3" fillId="0" borderId="86" xfId="0" applyNumberFormat="1" applyFont="1" applyBorder="1" applyAlignment="1" applyProtection="1">
      <alignment horizontal="right" vertical="center"/>
      <protection locked="0"/>
    </xf>
    <xf numFmtId="0" fontId="23" fillId="0" borderId="0" xfId="0" applyFont="1" applyAlignment="1" applyProtection="1">
      <alignment horizontal="right" indent="1"/>
      <protection locked="0"/>
    </xf>
    <xf numFmtId="0" fontId="21" fillId="0" borderId="0" xfId="0" applyFont="1" applyAlignment="1" applyProtection="1">
      <alignment horizontal="right" indent="1"/>
      <protection locked="0"/>
    </xf>
    <xf numFmtId="0" fontId="41" fillId="0" borderId="21" xfId="0" applyFont="1" applyBorder="1" applyAlignment="1" applyProtection="1">
      <alignment horizontal="right" vertical="center"/>
      <protection hidden="1"/>
    </xf>
    <xf numFmtId="167" fontId="3" fillId="0" borderId="105" xfId="0" applyNumberFormat="1" applyFont="1" applyBorder="1" applyAlignment="1" applyProtection="1">
      <alignment horizontal="right" vertical="center"/>
      <protection locked="0"/>
    </xf>
    <xf numFmtId="167" fontId="3" fillId="0" borderId="103" xfId="0" applyNumberFormat="1" applyFont="1" applyBorder="1" applyAlignment="1" applyProtection="1">
      <alignment horizontal="right" vertical="center"/>
      <protection locked="0"/>
    </xf>
    <xf numFmtId="0" fontId="36" fillId="0" borderId="0" xfId="0" applyFont="1" applyAlignment="1" applyProtection="1">
      <alignment horizontal="right" vertical="center" indent="1"/>
      <protection locked="0"/>
    </xf>
    <xf numFmtId="167" fontId="18" fillId="13" borderId="85" xfId="0" applyNumberFormat="1" applyFont="1" applyFill="1" applyBorder="1" applyAlignment="1" applyProtection="1">
      <alignment vertical="center"/>
      <protection hidden="1"/>
    </xf>
    <xf numFmtId="167" fontId="18" fillId="6" borderId="85" xfId="0" applyNumberFormat="1" applyFont="1" applyFill="1" applyBorder="1" applyAlignment="1" applyProtection="1">
      <alignment vertical="center"/>
      <protection hidden="1"/>
    </xf>
    <xf numFmtId="167" fontId="3" fillId="0" borderId="42" xfId="0" applyNumberFormat="1" applyFont="1" applyBorder="1" applyAlignment="1" applyProtection="1">
      <alignment horizontal="right" vertical="center"/>
      <protection hidden="1"/>
    </xf>
    <xf numFmtId="165" fontId="50" fillId="0" borderId="65" xfId="0" applyNumberFormat="1" applyFont="1" applyBorder="1" applyAlignment="1" applyProtection="1">
      <alignment horizontal="center" vertical="center"/>
      <protection hidden="1"/>
    </xf>
    <xf numFmtId="167" fontId="3" fillId="0" borderId="100" xfId="0" applyNumberFormat="1" applyFont="1" applyBorder="1" applyAlignment="1" applyProtection="1">
      <alignment horizontal="right" vertical="center"/>
      <protection hidden="1"/>
    </xf>
    <xf numFmtId="165" fontId="50" fillId="0" borderId="101" xfId="0" applyNumberFormat="1" applyFont="1" applyBorder="1" applyAlignment="1" applyProtection="1">
      <alignment horizontal="center" vertical="center"/>
      <protection hidden="1"/>
    </xf>
    <xf numFmtId="167" fontId="3" fillId="0" borderId="83" xfId="0" applyNumberFormat="1" applyFont="1" applyBorder="1" applyAlignment="1" applyProtection="1">
      <alignment horizontal="right" vertical="center"/>
      <protection hidden="1"/>
    </xf>
    <xf numFmtId="165" fontId="50" fillId="0" borderId="95" xfId="0" applyNumberFormat="1" applyFont="1" applyBorder="1" applyAlignment="1" applyProtection="1">
      <alignment horizontal="center" vertical="center"/>
      <protection hidden="1"/>
    </xf>
    <xf numFmtId="0" fontId="31" fillId="8" borderId="23" xfId="0" applyFont="1" applyFill="1" applyBorder="1" applyAlignment="1" applyProtection="1">
      <alignment horizontal="left" vertical="center" indent="1"/>
      <protection hidden="1"/>
    </xf>
    <xf numFmtId="0" fontId="51" fillId="8" borderId="24" xfId="0" applyFont="1" applyFill="1" applyBorder="1" applyAlignment="1">
      <alignment horizontal="right" vertical="top"/>
    </xf>
    <xf numFmtId="167" fontId="31" fillId="7" borderId="23" xfId="0" applyNumberFormat="1" applyFont="1" applyFill="1" applyBorder="1" applyAlignment="1" applyProtection="1">
      <alignment vertical="center"/>
      <protection hidden="1"/>
    </xf>
    <xf numFmtId="165" fontId="31" fillId="7" borderId="98" xfId="0" applyNumberFormat="1" applyFont="1" applyFill="1" applyBorder="1" applyAlignment="1" applyProtection="1">
      <alignment horizontal="center" vertical="center"/>
      <protection hidden="1"/>
    </xf>
    <xf numFmtId="0" fontId="55" fillId="0" borderId="1" xfId="0" applyFont="1" applyBorder="1" applyAlignment="1" applyProtection="1">
      <alignment vertical="center"/>
      <protection hidden="1"/>
    </xf>
    <xf numFmtId="167" fontId="3" fillId="0" borderId="1" xfId="0" applyNumberFormat="1" applyFont="1" applyBorder="1" applyAlignment="1" applyProtection="1">
      <alignment horizontal="right" vertical="center"/>
      <protection hidden="1"/>
    </xf>
    <xf numFmtId="167" fontId="45" fillId="0" borderId="96" xfId="0" applyNumberFormat="1" applyFont="1" applyBorder="1" applyAlignment="1" applyProtection="1">
      <alignment horizontal="right" vertical="center"/>
      <protection hidden="1"/>
    </xf>
    <xf numFmtId="171" fontId="29" fillId="0" borderId="1" xfId="0" applyNumberFormat="1" applyFont="1" applyBorder="1" applyAlignment="1" applyProtection="1">
      <alignment horizontal="center" vertical="center"/>
      <protection locked="0"/>
    </xf>
    <xf numFmtId="171" fontId="23" fillId="0" borderId="96" xfId="0" applyNumberFormat="1" applyFont="1" applyBorder="1" applyAlignment="1" applyProtection="1">
      <alignment horizontal="center" vertical="center"/>
      <protection hidden="1"/>
    </xf>
    <xf numFmtId="167" fontId="55" fillId="0" borderId="103" xfId="0" applyNumberFormat="1" applyFont="1" applyBorder="1" applyAlignment="1" applyProtection="1">
      <alignment horizontal="right" vertical="center"/>
      <protection hidden="1"/>
    </xf>
    <xf numFmtId="167" fontId="57" fillId="0" borderId="107" xfId="0" applyNumberFormat="1" applyFont="1" applyBorder="1" applyAlignment="1" applyProtection="1">
      <alignment horizontal="right" vertical="center"/>
      <protection hidden="1"/>
    </xf>
    <xf numFmtId="171" fontId="55" fillId="0" borderId="84" xfId="0" applyNumberFormat="1" applyFont="1" applyBorder="1" applyAlignment="1" applyProtection="1">
      <alignment horizontal="center" vertical="center"/>
      <protection locked="0"/>
    </xf>
    <xf numFmtId="171" fontId="55" fillId="0" borderId="99" xfId="0" applyNumberFormat="1" applyFont="1" applyBorder="1" applyAlignment="1" applyProtection="1">
      <alignment horizontal="center" vertical="center"/>
      <protection hidden="1"/>
    </xf>
    <xf numFmtId="167" fontId="55" fillId="0" borderId="1" xfId="0" applyNumberFormat="1" applyFont="1" applyBorder="1" applyAlignment="1" applyProtection="1">
      <alignment horizontal="right" vertical="center"/>
      <protection hidden="1"/>
    </xf>
    <xf numFmtId="167" fontId="57" fillId="0" borderId="96" xfId="0" applyNumberFormat="1" applyFont="1" applyBorder="1" applyAlignment="1" applyProtection="1">
      <alignment horizontal="right" vertical="center"/>
      <protection hidden="1"/>
    </xf>
    <xf numFmtId="171" fontId="55" fillId="0" borderId="107" xfId="0" applyNumberFormat="1" applyFont="1" applyBorder="1" applyAlignment="1" applyProtection="1">
      <alignment horizontal="center" vertical="center"/>
      <protection hidden="1"/>
    </xf>
    <xf numFmtId="171" fontId="29" fillId="0" borderId="50" xfId="0" applyNumberFormat="1" applyFont="1" applyBorder="1" applyAlignment="1" applyProtection="1">
      <alignment horizontal="center" vertical="center"/>
      <protection locked="0"/>
    </xf>
    <xf numFmtId="171" fontId="23" fillId="0" borderId="97" xfId="0" applyNumberFormat="1" applyFont="1" applyBorder="1" applyAlignment="1" applyProtection="1">
      <alignment horizontal="center" vertical="center"/>
      <protection hidden="1"/>
    </xf>
    <xf numFmtId="171" fontId="29" fillId="0" borderId="72" xfId="0" applyNumberFormat="1" applyFont="1" applyBorder="1" applyAlignment="1" applyProtection="1">
      <alignment horizontal="center" vertical="center"/>
      <protection locked="0"/>
    </xf>
    <xf numFmtId="171" fontId="23" fillId="0" borderId="114" xfId="0" applyNumberFormat="1" applyFont="1" applyBorder="1" applyAlignment="1" applyProtection="1">
      <alignment horizontal="center" vertical="center"/>
      <protection hidden="1"/>
    </xf>
    <xf numFmtId="171" fontId="29" fillId="0" borderId="49" xfId="0" applyNumberFormat="1" applyFont="1" applyBorder="1" applyAlignment="1" applyProtection="1">
      <alignment horizontal="center" vertical="center"/>
      <protection locked="0"/>
    </xf>
    <xf numFmtId="171" fontId="23" fillId="0" borderId="116" xfId="0" applyNumberFormat="1" applyFont="1" applyBorder="1" applyAlignment="1" applyProtection="1">
      <alignment horizontal="center" vertical="center"/>
      <protection hidden="1"/>
    </xf>
    <xf numFmtId="0" fontId="48" fillId="0" borderId="117" xfId="0" applyFont="1" applyBorder="1" applyAlignment="1">
      <alignment vertical="center"/>
    </xf>
    <xf numFmtId="167" fontId="3" fillId="0" borderId="84" xfId="0" applyNumberFormat="1" applyFont="1" applyBorder="1" applyAlignment="1" applyProtection="1">
      <alignment horizontal="right" vertical="center"/>
      <protection hidden="1"/>
    </xf>
    <xf numFmtId="167" fontId="45" fillId="0" borderId="99" xfId="0" applyNumberFormat="1" applyFont="1" applyBorder="1" applyAlignment="1" applyProtection="1">
      <alignment horizontal="right" vertical="center"/>
      <protection hidden="1"/>
    </xf>
    <xf numFmtId="171" fontId="55" fillId="0" borderId="1" xfId="0" applyNumberFormat="1" applyFont="1" applyBorder="1" applyAlignment="1" applyProtection="1">
      <alignment horizontal="center" vertical="center"/>
      <protection locked="0"/>
    </xf>
    <xf numFmtId="171" fontId="55" fillId="0" borderId="96" xfId="0" applyNumberFormat="1" applyFont="1" applyBorder="1" applyAlignment="1" applyProtection="1">
      <alignment horizontal="center" vertical="center"/>
      <protection hidden="1"/>
    </xf>
    <xf numFmtId="0" fontId="48" fillId="0" borderId="84" xfId="0" applyFont="1" applyBorder="1" applyAlignment="1">
      <alignment vertical="center"/>
    </xf>
    <xf numFmtId="171" fontId="29" fillId="0" borderId="74" xfId="0" applyNumberFormat="1" applyFont="1" applyBorder="1" applyAlignment="1" applyProtection="1">
      <alignment horizontal="center" vertical="center"/>
      <protection locked="0"/>
    </xf>
    <xf numFmtId="171" fontId="23" fillId="0" borderId="119" xfId="0" applyNumberFormat="1" applyFont="1" applyBorder="1" applyAlignment="1" applyProtection="1">
      <alignment horizontal="center" vertical="center"/>
      <protection hidden="1"/>
    </xf>
    <xf numFmtId="171" fontId="29" fillId="0" borderId="84" xfId="0" applyNumberFormat="1" applyFont="1" applyBorder="1" applyAlignment="1" applyProtection="1">
      <alignment horizontal="center" vertical="center"/>
      <protection locked="0"/>
    </xf>
    <xf numFmtId="171" fontId="23" fillId="0" borderId="99" xfId="0" applyNumberFormat="1" applyFont="1" applyBorder="1" applyAlignment="1" applyProtection="1">
      <alignment horizontal="center" vertical="center"/>
      <protection hidden="1"/>
    </xf>
    <xf numFmtId="174" fontId="24" fillId="0" borderId="68" xfId="0" applyNumberFormat="1" applyFont="1" applyBorder="1" applyAlignment="1" applyProtection="1">
      <alignment horizontal="center" vertical="center"/>
      <protection hidden="1"/>
    </xf>
    <xf numFmtId="174" fontId="24" fillId="0" borderId="2" xfId="0" applyNumberFormat="1" applyFont="1" applyBorder="1" applyAlignment="1" applyProtection="1">
      <alignment horizontal="center" vertical="center"/>
      <protection hidden="1"/>
    </xf>
    <xf numFmtId="167" fontId="3" fillId="0" borderId="2" xfId="0" applyNumberFormat="1" applyFont="1" applyBorder="1" applyAlignment="1" applyProtection="1">
      <alignment horizontal="right" vertical="center"/>
      <protection locked="0"/>
    </xf>
    <xf numFmtId="167" fontId="3" fillId="0" borderId="121" xfId="0" applyNumberFormat="1" applyFont="1" applyBorder="1" applyAlignment="1" applyProtection="1">
      <alignment horizontal="right" vertical="center"/>
      <protection locked="0"/>
    </xf>
    <xf numFmtId="167" fontId="3" fillId="0" borderId="120" xfId="0" applyNumberFormat="1" applyFont="1" applyBorder="1" applyAlignment="1" applyProtection="1">
      <alignment horizontal="right" vertical="center"/>
      <protection locked="0"/>
    </xf>
    <xf numFmtId="165" fontId="23" fillId="0" borderId="70" xfId="0" applyNumberFormat="1" applyFont="1" applyBorder="1" applyAlignment="1" applyProtection="1">
      <alignment horizontal="center" vertical="center"/>
      <protection hidden="1"/>
    </xf>
    <xf numFmtId="167" fontId="24" fillId="0" borderId="123" xfId="0" applyNumberFormat="1" applyFont="1" applyBorder="1" applyAlignment="1" applyProtection="1">
      <alignment horizontal="right" vertical="center"/>
      <protection locked="0"/>
    </xf>
    <xf numFmtId="167" fontId="24" fillId="0" borderId="2" xfId="0" applyNumberFormat="1" applyFont="1" applyBorder="1" applyAlignment="1" applyProtection="1">
      <alignment horizontal="right" vertical="center"/>
      <protection locked="0"/>
    </xf>
    <xf numFmtId="165" fontId="18" fillId="3" borderId="124" xfId="0" applyNumberFormat="1" applyFont="1" applyFill="1" applyBorder="1" applyAlignment="1" applyProtection="1">
      <alignment horizontal="center" vertical="center"/>
      <protection hidden="1"/>
    </xf>
    <xf numFmtId="167" fontId="23" fillId="0" borderId="2" xfId="0" applyNumberFormat="1" applyFont="1" applyBorder="1" applyAlignment="1" applyProtection="1">
      <alignment horizontal="right" vertical="center"/>
      <protection locked="0"/>
    </xf>
    <xf numFmtId="165" fontId="22" fillId="11" borderId="125" xfId="0" applyNumberFormat="1" applyFont="1" applyFill="1" applyBorder="1" applyAlignment="1" applyProtection="1">
      <alignment horizontal="center" vertical="center"/>
      <protection hidden="1"/>
    </xf>
    <xf numFmtId="167" fontId="3" fillId="0" borderId="123" xfId="0" applyNumberFormat="1" applyFont="1" applyBorder="1" applyAlignment="1" applyProtection="1">
      <alignment horizontal="right" vertical="center"/>
      <protection locked="0"/>
    </xf>
    <xf numFmtId="167" fontId="3" fillId="0" borderId="126" xfId="0" applyNumberFormat="1" applyFont="1" applyBorder="1" applyAlignment="1" applyProtection="1">
      <alignment horizontal="right" vertical="center"/>
      <protection locked="0"/>
    </xf>
    <xf numFmtId="167" fontId="24" fillId="0" borderId="120" xfId="0" applyNumberFormat="1" applyFont="1" applyBorder="1" applyAlignment="1" applyProtection="1">
      <alignment horizontal="right" vertical="center"/>
      <protection locked="0"/>
    </xf>
    <xf numFmtId="167" fontId="3" fillId="0" borderId="127" xfId="0" applyNumberFormat="1" applyFont="1" applyBorder="1" applyAlignment="1" applyProtection="1">
      <alignment horizontal="right" vertical="center"/>
      <protection locked="0"/>
    </xf>
    <xf numFmtId="165" fontId="18" fillId="6" borderId="122" xfId="0" applyNumberFormat="1" applyFont="1" applyFill="1" applyBorder="1" applyAlignment="1" applyProtection="1">
      <alignment horizontal="center" vertical="center"/>
      <protection hidden="1"/>
    </xf>
    <xf numFmtId="0" fontId="41" fillId="0" borderId="0" xfId="0" applyFont="1" applyAlignment="1" applyProtection="1">
      <alignment horizontal="right" vertical="center"/>
      <protection hidden="1"/>
    </xf>
    <xf numFmtId="0" fontId="31" fillId="8" borderId="20" xfId="0" applyFont="1" applyFill="1" applyBorder="1" applyAlignment="1" applyProtection="1">
      <alignment horizontal="left" vertical="center" indent="1"/>
      <protection hidden="1"/>
    </xf>
    <xf numFmtId="0" fontId="7" fillId="12" borderId="138" xfId="0" applyFont="1" applyFill="1" applyBorder="1" applyAlignment="1" applyProtection="1">
      <alignment horizontal="center" vertical="center"/>
      <protection hidden="1"/>
    </xf>
    <xf numFmtId="0" fontId="7" fillId="10" borderId="139" xfId="0" applyFont="1" applyFill="1" applyBorder="1" applyAlignment="1" applyProtection="1">
      <alignment horizontal="center" vertical="center"/>
      <protection hidden="1"/>
    </xf>
    <xf numFmtId="167" fontId="66" fillId="2" borderId="23" xfId="0" applyNumberFormat="1" applyFont="1" applyFill="1" applyBorder="1" applyAlignment="1" applyProtection="1">
      <alignment horizontal="right" vertical="center"/>
      <protection locked="0"/>
    </xf>
    <xf numFmtId="169" fontId="66" fillId="2" borderId="98" xfId="0" applyNumberFormat="1" applyFont="1" applyFill="1" applyBorder="1" applyAlignment="1" applyProtection="1">
      <alignment horizontal="center" vertical="center"/>
      <protection hidden="1"/>
    </xf>
    <xf numFmtId="0" fontId="21" fillId="0" borderId="1"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62" fillId="0" borderId="21" xfId="0" applyFont="1" applyBorder="1" applyAlignment="1">
      <alignment vertical="center" wrapText="1"/>
    </xf>
    <xf numFmtId="167" fontId="6" fillId="0" borderId="1" xfId="0" applyNumberFormat="1" applyFont="1" applyBorder="1" applyAlignment="1" applyProtection="1">
      <alignment horizontal="right" vertical="center"/>
      <protection hidden="1"/>
    </xf>
    <xf numFmtId="167" fontId="64" fillId="0" borderId="96" xfId="0" applyNumberFormat="1" applyFont="1" applyBorder="1" applyAlignment="1" applyProtection="1">
      <alignment horizontal="right" vertical="center"/>
      <protection hidden="1"/>
    </xf>
    <xf numFmtId="0" fontId="26" fillId="0" borderId="140" xfId="0" applyFont="1" applyBorder="1" applyAlignment="1" applyProtection="1">
      <alignment horizontal="right" indent="1"/>
      <protection locked="0"/>
    </xf>
    <xf numFmtId="171" fontId="26" fillId="0" borderId="140" xfId="0" applyNumberFormat="1" applyFont="1" applyBorder="1" applyAlignment="1" applyProtection="1">
      <alignment horizontal="center"/>
      <protection locked="0"/>
    </xf>
    <xf numFmtId="167" fontId="52" fillId="2" borderId="42" xfId="0" applyNumberFormat="1" applyFont="1" applyFill="1" applyBorder="1" applyAlignment="1" applyProtection="1">
      <alignment horizontal="right" vertical="center"/>
      <protection locked="0"/>
    </xf>
    <xf numFmtId="169" fontId="52" fillId="2" borderId="65" xfId="0" applyNumberFormat="1" applyFont="1" applyFill="1" applyBorder="1" applyAlignment="1" applyProtection="1">
      <alignment horizontal="center" vertical="center"/>
      <protection hidden="1"/>
    </xf>
    <xf numFmtId="167" fontId="54" fillId="2" borderId="23" xfId="0" applyNumberFormat="1" applyFont="1" applyFill="1" applyBorder="1" applyAlignment="1" applyProtection="1">
      <alignment horizontal="right" vertical="center"/>
      <protection locked="0"/>
    </xf>
    <xf numFmtId="169" fontId="53" fillId="2" borderId="98" xfId="0" applyNumberFormat="1" applyFont="1" applyFill="1" applyBorder="1" applyAlignment="1" applyProtection="1">
      <alignment horizontal="center" vertical="center"/>
      <protection hidden="1"/>
    </xf>
    <xf numFmtId="167" fontId="52" fillId="2" borderId="42" xfId="0" quotePrefix="1" applyNumberFormat="1" applyFont="1" applyFill="1" applyBorder="1" applyAlignment="1" applyProtection="1">
      <alignment horizontal="right" vertical="center"/>
      <protection locked="0"/>
    </xf>
    <xf numFmtId="171" fontId="61" fillId="0" borderId="77" xfId="0" applyNumberFormat="1" applyFont="1" applyBorder="1" applyAlignment="1" applyProtection="1">
      <alignment horizontal="center" vertical="center"/>
      <protection locked="0"/>
    </xf>
    <xf numFmtId="171" fontId="23" fillId="0" borderId="142" xfId="0" applyNumberFormat="1" applyFont="1" applyBorder="1" applyAlignment="1" applyProtection="1">
      <alignment horizontal="center" vertical="center"/>
      <protection hidden="1"/>
    </xf>
    <xf numFmtId="167" fontId="4" fillId="2" borderId="84" xfId="0" applyNumberFormat="1" applyFont="1" applyFill="1" applyBorder="1" applyAlignment="1" applyProtection="1">
      <alignment vertical="center"/>
      <protection hidden="1"/>
    </xf>
    <xf numFmtId="9" fontId="13" fillId="2" borderId="125" xfId="0" applyNumberFormat="1" applyFont="1" applyFill="1" applyBorder="1" applyAlignment="1" applyProtection="1">
      <alignment horizontal="center" vertical="center"/>
      <protection hidden="1"/>
    </xf>
    <xf numFmtId="0" fontId="25" fillId="14" borderId="0" xfId="0" applyFont="1" applyFill="1" applyAlignment="1" applyProtection="1">
      <alignment horizontal="right"/>
      <protection locked="0"/>
    </xf>
    <xf numFmtId="0" fontId="93" fillId="14" borderId="0" xfId="0" applyFont="1" applyFill="1" applyAlignment="1" applyProtection="1">
      <alignment horizontal="center" vertical="center"/>
      <protection locked="0"/>
    </xf>
    <xf numFmtId="0" fontId="94" fillId="14" borderId="0" xfId="0" applyFont="1" applyFill="1" applyAlignment="1" applyProtection="1">
      <alignment horizontal="right"/>
      <protection locked="0"/>
    </xf>
    <xf numFmtId="0" fontId="95" fillId="14" borderId="0" xfId="0" applyFont="1" applyFill="1" applyAlignment="1" applyProtection="1">
      <alignment horizontal="right"/>
      <protection locked="0"/>
    </xf>
    <xf numFmtId="0" fontId="3" fillId="14" borderId="0" xfId="0" applyFont="1" applyFill="1" applyAlignment="1" applyProtection="1">
      <alignment horizontal="right"/>
      <protection locked="0"/>
    </xf>
    <xf numFmtId="175" fontId="96" fillId="0" borderId="0" xfId="3" applyAlignment="1">
      <alignment horizontal="left"/>
      <protection locked="0"/>
    </xf>
    <xf numFmtId="175" fontId="96" fillId="0" borderId="0" xfId="3" applyAlignment="1" applyProtection="1">
      <alignment horizontal="left"/>
    </xf>
    <xf numFmtId="0" fontId="97" fillId="14" borderId="0" xfId="0" applyFont="1" applyFill="1" applyAlignment="1" applyProtection="1">
      <alignment horizontal="left" indent="1"/>
      <protection hidden="1"/>
    </xf>
    <xf numFmtId="0" fontId="0" fillId="0" borderId="0" xfId="0" applyAlignment="1">
      <alignment horizontal="left" indent="1"/>
    </xf>
    <xf numFmtId="0" fontId="82" fillId="14" borderId="0" xfId="0" applyFont="1" applyFill="1" applyAlignment="1" applyProtection="1">
      <alignment horizontal="center" vertical="center"/>
      <protection locked="0"/>
    </xf>
    <xf numFmtId="0" fontId="98" fillId="14" borderId="0" xfId="0" applyFont="1" applyFill="1" applyAlignment="1" applyProtection="1">
      <alignment horizontal="right"/>
      <protection locked="0"/>
    </xf>
    <xf numFmtId="0" fontId="10" fillId="0" borderId="1" xfId="0" applyFont="1" applyBorder="1" applyAlignment="1" applyProtection="1">
      <alignment horizontal="left" vertical="center" indent="1"/>
      <protection hidden="1"/>
    </xf>
    <xf numFmtId="9" fontId="8" fillId="14" borderId="0" xfId="0" applyNumberFormat="1" applyFont="1" applyFill="1" applyAlignment="1" applyProtection="1">
      <alignment horizontal="left" vertical="center"/>
      <protection hidden="1"/>
    </xf>
    <xf numFmtId="0" fontId="10" fillId="0" borderId="3" xfId="0" applyFont="1" applyBorder="1" applyAlignment="1" applyProtection="1">
      <alignment horizontal="left" vertical="center" indent="1"/>
      <protection hidden="1"/>
    </xf>
    <xf numFmtId="0" fontId="100" fillId="14" borderId="0" xfId="0" applyFont="1" applyFill="1" applyAlignment="1" applyProtection="1">
      <alignment horizontal="right"/>
      <protection locked="0"/>
    </xf>
    <xf numFmtId="0" fontId="25" fillId="0" borderId="0" xfId="0" applyFont="1" applyAlignment="1" applyProtection="1">
      <alignment horizontal="right"/>
      <protection locked="0"/>
    </xf>
    <xf numFmtId="0" fontId="94" fillId="0" borderId="0" xfId="0" applyFont="1" applyAlignment="1" applyProtection="1">
      <alignment horizontal="right"/>
      <protection locked="0"/>
    </xf>
    <xf numFmtId="0" fontId="95" fillId="0" borderId="0" xfId="0" applyFont="1" applyAlignment="1" applyProtection="1">
      <alignment horizontal="right"/>
      <protection locked="0"/>
    </xf>
    <xf numFmtId="0" fontId="103" fillId="14" borderId="0" xfId="0" applyFont="1" applyFill="1" applyAlignment="1" applyProtection="1">
      <alignment vertical="center"/>
      <protection hidden="1"/>
    </xf>
    <xf numFmtId="9" fontId="76" fillId="14" borderId="0" xfId="0" applyNumberFormat="1" applyFont="1" applyFill="1" applyAlignment="1" applyProtection="1">
      <alignment horizontal="center" vertical="center"/>
      <protection hidden="1"/>
    </xf>
    <xf numFmtId="167" fontId="104" fillId="15" borderId="84" xfId="0" applyNumberFormat="1" applyFont="1" applyFill="1" applyBorder="1" applyAlignment="1" applyProtection="1">
      <alignment vertical="center"/>
      <protection hidden="1"/>
    </xf>
    <xf numFmtId="172" fontId="104" fillId="15" borderId="99" xfId="0" applyNumberFormat="1" applyFont="1" applyFill="1" applyBorder="1" applyAlignment="1" applyProtection="1">
      <alignment horizontal="center" vertical="center"/>
      <protection locked="0"/>
    </xf>
    <xf numFmtId="0" fontId="3" fillId="0" borderId="0" xfId="0" applyFont="1" applyAlignment="1" applyProtection="1">
      <alignment vertical="center"/>
      <protection hidden="1"/>
    </xf>
    <xf numFmtId="165" fontId="12" fillId="0" borderId="0" xfId="0" applyNumberFormat="1" applyFont="1" applyAlignment="1" applyProtection="1">
      <alignment horizontal="center" vertical="center"/>
      <protection hidden="1"/>
    </xf>
    <xf numFmtId="0" fontId="4" fillId="0" borderId="0" xfId="0" applyFont="1" applyAlignment="1" applyProtection="1">
      <alignment vertical="center"/>
      <protection hidden="1"/>
    </xf>
    <xf numFmtId="167" fontId="10" fillId="0" borderId="1" xfId="1" applyNumberFormat="1" applyFont="1" applyBorder="1" applyAlignment="1" applyProtection="1">
      <alignment vertical="center"/>
      <protection hidden="1"/>
    </xf>
    <xf numFmtId="165" fontId="12" fillId="0" borderId="4" xfId="1" applyNumberFormat="1" applyFont="1" applyBorder="1" applyAlignment="1" applyProtection="1">
      <alignment horizontal="center" vertical="center"/>
      <protection hidden="1"/>
    </xf>
    <xf numFmtId="165" fontId="12" fillId="0" borderId="2" xfId="1" applyNumberFormat="1" applyFont="1" applyBorder="1" applyAlignment="1" applyProtection="1">
      <alignment horizontal="center" vertical="center"/>
      <protection hidden="1"/>
    </xf>
    <xf numFmtId="165" fontId="106" fillId="0" borderId="68" xfId="1" applyNumberFormat="1" applyFont="1" applyBorder="1" applyAlignment="1" applyProtection="1">
      <alignment horizontal="center" vertical="center"/>
      <protection hidden="1"/>
    </xf>
    <xf numFmtId="167" fontId="3" fillId="0" borderId="0" xfId="0" applyNumberFormat="1" applyFont="1" applyAlignment="1" applyProtection="1">
      <alignment vertical="center"/>
      <protection hidden="1"/>
    </xf>
    <xf numFmtId="0" fontId="3" fillId="0" borderId="0" xfId="0" applyFont="1" applyAlignment="1" applyProtection="1">
      <alignment horizontal="left" vertical="center"/>
      <protection hidden="1"/>
    </xf>
    <xf numFmtId="167" fontId="84" fillId="17" borderId="42" xfId="1" applyNumberFormat="1" applyFont="1" applyFill="1" applyBorder="1" applyAlignment="1" applyProtection="1">
      <alignment horizontal="right" vertical="center"/>
      <protection hidden="1"/>
    </xf>
    <xf numFmtId="165" fontId="7" fillId="17" borderId="68" xfId="1" applyNumberFormat="1" applyFont="1" applyFill="1" applyBorder="1" applyAlignment="1" applyProtection="1">
      <alignment horizontal="center" vertical="center"/>
      <protection hidden="1"/>
    </xf>
    <xf numFmtId="167" fontId="84" fillId="17" borderId="38" xfId="1" applyNumberFormat="1" applyFont="1" applyFill="1" applyBorder="1" applyAlignment="1" applyProtection="1">
      <alignment horizontal="right" vertical="center"/>
      <protection hidden="1"/>
    </xf>
    <xf numFmtId="167" fontId="84" fillId="15" borderId="23" xfId="1" applyNumberFormat="1" applyFont="1" applyFill="1" applyBorder="1" applyAlignment="1" applyProtection="1">
      <alignment horizontal="right" vertical="center"/>
      <protection hidden="1"/>
    </xf>
    <xf numFmtId="165" fontId="7" fillId="15" borderId="52" xfId="1" applyNumberFormat="1" applyFont="1" applyFill="1" applyBorder="1" applyAlignment="1" applyProtection="1">
      <alignment horizontal="center" vertical="center"/>
      <protection hidden="1"/>
    </xf>
    <xf numFmtId="0" fontId="11" fillId="3" borderId="7" xfId="0" applyFont="1" applyFill="1" applyBorder="1" applyAlignment="1" applyProtection="1">
      <alignment horizontal="left" indent="1"/>
      <protection locked="0"/>
    </xf>
    <xf numFmtId="0" fontId="9" fillId="0" borderId="0" xfId="0" applyFont="1" applyAlignment="1">
      <alignment vertical="center"/>
    </xf>
    <xf numFmtId="167" fontId="110" fillId="2" borderId="42" xfId="0" applyNumberFormat="1" applyFont="1" applyFill="1" applyBorder="1" applyAlignment="1" applyProtection="1">
      <alignment horizontal="right" vertical="center"/>
      <protection locked="0"/>
    </xf>
    <xf numFmtId="0" fontId="3" fillId="0" borderId="0" xfId="0" applyFont="1" applyAlignment="1">
      <alignment horizontal="left"/>
    </xf>
    <xf numFmtId="169" fontId="110" fillId="2" borderId="155" xfId="0" applyNumberFormat="1" applyFont="1" applyFill="1" applyBorder="1" applyAlignment="1" applyProtection="1">
      <alignment horizontal="center" vertical="center"/>
      <protection hidden="1"/>
    </xf>
    <xf numFmtId="167" fontId="110" fillId="2" borderId="117" xfId="0" applyNumberFormat="1" applyFont="1" applyFill="1" applyBorder="1" applyAlignment="1" applyProtection="1">
      <alignment vertical="center"/>
      <protection locked="0"/>
    </xf>
    <xf numFmtId="167" fontId="4" fillId="15" borderId="154" xfId="0" applyNumberFormat="1" applyFont="1" applyFill="1" applyBorder="1" applyAlignment="1" applyProtection="1">
      <alignment vertical="center"/>
      <protection locked="0"/>
    </xf>
    <xf numFmtId="165" fontId="3" fillId="0" borderId="0" xfId="0" applyNumberFormat="1" applyFont="1" applyAlignment="1">
      <alignment horizontal="center" vertical="center"/>
    </xf>
    <xf numFmtId="166" fontId="91" fillId="15" borderId="154" xfId="0" applyNumberFormat="1" applyFont="1" applyFill="1" applyBorder="1" applyAlignment="1" applyProtection="1">
      <alignment horizontal="center" vertical="center"/>
      <protection locked="0"/>
    </xf>
    <xf numFmtId="0" fontId="84" fillId="15" borderId="134" xfId="0" applyFont="1" applyFill="1" applyBorder="1" applyAlignment="1" applyProtection="1">
      <alignment vertical="center"/>
      <protection hidden="1"/>
    </xf>
    <xf numFmtId="0" fontId="84" fillId="15" borderId="104" xfId="0" applyFont="1" applyFill="1" applyBorder="1" applyAlignment="1" applyProtection="1">
      <alignment horizontal="right" vertical="center" indent="1"/>
      <protection hidden="1"/>
    </xf>
    <xf numFmtId="165" fontId="26" fillId="0" borderId="0" xfId="0" applyNumberFormat="1" applyFont="1" applyAlignment="1" applyProtection="1">
      <alignment horizontal="center"/>
      <protection locked="0"/>
    </xf>
    <xf numFmtId="165" fontId="26" fillId="0" borderId="0" xfId="0" applyNumberFormat="1" applyFont="1" applyAlignment="1" applyProtection="1">
      <alignment horizontal="center" vertical="top"/>
      <protection locked="0"/>
    </xf>
    <xf numFmtId="167" fontId="4" fillId="15" borderId="103" xfId="0" applyNumberFormat="1" applyFont="1" applyFill="1" applyBorder="1" applyProtection="1">
      <protection hidden="1"/>
    </xf>
    <xf numFmtId="9" fontId="13" fillId="15" borderId="127" xfId="0" applyNumberFormat="1" applyFont="1" applyFill="1" applyBorder="1" applyAlignment="1" applyProtection="1">
      <alignment horizontal="center"/>
      <protection hidden="1"/>
    </xf>
    <xf numFmtId="0" fontId="84" fillId="15" borderId="140" xfId="0" applyFont="1" applyFill="1" applyBorder="1" applyAlignment="1" applyProtection="1">
      <alignment horizontal="left" vertical="center" indent="1"/>
      <protection hidden="1"/>
    </xf>
    <xf numFmtId="0" fontId="111" fillId="15" borderId="78" xfId="0" applyFont="1" applyFill="1" applyBorder="1" applyAlignment="1" applyProtection="1">
      <alignment horizontal="right" vertical="center" indent="1"/>
      <protection hidden="1"/>
    </xf>
    <xf numFmtId="9" fontId="13" fillId="15" borderId="79" xfId="0" applyNumberFormat="1" applyFont="1" applyFill="1" applyBorder="1" applyAlignment="1" applyProtection="1">
      <alignment horizontal="center" vertical="top"/>
      <protection hidden="1"/>
    </xf>
    <xf numFmtId="165" fontId="106" fillId="15" borderId="77" xfId="0" applyNumberFormat="1" applyFont="1" applyFill="1" applyBorder="1" applyAlignment="1" applyProtection="1">
      <alignment horizontal="center" vertical="top"/>
      <protection hidden="1"/>
    </xf>
    <xf numFmtId="0" fontId="3" fillId="0" borderId="0" xfId="0" applyFont="1" applyAlignment="1">
      <alignment horizontal="center" vertical="center"/>
    </xf>
    <xf numFmtId="0" fontId="113" fillId="0" borderId="0" xfId="0" applyFont="1" applyAlignment="1" applyProtection="1">
      <alignment horizontal="center" vertical="center"/>
      <protection hidden="1"/>
    </xf>
    <xf numFmtId="0" fontId="15" fillId="9" borderId="0" xfId="0" applyFont="1" applyFill="1" applyAlignment="1" applyProtection="1">
      <alignment vertical="center"/>
      <protection hidden="1"/>
    </xf>
    <xf numFmtId="0" fontId="8" fillId="0" borderId="0" xfId="0" applyFont="1" applyAlignment="1">
      <alignment vertical="center"/>
    </xf>
    <xf numFmtId="167" fontId="76" fillId="0" borderId="0" xfId="0" applyNumberFormat="1" applyFont="1" applyAlignment="1" applyProtection="1">
      <alignment vertical="center"/>
      <protection hidden="1"/>
    </xf>
    <xf numFmtId="0" fontId="76" fillId="0" borderId="0" xfId="0" applyFont="1" applyAlignment="1" applyProtection="1">
      <alignment horizontal="center" vertical="center"/>
      <protection hidden="1"/>
    </xf>
    <xf numFmtId="0" fontId="8" fillId="0" borderId="0" xfId="0" applyFont="1" applyAlignment="1">
      <alignment horizontal="center" vertical="center"/>
    </xf>
    <xf numFmtId="0" fontId="37" fillId="0" borderId="0" xfId="0" applyFont="1" applyAlignment="1" applyProtection="1">
      <alignment horizontal="left" vertical="center"/>
      <protection locked="0"/>
    </xf>
    <xf numFmtId="1" fontId="37" fillId="0" borderId="0" xfId="0" applyNumberFormat="1" applyFont="1" applyAlignment="1" applyProtection="1">
      <alignment horizontal="left" vertical="center"/>
      <protection locked="0"/>
    </xf>
    <xf numFmtId="180" fontId="84" fillId="0" borderId="0" xfId="0" applyNumberFormat="1" applyFont="1" applyAlignment="1" applyProtection="1">
      <alignment vertical="center"/>
      <protection hidden="1"/>
    </xf>
    <xf numFmtId="0" fontId="10" fillId="0" borderId="0" xfId="0" applyFont="1" applyAlignment="1" applyProtection="1">
      <alignment horizontal="left" vertical="center" indent="1"/>
      <protection hidden="1"/>
    </xf>
    <xf numFmtId="0" fontId="48" fillId="0" borderId="0" xfId="0" applyFont="1" applyAlignment="1">
      <alignment vertical="center"/>
    </xf>
    <xf numFmtId="0" fontId="48" fillId="0" borderId="10" xfId="0" applyFont="1" applyBorder="1" applyAlignment="1">
      <alignment vertical="center"/>
    </xf>
    <xf numFmtId="171" fontId="29" fillId="0" borderId="59" xfId="0" applyNumberFormat="1" applyFont="1" applyBorder="1" applyAlignment="1" applyProtection="1">
      <alignment horizontal="center" vertical="center"/>
      <protection locked="0"/>
    </xf>
    <xf numFmtId="167" fontId="3" fillId="0" borderId="96" xfId="0" applyNumberFormat="1" applyFont="1" applyBorder="1" applyAlignment="1" applyProtection="1">
      <alignment horizontal="right" vertical="center"/>
      <protection hidden="1"/>
    </xf>
    <xf numFmtId="171" fontId="29" fillId="0" borderId="119" xfId="0" applyNumberFormat="1" applyFont="1" applyBorder="1" applyAlignment="1" applyProtection="1">
      <alignment horizontal="center" vertical="center"/>
      <protection locked="0"/>
    </xf>
    <xf numFmtId="167" fontId="3" fillId="0" borderId="99" xfId="0" applyNumberFormat="1" applyFont="1" applyBorder="1" applyAlignment="1" applyProtection="1">
      <alignment horizontal="right" vertical="center"/>
      <protection hidden="1"/>
    </xf>
    <xf numFmtId="171" fontId="29" fillId="0" borderId="97" xfId="0" applyNumberFormat="1" applyFont="1" applyBorder="1" applyAlignment="1" applyProtection="1">
      <alignment horizontal="center" vertical="center"/>
      <protection locked="0"/>
    </xf>
    <xf numFmtId="171" fontId="29" fillId="0" borderId="116" xfId="0" applyNumberFormat="1" applyFont="1" applyBorder="1" applyAlignment="1" applyProtection="1">
      <alignment horizontal="center" vertical="center"/>
      <protection locked="0"/>
    </xf>
    <xf numFmtId="171" fontId="29" fillId="0" borderId="99" xfId="0" applyNumberFormat="1" applyFont="1" applyBorder="1" applyAlignment="1" applyProtection="1">
      <alignment horizontal="center" vertical="center"/>
      <protection locked="0"/>
    </xf>
    <xf numFmtId="171" fontId="29" fillId="0" borderId="96" xfId="0" applyNumberFormat="1" applyFont="1" applyBorder="1" applyAlignment="1" applyProtection="1">
      <alignment horizontal="center" vertical="center"/>
      <protection locked="0"/>
    </xf>
    <xf numFmtId="171" fontId="55" fillId="0" borderId="96" xfId="0" applyNumberFormat="1" applyFont="1" applyBorder="1" applyAlignment="1" applyProtection="1">
      <alignment horizontal="center" vertical="center"/>
      <protection locked="0"/>
    </xf>
    <xf numFmtId="167" fontId="55" fillId="0" borderId="107" xfId="0" applyNumberFormat="1" applyFont="1" applyBorder="1" applyAlignment="1" applyProtection="1">
      <alignment horizontal="right" vertical="center"/>
      <protection hidden="1"/>
    </xf>
    <xf numFmtId="171" fontId="55" fillId="0" borderId="99" xfId="0" applyNumberFormat="1" applyFont="1" applyBorder="1" applyAlignment="1" applyProtection="1">
      <alignment horizontal="center" vertical="center"/>
      <protection locked="0"/>
    </xf>
    <xf numFmtId="167" fontId="55" fillId="0" borderId="96" xfId="0" applyNumberFormat="1" applyFont="1" applyBorder="1" applyAlignment="1" applyProtection="1">
      <alignment horizontal="right" vertical="center"/>
      <protection hidden="1"/>
    </xf>
    <xf numFmtId="0" fontId="59" fillId="0" borderId="77" xfId="0" applyFont="1" applyBorder="1" applyAlignment="1" applyProtection="1">
      <alignment vertical="center"/>
      <protection hidden="1"/>
    </xf>
    <xf numFmtId="0" fontId="59" fillId="0" borderId="163" xfId="0" applyFont="1" applyBorder="1" applyAlignment="1">
      <alignment vertical="center" wrapText="1"/>
    </xf>
    <xf numFmtId="0" fontId="59" fillId="0" borderId="78" xfId="0" applyFont="1" applyBorder="1" applyAlignment="1">
      <alignment vertical="center" wrapText="1"/>
    </xf>
    <xf numFmtId="167" fontId="3" fillId="0" borderId="77" xfId="0" applyNumberFormat="1" applyFont="1" applyBorder="1" applyAlignment="1" applyProtection="1">
      <alignment horizontal="right" vertical="center"/>
      <protection hidden="1"/>
    </xf>
    <xf numFmtId="171" fontId="55" fillId="0" borderId="98" xfId="0" applyNumberFormat="1" applyFont="1" applyBorder="1" applyAlignment="1" applyProtection="1">
      <alignment horizontal="center" vertical="center"/>
      <protection locked="0"/>
    </xf>
    <xf numFmtId="167" fontId="45" fillId="0" borderId="142" xfId="0" applyNumberFormat="1" applyFont="1" applyBorder="1" applyAlignment="1" applyProtection="1">
      <alignment horizontal="right" vertical="center"/>
      <protection hidden="1"/>
    </xf>
    <xf numFmtId="171" fontId="55" fillId="0" borderId="23" xfId="0" applyNumberFormat="1" applyFont="1" applyBorder="1" applyAlignment="1" applyProtection="1">
      <alignment horizontal="center" vertical="center"/>
      <protection locked="0"/>
    </xf>
    <xf numFmtId="171" fontId="55" fillId="0" borderId="98" xfId="0" applyNumberFormat="1" applyFont="1" applyBorder="1" applyAlignment="1" applyProtection="1">
      <alignment horizontal="center" vertical="center"/>
      <protection hidden="1"/>
    </xf>
    <xf numFmtId="0" fontId="76" fillId="0" borderId="0" xfId="0" applyFont="1" applyAlignment="1">
      <alignment horizontal="center" vertical="center"/>
    </xf>
    <xf numFmtId="0" fontId="76" fillId="0" borderId="0" xfId="0" applyFont="1" applyAlignment="1" applyProtection="1">
      <alignment vertical="center"/>
      <protection hidden="1"/>
    </xf>
    <xf numFmtId="0" fontId="12" fillId="0" borderId="0" xfId="0" applyFont="1" applyAlignment="1">
      <alignment horizontal="center" vertical="center"/>
    </xf>
    <xf numFmtId="0" fontId="29" fillId="20" borderId="170" xfId="0" applyFont="1" applyFill="1" applyBorder="1" applyAlignment="1" applyProtection="1">
      <alignment horizontal="center" vertical="center"/>
      <protection hidden="1"/>
    </xf>
    <xf numFmtId="0" fontId="10" fillId="20" borderId="2" xfId="0" applyFont="1" applyFill="1" applyBorder="1" applyAlignment="1" applyProtection="1">
      <alignment horizontal="center" vertical="center"/>
      <protection hidden="1"/>
    </xf>
    <xf numFmtId="9" fontId="12" fillId="20" borderId="172" xfId="0" applyNumberFormat="1" applyFont="1" applyFill="1" applyBorder="1" applyAlignment="1" applyProtection="1">
      <alignment horizontal="center" vertical="center"/>
      <protection locked="0"/>
    </xf>
    <xf numFmtId="9" fontId="12" fillId="20" borderId="76" xfId="0" applyNumberFormat="1" applyFont="1" applyFill="1" applyBorder="1" applyAlignment="1" applyProtection="1">
      <alignment horizontal="center" vertical="center"/>
      <protection hidden="1"/>
    </xf>
    <xf numFmtId="9" fontId="12" fillId="0" borderId="0" xfId="0" applyNumberFormat="1" applyFont="1" applyAlignment="1" applyProtection="1">
      <alignment horizontal="center" vertical="center"/>
      <protection hidden="1"/>
    </xf>
    <xf numFmtId="167" fontId="3" fillId="0" borderId="168" xfId="0" applyNumberFormat="1" applyFont="1" applyBorder="1" applyAlignment="1" applyProtection="1">
      <alignment vertical="center"/>
      <protection locked="0"/>
    </xf>
    <xf numFmtId="167" fontId="3" fillId="0" borderId="148" xfId="0" applyNumberFormat="1" applyFont="1" applyBorder="1" applyAlignment="1" applyProtection="1">
      <alignment vertical="center"/>
      <protection locked="0"/>
    </xf>
    <xf numFmtId="167" fontId="3" fillId="0" borderId="173" xfId="0" applyNumberFormat="1" applyFont="1" applyBorder="1" applyAlignment="1" applyProtection="1">
      <alignment vertical="center"/>
      <protection locked="0"/>
    </xf>
    <xf numFmtId="167" fontId="3" fillId="0" borderId="147" xfId="0" applyNumberFormat="1" applyFont="1" applyBorder="1" applyAlignment="1" applyProtection="1">
      <alignment vertical="center"/>
      <protection hidden="1"/>
    </xf>
    <xf numFmtId="167" fontId="3" fillId="0" borderId="9" xfId="0" applyNumberFormat="1" applyFont="1" applyBorder="1" applyAlignment="1" applyProtection="1">
      <alignment vertical="center"/>
      <protection hidden="1"/>
    </xf>
    <xf numFmtId="167" fontId="3" fillId="2" borderId="173" xfId="0" applyNumberFormat="1" applyFont="1" applyFill="1" applyBorder="1" applyAlignment="1" applyProtection="1">
      <alignment vertical="center"/>
      <protection hidden="1"/>
    </xf>
    <xf numFmtId="167" fontId="3" fillId="2" borderId="0" xfId="0" applyNumberFormat="1" applyFont="1" applyFill="1" applyAlignment="1" applyProtection="1">
      <alignment vertical="center"/>
      <protection hidden="1"/>
    </xf>
    <xf numFmtId="167" fontId="3" fillId="18" borderId="96" xfId="0" applyNumberFormat="1" applyFont="1" applyFill="1" applyBorder="1" applyAlignment="1" applyProtection="1">
      <alignment vertical="center"/>
      <protection hidden="1"/>
    </xf>
    <xf numFmtId="167" fontId="12" fillId="0" borderId="0" xfId="0" applyNumberFormat="1" applyFont="1" applyAlignment="1" applyProtection="1">
      <alignment horizontal="center" vertical="center"/>
      <protection hidden="1"/>
    </xf>
    <xf numFmtId="167" fontId="3" fillId="0" borderId="174" xfId="0" applyNumberFormat="1" applyFont="1" applyBorder="1" applyAlignment="1" applyProtection="1">
      <alignment vertical="center"/>
      <protection locked="0"/>
    </xf>
    <xf numFmtId="167" fontId="3" fillId="0" borderId="175" xfId="0" applyNumberFormat="1" applyFont="1" applyBorder="1" applyAlignment="1" applyProtection="1">
      <alignment vertical="center"/>
      <protection locked="0"/>
    </xf>
    <xf numFmtId="167" fontId="3" fillId="0" borderId="176" xfId="0" applyNumberFormat="1" applyFont="1" applyBorder="1" applyAlignment="1" applyProtection="1">
      <alignment vertical="center"/>
      <protection locked="0"/>
    </xf>
    <xf numFmtId="167" fontId="3" fillId="0" borderId="33" xfId="0" applyNumberFormat="1" applyFont="1" applyBorder="1" applyAlignment="1" applyProtection="1">
      <alignment vertical="center"/>
      <protection hidden="1"/>
    </xf>
    <xf numFmtId="167" fontId="3" fillId="0" borderId="177" xfId="0" applyNumberFormat="1" applyFont="1" applyBorder="1" applyAlignment="1" applyProtection="1">
      <alignment vertical="center"/>
      <protection hidden="1"/>
    </xf>
    <xf numFmtId="167" fontId="3" fillId="0" borderId="27" xfId="0" applyNumberFormat="1" applyFont="1" applyBorder="1" applyAlignment="1" applyProtection="1">
      <alignment vertical="center"/>
      <protection hidden="1"/>
    </xf>
    <xf numFmtId="167" fontId="3" fillId="0" borderId="176" xfId="0" applyNumberFormat="1" applyFont="1" applyBorder="1" applyAlignment="1" applyProtection="1">
      <alignment vertical="center"/>
      <protection hidden="1"/>
    </xf>
    <xf numFmtId="167" fontId="3" fillId="2" borderId="176" xfId="0" applyNumberFormat="1" applyFont="1" applyFill="1" applyBorder="1" applyAlignment="1" applyProtection="1">
      <alignment vertical="center"/>
      <protection hidden="1"/>
    </xf>
    <xf numFmtId="167" fontId="3" fillId="2" borderId="27" xfId="0" applyNumberFormat="1" applyFont="1" applyFill="1" applyBorder="1" applyAlignment="1" applyProtection="1">
      <alignment vertical="center"/>
      <protection hidden="1"/>
    </xf>
    <xf numFmtId="167" fontId="3" fillId="18" borderId="60" xfId="0" applyNumberFormat="1" applyFont="1" applyFill="1" applyBorder="1" applyAlignment="1" applyProtection="1">
      <alignment vertical="center"/>
      <protection hidden="1"/>
    </xf>
    <xf numFmtId="167" fontId="3" fillId="16" borderId="174" xfId="0" applyNumberFormat="1" applyFont="1" applyFill="1" applyBorder="1" applyAlignment="1" applyProtection="1">
      <alignment vertical="center"/>
      <protection locked="0"/>
    </xf>
    <xf numFmtId="167" fontId="3" fillId="0" borderId="173" xfId="0" applyNumberFormat="1" applyFont="1" applyBorder="1" applyAlignment="1" applyProtection="1">
      <alignment vertical="center"/>
      <protection hidden="1"/>
    </xf>
    <xf numFmtId="0" fontId="84" fillId="18" borderId="23" xfId="0" applyFont="1" applyFill="1" applyBorder="1" applyAlignment="1" applyProtection="1">
      <alignment horizontal="right" vertical="center" indent="1"/>
      <protection hidden="1"/>
    </xf>
    <xf numFmtId="167" fontId="4" fillId="18" borderId="178" xfId="0" applyNumberFormat="1" applyFont="1" applyFill="1" applyBorder="1" applyAlignment="1" applyProtection="1">
      <alignment vertical="center"/>
      <protection hidden="1"/>
    </xf>
    <xf numFmtId="167" fontId="3" fillId="18" borderId="20" xfId="0" applyNumberFormat="1" applyFont="1" applyFill="1" applyBorder="1" applyAlignment="1" applyProtection="1">
      <alignment vertical="center"/>
      <protection hidden="1"/>
    </xf>
    <xf numFmtId="167" fontId="3" fillId="18" borderId="179" xfId="0" applyNumberFormat="1" applyFont="1" applyFill="1" applyBorder="1" applyAlignment="1" applyProtection="1">
      <alignment vertical="center"/>
      <protection hidden="1"/>
    </xf>
    <xf numFmtId="167" fontId="3" fillId="18" borderId="180" xfId="0" applyNumberFormat="1" applyFont="1" applyFill="1" applyBorder="1" applyAlignment="1" applyProtection="1">
      <alignment vertical="center"/>
      <protection hidden="1"/>
    </xf>
    <xf numFmtId="0" fontId="3" fillId="2" borderId="176" xfId="0" applyFont="1" applyFill="1" applyBorder="1" applyAlignment="1" applyProtection="1">
      <alignment vertical="center"/>
      <protection hidden="1"/>
    </xf>
    <xf numFmtId="0" fontId="3" fillId="2" borderId="181" xfId="0" applyFont="1" applyFill="1" applyBorder="1" applyAlignment="1" applyProtection="1">
      <alignment vertical="center"/>
      <protection hidden="1"/>
    </xf>
    <xf numFmtId="167" fontId="3" fillId="2" borderId="181" xfId="0" applyNumberFormat="1" applyFont="1" applyFill="1" applyBorder="1" applyAlignment="1" applyProtection="1">
      <alignment vertical="center"/>
      <protection hidden="1"/>
    </xf>
    <xf numFmtId="167" fontId="3" fillId="0" borderId="161" xfId="0" applyNumberFormat="1" applyFont="1" applyBorder="1" applyAlignment="1" applyProtection="1">
      <alignment vertical="center"/>
      <protection hidden="1"/>
    </xf>
    <xf numFmtId="167" fontId="3" fillId="18" borderId="119" xfId="0" applyNumberFormat="1" applyFont="1" applyFill="1" applyBorder="1" applyAlignment="1" applyProtection="1">
      <alignment vertical="center"/>
      <protection hidden="1"/>
    </xf>
    <xf numFmtId="167" fontId="3" fillId="18" borderId="15" xfId="0" applyNumberFormat="1" applyFont="1" applyFill="1" applyBorder="1" applyAlignment="1" applyProtection="1">
      <alignment vertical="center"/>
      <protection hidden="1"/>
    </xf>
    <xf numFmtId="167" fontId="3" fillId="18" borderId="141" xfId="0" applyNumberFormat="1" applyFont="1" applyFill="1" applyBorder="1" applyAlignment="1" applyProtection="1">
      <alignment vertical="center"/>
      <protection hidden="1"/>
    </xf>
    <xf numFmtId="167" fontId="4" fillId="18" borderId="153" xfId="0" applyNumberFormat="1" applyFont="1" applyFill="1" applyBorder="1" applyAlignment="1" applyProtection="1">
      <alignment vertical="center"/>
      <protection hidden="1"/>
    </xf>
    <xf numFmtId="167" fontId="3" fillId="0" borderId="168" xfId="0" applyNumberFormat="1" applyFont="1" applyBorder="1" applyAlignment="1" applyProtection="1">
      <alignment vertical="center"/>
      <protection hidden="1"/>
    </xf>
    <xf numFmtId="167" fontId="3" fillId="0" borderId="147" xfId="0" applyNumberFormat="1" applyFont="1" applyBorder="1" applyAlignment="1" applyProtection="1">
      <alignment vertical="center"/>
      <protection locked="0"/>
    </xf>
    <xf numFmtId="167" fontId="3" fillId="0" borderId="174" xfId="0" applyNumberFormat="1" applyFont="1" applyBorder="1" applyAlignment="1" applyProtection="1">
      <alignment vertical="center"/>
      <protection hidden="1"/>
    </xf>
    <xf numFmtId="167" fontId="3" fillId="0" borderId="33" xfId="0" applyNumberFormat="1" applyFont="1" applyBorder="1" applyAlignment="1" applyProtection="1">
      <alignment vertical="center"/>
      <protection locked="0"/>
    </xf>
    <xf numFmtId="167" fontId="3" fillId="0" borderId="185" xfId="0" applyNumberFormat="1" applyFont="1" applyBorder="1" applyAlignment="1" applyProtection="1">
      <alignment vertical="center"/>
      <protection hidden="1"/>
    </xf>
    <xf numFmtId="0" fontId="3" fillId="2" borderId="173" xfId="0" applyFont="1" applyFill="1" applyBorder="1" applyAlignment="1" applyProtection="1">
      <alignment vertical="center"/>
      <protection hidden="1"/>
    </xf>
    <xf numFmtId="167" fontId="3" fillId="18" borderId="116" xfId="0" applyNumberFormat="1" applyFont="1" applyFill="1" applyBorder="1" applyAlignment="1" applyProtection="1">
      <alignment vertical="center"/>
      <protection hidden="1"/>
    </xf>
    <xf numFmtId="167" fontId="4" fillId="18" borderId="98" xfId="0" applyNumberFormat="1" applyFont="1" applyFill="1" applyBorder="1" applyAlignment="1" applyProtection="1">
      <alignment vertical="center"/>
      <protection hidden="1"/>
    </xf>
    <xf numFmtId="0" fontId="0" fillId="0" borderId="0" xfId="0" applyProtection="1">
      <protection hidden="1"/>
    </xf>
    <xf numFmtId="0" fontId="115" fillId="0" borderId="0" xfId="0" applyFont="1" applyAlignment="1" applyProtection="1">
      <alignment horizontal="center" vertical="center"/>
      <protection hidden="1"/>
    </xf>
    <xf numFmtId="167" fontId="3" fillId="0" borderId="183" xfId="0" applyNumberFormat="1" applyFont="1" applyBorder="1" applyAlignment="1" applyProtection="1">
      <alignment vertical="center"/>
      <protection hidden="1"/>
    </xf>
    <xf numFmtId="167" fontId="115" fillId="0" borderId="0" xfId="0" applyNumberFormat="1" applyFont="1" applyAlignment="1" applyProtection="1">
      <alignment horizontal="center" vertical="center"/>
      <protection hidden="1"/>
    </xf>
    <xf numFmtId="167" fontId="3" fillId="0" borderId="177" xfId="0" applyNumberFormat="1" applyFont="1" applyBorder="1" applyAlignment="1" applyProtection="1">
      <alignment vertical="center"/>
      <protection locked="0"/>
    </xf>
    <xf numFmtId="167" fontId="3" fillId="0" borderId="156" xfId="0" applyNumberFormat="1" applyFont="1" applyBorder="1" applyAlignment="1" applyProtection="1">
      <alignment vertical="center"/>
      <protection locked="0"/>
    </xf>
    <xf numFmtId="167" fontId="3" fillId="18" borderId="36" xfId="0" applyNumberFormat="1" applyFont="1" applyFill="1" applyBorder="1" applyAlignment="1" applyProtection="1">
      <alignment vertical="center"/>
      <protection hidden="1"/>
    </xf>
    <xf numFmtId="167" fontId="3" fillId="0" borderId="9" xfId="0" applyNumberFormat="1" applyFont="1" applyBorder="1" applyAlignment="1" applyProtection="1">
      <alignment vertical="center"/>
      <protection locked="0"/>
    </xf>
    <xf numFmtId="167" fontId="3" fillId="0" borderId="183" xfId="0" applyNumberFormat="1" applyFont="1" applyBorder="1" applyAlignment="1" applyProtection="1">
      <alignment vertical="center"/>
      <protection locked="0"/>
    </xf>
    <xf numFmtId="0" fontId="10" fillId="2" borderId="3" xfId="0" applyFont="1" applyFill="1" applyBorder="1" applyAlignment="1" applyProtection="1">
      <alignment horizontal="left" vertical="center" indent="1"/>
      <protection hidden="1"/>
    </xf>
    <xf numFmtId="167" fontId="117" fillId="0" borderId="176" xfId="0" applyNumberFormat="1" applyFont="1" applyBorder="1" applyAlignment="1" applyProtection="1">
      <alignment vertical="center"/>
      <protection hidden="1"/>
    </xf>
    <xf numFmtId="167" fontId="10" fillId="2" borderId="184" xfId="0" applyNumberFormat="1" applyFont="1" applyFill="1" applyBorder="1" applyAlignment="1" applyProtection="1">
      <alignment vertical="center"/>
      <protection hidden="1"/>
    </xf>
    <xf numFmtId="167" fontId="10" fillId="2" borderId="163" xfId="0" applyNumberFormat="1" applyFont="1" applyFill="1" applyBorder="1" applyAlignment="1" applyProtection="1">
      <alignment vertical="center"/>
      <protection hidden="1"/>
    </xf>
    <xf numFmtId="167" fontId="10" fillId="2" borderId="142" xfId="0" applyNumberFormat="1" applyFont="1" applyFill="1" applyBorder="1" applyAlignment="1" applyProtection="1">
      <alignment vertical="center"/>
      <protection hidden="1"/>
    </xf>
    <xf numFmtId="3" fontId="3" fillId="0" borderId="0" xfId="0" applyNumberFormat="1" applyFont="1" applyAlignment="1" applyProtection="1">
      <alignment vertical="center"/>
      <protection hidden="1"/>
    </xf>
    <xf numFmtId="167" fontId="119" fillId="0" borderId="183" xfId="0" applyNumberFormat="1" applyFont="1" applyBorder="1" applyAlignment="1" applyProtection="1">
      <alignment vertical="center"/>
      <protection hidden="1"/>
    </xf>
    <xf numFmtId="167" fontId="119" fillId="0" borderId="9" xfId="0" applyNumberFormat="1" applyFont="1" applyBorder="1" applyAlignment="1" applyProtection="1">
      <alignment vertical="center"/>
      <protection hidden="1"/>
    </xf>
    <xf numFmtId="167" fontId="119" fillId="0" borderId="96" xfId="0" applyNumberFormat="1" applyFont="1" applyBorder="1" applyAlignment="1" applyProtection="1">
      <alignment vertical="center"/>
      <protection hidden="1"/>
    </xf>
    <xf numFmtId="3" fontId="120" fillId="0" borderId="0" xfId="0" applyNumberFormat="1" applyFont="1" applyAlignment="1" applyProtection="1">
      <alignment vertical="center"/>
      <protection hidden="1"/>
    </xf>
    <xf numFmtId="167" fontId="119" fillId="0" borderId="156" xfId="0" applyNumberFormat="1" applyFont="1" applyBorder="1" applyAlignment="1" applyProtection="1">
      <alignment vertical="center"/>
      <protection locked="0"/>
    </xf>
    <xf numFmtId="167" fontId="119" fillId="0" borderId="177" xfId="0" applyNumberFormat="1" applyFont="1" applyBorder="1" applyAlignment="1" applyProtection="1">
      <alignment vertical="center"/>
      <protection locked="0"/>
    </xf>
    <xf numFmtId="167" fontId="119" fillId="0" borderId="60" xfId="0" applyNumberFormat="1" applyFont="1" applyBorder="1" applyAlignment="1" applyProtection="1">
      <alignment vertical="center"/>
      <protection locked="0"/>
    </xf>
    <xf numFmtId="167" fontId="119" fillId="0" borderId="183" xfId="0" applyNumberFormat="1" applyFont="1" applyBorder="1" applyAlignment="1" applyProtection="1">
      <alignment vertical="center"/>
      <protection locked="0"/>
    </xf>
    <xf numFmtId="167" fontId="119" fillId="0" borderId="9" xfId="0" applyNumberFormat="1" applyFont="1" applyBorder="1" applyAlignment="1" applyProtection="1">
      <alignment vertical="center"/>
      <protection locked="0"/>
    </xf>
    <xf numFmtId="167" fontId="119" fillId="0" borderId="96" xfId="0" applyNumberFormat="1" applyFont="1" applyBorder="1" applyAlignment="1" applyProtection="1">
      <alignment vertical="center"/>
      <protection locked="0"/>
    </xf>
    <xf numFmtId="0" fontId="120" fillId="0" borderId="0" xfId="0" applyFont="1" applyAlignment="1" applyProtection="1">
      <alignment vertical="center"/>
      <protection hidden="1"/>
    </xf>
    <xf numFmtId="167" fontId="120" fillId="0" borderId="156" xfId="0" applyNumberFormat="1" applyFont="1" applyBorder="1" applyAlignment="1" applyProtection="1">
      <alignment vertical="center"/>
      <protection locked="0"/>
    </xf>
    <xf numFmtId="167" fontId="120" fillId="0" borderId="177" xfId="0" applyNumberFormat="1" applyFont="1" applyBorder="1" applyAlignment="1" applyProtection="1">
      <alignment vertical="center"/>
      <protection locked="0"/>
    </xf>
    <xf numFmtId="167" fontId="120" fillId="0" borderId="60" xfId="0" applyNumberFormat="1" applyFont="1" applyBorder="1" applyAlignment="1" applyProtection="1">
      <alignment vertical="center"/>
      <protection locked="0"/>
    </xf>
    <xf numFmtId="167" fontId="120" fillId="0" borderId="183" xfId="0" applyNumberFormat="1" applyFont="1" applyBorder="1" applyAlignment="1" applyProtection="1">
      <alignment vertical="center"/>
      <protection locked="0"/>
    </xf>
    <xf numFmtId="167" fontId="120" fillId="0" borderId="9" xfId="0" applyNumberFormat="1" applyFont="1" applyBorder="1" applyAlignment="1" applyProtection="1">
      <alignment vertical="center"/>
      <protection locked="0"/>
    </xf>
    <xf numFmtId="167" fontId="120" fillId="0" borderId="96" xfId="0" applyNumberFormat="1" applyFont="1" applyBorder="1" applyAlignment="1" applyProtection="1">
      <alignment vertical="center"/>
      <protection locked="0"/>
    </xf>
    <xf numFmtId="167" fontId="84" fillId="22" borderId="186" xfId="0" applyNumberFormat="1" applyFont="1" applyFill="1" applyBorder="1" applyAlignment="1" applyProtection="1">
      <alignment vertical="center"/>
      <protection hidden="1"/>
    </xf>
    <xf numFmtId="0" fontId="8" fillId="0" borderId="0" xfId="0" applyFont="1" applyAlignment="1" applyProtection="1">
      <alignment vertical="center"/>
      <protection hidden="1"/>
    </xf>
    <xf numFmtId="167" fontId="119" fillId="0" borderId="192" xfId="0" applyNumberFormat="1" applyFont="1" applyBorder="1" applyAlignment="1" applyProtection="1">
      <alignment vertical="center"/>
      <protection hidden="1"/>
    </xf>
    <xf numFmtId="167" fontId="119" fillId="0" borderId="185" xfId="0" applyNumberFormat="1" applyFont="1" applyBorder="1" applyAlignment="1" applyProtection="1">
      <alignment vertical="center"/>
      <protection locked="0"/>
    </xf>
    <xf numFmtId="167" fontId="119" fillId="0" borderId="192" xfId="0" applyNumberFormat="1" applyFont="1" applyBorder="1" applyAlignment="1" applyProtection="1">
      <alignment vertical="center"/>
      <protection locked="0"/>
    </xf>
    <xf numFmtId="167" fontId="120" fillId="0" borderId="185" xfId="0" applyNumberFormat="1" applyFont="1" applyBorder="1" applyAlignment="1" applyProtection="1">
      <alignment vertical="center"/>
      <protection locked="0"/>
    </xf>
    <xf numFmtId="167" fontId="120" fillId="0" borderId="185" xfId="0" applyNumberFormat="1" applyFont="1" applyBorder="1" applyAlignment="1" applyProtection="1">
      <alignment vertical="center"/>
      <protection hidden="1"/>
    </xf>
    <xf numFmtId="167" fontId="120" fillId="0" borderId="192" xfId="0" applyNumberFormat="1" applyFont="1" applyBorder="1" applyAlignment="1" applyProtection="1">
      <alignment vertical="center"/>
      <protection locked="0"/>
    </xf>
    <xf numFmtId="3" fontId="119" fillId="0" borderId="192" xfId="0" applyNumberFormat="1" applyFont="1" applyBorder="1" applyAlignment="1" applyProtection="1">
      <alignment horizontal="left" vertical="center" indent="1"/>
      <protection hidden="1"/>
    </xf>
    <xf numFmtId="3" fontId="119" fillId="0" borderId="185" xfId="0" applyNumberFormat="1" applyFont="1" applyBorder="1" applyAlignment="1" applyProtection="1">
      <alignment horizontal="left" vertical="center" indent="1"/>
      <protection hidden="1"/>
    </xf>
    <xf numFmtId="3" fontId="119" fillId="0" borderId="195" xfId="0" applyNumberFormat="1" applyFont="1" applyBorder="1" applyAlignment="1" applyProtection="1">
      <alignment horizontal="left" vertical="center" indent="1"/>
      <protection hidden="1"/>
    </xf>
    <xf numFmtId="0" fontId="119" fillId="0" borderId="185" xfId="0" applyFont="1" applyBorder="1" applyAlignment="1" applyProtection="1">
      <alignment horizontal="left" vertical="center" indent="1"/>
      <protection hidden="1"/>
    </xf>
    <xf numFmtId="0" fontId="120" fillId="0" borderId="185" xfId="0" applyFont="1" applyBorder="1" applyAlignment="1" applyProtection="1">
      <alignment horizontal="left" vertical="center" indent="1"/>
      <protection hidden="1"/>
    </xf>
    <xf numFmtId="0" fontId="120" fillId="0" borderId="185" xfId="0" applyFont="1" applyBorder="1" applyAlignment="1" applyProtection="1">
      <alignment horizontal="left" vertical="center" indent="1"/>
      <protection locked="0"/>
    </xf>
    <xf numFmtId="0" fontId="120" fillId="0" borderId="192" xfId="0" applyFont="1" applyBorder="1" applyAlignment="1" applyProtection="1">
      <alignment horizontal="left" vertical="center" indent="1"/>
      <protection locked="0"/>
    </xf>
    <xf numFmtId="3" fontId="10" fillId="0" borderId="194" xfId="0" applyNumberFormat="1" applyFont="1" applyBorder="1" applyAlignment="1" applyProtection="1">
      <alignment horizontal="left" vertical="center" indent="1"/>
      <protection hidden="1"/>
    </xf>
    <xf numFmtId="3" fontId="10" fillId="0" borderId="185" xfId="0" applyNumberFormat="1" applyFont="1" applyBorder="1" applyAlignment="1" applyProtection="1">
      <alignment horizontal="left" vertical="center" indent="1"/>
      <protection hidden="1"/>
    </xf>
    <xf numFmtId="3" fontId="10" fillId="0" borderId="195" xfId="0" applyNumberFormat="1" applyFont="1" applyBorder="1" applyAlignment="1" applyProtection="1">
      <alignment horizontal="left" vertical="center" indent="1"/>
      <protection hidden="1"/>
    </xf>
    <xf numFmtId="0" fontId="10" fillId="0" borderId="185" xfId="0" applyFont="1" applyBorder="1" applyAlignment="1" applyProtection="1">
      <alignment horizontal="left" vertical="center" indent="1"/>
      <protection hidden="1"/>
    </xf>
    <xf numFmtId="167" fontId="10" fillId="0" borderId="192" xfId="0" applyNumberFormat="1" applyFont="1" applyBorder="1" applyAlignment="1" applyProtection="1">
      <alignment vertical="center"/>
      <protection hidden="1"/>
    </xf>
    <xf numFmtId="167" fontId="10" fillId="0" borderId="183" xfId="0" applyNumberFormat="1" applyFont="1" applyBorder="1" applyAlignment="1" applyProtection="1">
      <alignment vertical="center"/>
      <protection hidden="1"/>
    </xf>
    <xf numFmtId="167" fontId="10" fillId="0" borderId="9" xfId="0" applyNumberFormat="1" applyFont="1" applyBorder="1" applyAlignment="1" applyProtection="1">
      <alignment vertical="center"/>
      <protection hidden="1"/>
    </xf>
    <xf numFmtId="167" fontId="10" fillId="0" borderId="96" xfId="0" applyNumberFormat="1" applyFont="1" applyBorder="1" applyAlignment="1" applyProtection="1">
      <alignment vertical="center"/>
      <protection hidden="1"/>
    </xf>
    <xf numFmtId="167" fontId="19" fillId="0" borderId="0" xfId="0" applyNumberFormat="1" applyFont="1" applyAlignment="1" applyProtection="1">
      <alignment horizontal="center" vertical="center"/>
      <protection hidden="1"/>
    </xf>
    <xf numFmtId="3" fontId="10" fillId="0" borderId="0" xfId="0" applyNumberFormat="1" applyFont="1" applyAlignment="1" applyProtection="1">
      <alignment vertical="center"/>
      <protection hidden="1"/>
    </xf>
    <xf numFmtId="167" fontId="10" fillId="0" borderId="185" xfId="0" applyNumberFormat="1" applyFont="1" applyBorder="1" applyAlignment="1" applyProtection="1">
      <alignment vertical="center"/>
      <protection locked="0"/>
    </xf>
    <xf numFmtId="167" fontId="10" fillId="0" borderId="156" xfId="0" applyNumberFormat="1" applyFont="1" applyBorder="1" applyAlignment="1" applyProtection="1">
      <alignment vertical="center"/>
      <protection locked="0"/>
    </xf>
    <xf numFmtId="167" fontId="10" fillId="0" borderId="177" xfId="0" applyNumberFormat="1" applyFont="1" applyBorder="1" applyAlignment="1" applyProtection="1">
      <alignment vertical="center"/>
      <protection locked="0"/>
    </xf>
    <xf numFmtId="167" fontId="10" fillId="0" borderId="60" xfId="0" applyNumberFormat="1" applyFont="1" applyBorder="1" applyAlignment="1" applyProtection="1">
      <alignment vertical="center"/>
      <protection locked="0"/>
    </xf>
    <xf numFmtId="167" fontId="10" fillId="0" borderId="192" xfId="0" applyNumberFormat="1" applyFont="1" applyBorder="1" applyAlignment="1" applyProtection="1">
      <alignment vertical="center"/>
      <protection locked="0"/>
    </xf>
    <xf numFmtId="167" fontId="10" fillId="0" borderId="183" xfId="0" applyNumberFormat="1" applyFont="1" applyBorder="1" applyAlignment="1" applyProtection="1">
      <alignment vertical="center"/>
      <protection locked="0"/>
    </xf>
    <xf numFmtId="167" fontId="10" fillId="0" borderId="9" xfId="0" applyNumberFormat="1" applyFont="1" applyBorder="1" applyAlignment="1" applyProtection="1">
      <alignment vertical="center"/>
      <protection locked="0"/>
    </xf>
    <xf numFmtId="167" fontId="10" fillId="0" borderId="96" xfId="0" applyNumberFormat="1" applyFont="1" applyBorder="1" applyAlignment="1" applyProtection="1">
      <alignment vertical="center"/>
      <protection locked="0"/>
    </xf>
    <xf numFmtId="167" fontId="10" fillId="0" borderId="185" xfId="0" applyNumberFormat="1" applyFont="1" applyBorder="1" applyAlignment="1" applyProtection="1">
      <alignment vertical="center"/>
      <protection hidden="1"/>
    </xf>
    <xf numFmtId="0" fontId="10" fillId="0" borderId="0" xfId="0" applyFont="1" applyAlignment="1" applyProtection="1">
      <alignment vertical="center"/>
      <protection hidden="1"/>
    </xf>
    <xf numFmtId="0" fontId="10" fillId="0" borderId="185" xfId="0" applyFont="1" applyBorder="1" applyAlignment="1" applyProtection="1">
      <alignment horizontal="left" vertical="center" indent="1"/>
      <protection locked="0"/>
    </xf>
    <xf numFmtId="0" fontId="10" fillId="0" borderId="192" xfId="0" applyFont="1" applyBorder="1" applyAlignment="1" applyProtection="1">
      <alignment horizontal="left" vertical="center" indent="1"/>
      <protection locked="0"/>
    </xf>
    <xf numFmtId="167" fontId="3" fillId="0" borderId="0" xfId="0" applyNumberFormat="1" applyFont="1" applyProtection="1">
      <protection hidden="1"/>
    </xf>
    <xf numFmtId="0" fontId="10" fillId="0" borderId="48" xfId="0" applyFont="1" applyBorder="1" applyAlignment="1" applyProtection="1">
      <alignment horizontal="left" vertical="center" indent="1"/>
      <protection hidden="1"/>
    </xf>
    <xf numFmtId="167" fontId="117" fillId="0" borderId="197" xfId="0" applyNumberFormat="1" applyFont="1" applyBorder="1" applyAlignment="1" applyProtection="1">
      <alignment vertical="center"/>
      <protection hidden="1"/>
    </xf>
    <xf numFmtId="167" fontId="10" fillId="2" borderId="176" xfId="0" applyNumberFormat="1" applyFont="1" applyFill="1" applyBorder="1" applyAlignment="1" applyProtection="1">
      <alignment vertical="center"/>
      <protection locked="0"/>
    </xf>
    <xf numFmtId="167" fontId="3" fillId="0" borderId="27" xfId="0" applyNumberFormat="1" applyFont="1" applyBorder="1" applyAlignment="1" applyProtection="1">
      <alignment vertical="center"/>
      <protection locked="0"/>
    </xf>
    <xf numFmtId="167" fontId="3" fillId="18" borderId="35" xfId="0" applyNumberFormat="1" applyFont="1" applyFill="1" applyBorder="1" applyAlignment="1" applyProtection="1">
      <alignment vertical="center"/>
      <protection hidden="1"/>
    </xf>
    <xf numFmtId="167" fontId="3" fillId="18" borderId="199" xfId="0" applyNumberFormat="1" applyFont="1" applyFill="1" applyBorder="1" applyAlignment="1" applyProtection="1">
      <alignment vertical="center"/>
      <protection hidden="1"/>
    </xf>
    <xf numFmtId="0" fontId="116" fillId="12" borderId="200" xfId="0" applyFont="1" applyFill="1" applyBorder="1" applyAlignment="1" applyProtection="1">
      <alignment horizontal="center" vertical="center"/>
      <protection hidden="1"/>
    </xf>
    <xf numFmtId="167" fontId="117" fillId="0" borderId="202" xfId="0" applyNumberFormat="1" applyFont="1" applyBorder="1" applyAlignment="1" applyProtection="1">
      <alignment vertical="center"/>
      <protection hidden="1"/>
    </xf>
    <xf numFmtId="167" fontId="10" fillId="2" borderId="33" xfId="0" applyNumberFormat="1" applyFont="1" applyFill="1" applyBorder="1" applyAlignment="1" applyProtection="1">
      <alignment vertical="center"/>
      <protection locked="0"/>
    </xf>
    <xf numFmtId="167" fontId="117" fillId="0" borderId="33" xfId="0" applyNumberFormat="1" applyFont="1" applyBorder="1" applyAlignment="1" applyProtection="1">
      <alignment vertical="center"/>
      <protection hidden="1"/>
    </xf>
    <xf numFmtId="0" fontId="115" fillId="0" borderId="64" xfId="0" applyFont="1" applyBorder="1" applyAlignment="1" applyProtection="1">
      <alignment horizontal="center" vertical="center"/>
      <protection hidden="1"/>
    </xf>
    <xf numFmtId="167" fontId="19" fillId="2" borderId="36" xfId="0" applyNumberFormat="1" applyFont="1" applyFill="1" applyBorder="1" applyAlignment="1" applyProtection="1">
      <alignment horizontal="right" vertical="center"/>
      <protection hidden="1"/>
    </xf>
    <xf numFmtId="167" fontId="19" fillId="0" borderId="36" xfId="0" applyNumberFormat="1" applyFont="1" applyBorder="1" applyAlignment="1" applyProtection="1">
      <alignment horizontal="right" vertical="center"/>
      <protection hidden="1"/>
    </xf>
    <xf numFmtId="0" fontId="115" fillId="0" borderId="36" xfId="0" applyFont="1" applyBorder="1" applyAlignment="1" applyProtection="1">
      <alignment horizontal="center" vertical="center"/>
      <protection hidden="1"/>
    </xf>
    <xf numFmtId="167" fontId="10" fillId="0" borderId="176" xfId="0" applyNumberFormat="1" applyFont="1" applyBorder="1" applyAlignment="1" applyProtection="1">
      <alignment vertical="center"/>
      <protection hidden="1"/>
    </xf>
    <xf numFmtId="167" fontId="10" fillId="0" borderId="33" xfId="0" applyNumberFormat="1" applyFont="1" applyBorder="1" applyAlignment="1" applyProtection="1">
      <alignment vertical="center"/>
      <protection hidden="1"/>
    </xf>
    <xf numFmtId="167" fontId="3" fillId="0" borderId="0" xfId="0" applyNumberFormat="1" applyFont="1"/>
    <xf numFmtId="167" fontId="115" fillId="0" borderId="0" xfId="0" applyNumberFormat="1" applyFont="1" applyAlignment="1" applyProtection="1">
      <alignment horizontal="right" vertical="center"/>
      <protection hidden="1"/>
    </xf>
    <xf numFmtId="0" fontId="3" fillId="0" borderId="0" xfId="0" applyFont="1" applyProtection="1">
      <protection locked="0"/>
    </xf>
    <xf numFmtId="167" fontId="115" fillId="0" borderId="0" xfId="0" applyNumberFormat="1" applyFont="1" applyAlignment="1" applyProtection="1">
      <alignment horizontal="center" vertical="center"/>
      <protection locked="0"/>
    </xf>
    <xf numFmtId="0" fontId="0" fillId="0" borderId="0" xfId="0" applyProtection="1">
      <protection locked="0"/>
    </xf>
    <xf numFmtId="0" fontId="115" fillId="0" borderId="0" xfId="0" applyFont="1" applyAlignment="1" applyProtection="1">
      <alignment horizontal="center" vertical="center"/>
      <protection locked="0"/>
    </xf>
    <xf numFmtId="167" fontId="121" fillId="2" borderId="149" xfId="0" applyNumberFormat="1" applyFont="1" applyFill="1" applyBorder="1" applyAlignment="1" applyProtection="1">
      <alignment vertical="center"/>
      <protection hidden="1"/>
    </xf>
    <xf numFmtId="167" fontId="121" fillId="2" borderId="186" xfId="0" applyNumberFormat="1" applyFont="1" applyFill="1" applyBorder="1" applyAlignment="1" applyProtection="1">
      <alignment vertical="center"/>
      <protection hidden="1"/>
    </xf>
    <xf numFmtId="167" fontId="121" fillId="2" borderId="180" xfId="0" applyNumberFormat="1" applyFont="1" applyFill="1" applyBorder="1" applyAlignment="1" applyProtection="1">
      <alignment vertical="center"/>
      <protection hidden="1"/>
    </xf>
    <xf numFmtId="167" fontId="121" fillId="2" borderId="98" xfId="0" applyNumberFormat="1" applyFont="1" applyFill="1" applyBorder="1" applyAlignment="1" applyProtection="1">
      <alignment vertical="center"/>
      <protection hidden="1"/>
    </xf>
    <xf numFmtId="3" fontId="94" fillId="0" borderId="0" xfId="0" applyNumberFormat="1" applyFont="1" applyAlignment="1" applyProtection="1">
      <alignment vertical="center"/>
      <protection hidden="1"/>
    </xf>
    <xf numFmtId="0" fontId="94" fillId="0" borderId="0" xfId="0" applyFont="1" applyAlignment="1" applyProtection="1">
      <alignment vertical="center"/>
      <protection hidden="1"/>
    </xf>
    <xf numFmtId="167" fontId="122" fillId="2" borderId="190" xfId="0" applyNumberFormat="1" applyFont="1" applyFill="1" applyBorder="1" applyAlignment="1" applyProtection="1">
      <alignment vertical="center"/>
      <protection hidden="1"/>
    </xf>
    <xf numFmtId="167" fontId="122" fillId="2" borderId="154" xfId="0" applyNumberFormat="1" applyFont="1" applyFill="1" applyBorder="1" applyAlignment="1" applyProtection="1">
      <alignment vertical="center"/>
      <protection hidden="1"/>
    </xf>
    <xf numFmtId="167" fontId="122" fillId="2" borderId="99" xfId="0" applyNumberFormat="1" applyFont="1" applyFill="1" applyBorder="1" applyAlignment="1" applyProtection="1">
      <alignment vertical="center"/>
      <protection hidden="1"/>
    </xf>
    <xf numFmtId="3" fontId="122" fillId="0" borderId="0" xfId="0" applyNumberFormat="1" applyFont="1" applyAlignment="1" applyProtection="1">
      <alignment vertical="center"/>
      <protection hidden="1"/>
    </xf>
    <xf numFmtId="0" fontId="122" fillId="0" borderId="0" xfId="0" applyFont="1" applyAlignment="1" applyProtection="1">
      <alignment vertical="center"/>
      <protection hidden="1"/>
    </xf>
    <xf numFmtId="0" fontId="29" fillId="20" borderId="204" xfId="0" applyFont="1" applyFill="1" applyBorder="1" applyAlignment="1" applyProtection="1">
      <alignment horizontal="center" vertical="center"/>
      <protection hidden="1"/>
    </xf>
    <xf numFmtId="9" fontId="12" fillId="20" borderId="37" xfId="0" applyNumberFormat="1" applyFont="1" applyFill="1" applyBorder="1" applyAlignment="1" applyProtection="1">
      <alignment horizontal="center" vertical="center"/>
      <protection locked="0"/>
    </xf>
    <xf numFmtId="167" fontId="3" fillId="0" borderId="1" xfId="0" applyNumberFormat="1" applyFont="1" applyBorder="1" applyAlignment="1" applyProtection="1">
      <alignment vertical="center"/>
      <protection hidden="1"/>
    </xf>
    <xf numFmtId="167" fontId="3" fillId="0" borderId="3" xfId="0" applyNumberFormat="1" applyFont="1" applyBorder="1" applyAlignment="1" applyProtection="1">
      <alignment vertical="center"/>
      <protection hidden="1"/>
    </xf>
    <xf numFmtId="167" fontId="3" fillId="2" borderId="3" xfId="0" applyNumberFormat="1" applyFont="1" applyFill="1" applyBorder="1" applyAlignment="1" applyProtection="1">
      <alignment vertical="center"/>
      <protection hidden="1"/>
    </xf>
    <xf numFmtId="0" fontId="3" fillId="2" borderId="3" xfId="0" applyFont="1" applyFill="1" applyBorder="1" applyAlignment="1" applyProtection="1">
      <alignment vertical="center"/>
      <protection hidden="1"/>
    </xf>
    <xf numFmtId="0" fontId="3" fillId="2" borderId="74" xfId="0" applyFont="1" applyFill="1" applyBorder="1" applyAlignment="1" applyProtection="1">
      <alignment vertical="center"/>
      <protection hidden="1"/>
    </xf>
    <xf numFmtId="167" fontId="3" fillId="18" borderId="22" xfId="0" applyNumberFormat="1" applyFont="1" applyFill="1" applyBorder="1" applyAlignment="1" applyProtection="1">
      <alignment vertical="center"/>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167" fontId="4" fillId="0" borderId="0" xfId="0" applyNumberFormat="1" applyFont="1" applyAlignment="1" applyProtection="1">
      <alignment vertical="center"/>
      <protection hidden="1"/>
    </xf>
    <xf numFmtId="0" fontId="3" fillId="0" borderId="19" xfId="0" applyFont="1" applyBorder="1" applyAlignment="1">
      <alignment vertical="center"/>
    </xf>
    <xf numFmtId="167" fontId="3" fillId="2" borderId="6" xfId="0" applyNumberFormat="1" applyFont="1" applyFill="1" applyBorder="1" applyAlignment="1" applyProtection="1">
      <alignment vertical="center"/>
      <protection hidden="1"/>
    </xf>
    <xf numFmtId="0" fontId="3" fillId="2" borderId="6" xfId="0" applyFont="1" applyFill="1" applyBorder="1" applyAlignment="1" applyProtection="1">
      <alignment vertical="center"/>
      <protection hidden="1"/>
    </xf>
    <xf numFmtId="0" fontId="3" fillId="2" borderId="5" xfId="0" applyFont="1" applyFill="1" applyBorder="1" applyAlignment="1" applyProtection="1">
      <alignment vertical="center"/>
      <protection hidden="1"/>
    </xf>
    <xf numFmtId="167" fontId="3" fillId="18" borderId="30" xfId="0" applyNumberFormat="1" applyFont="1" applyFill="1" applyBorder="1" applyAlignment="1" applyProtection="1">
      <alignment vertical="center"/>
      <protection hidden="1"/>
    </xf>
    <xf numFmtId="0" fontId="99" fillId="0" borderId="146" xfId="0" applyFont="1" applyBorder="1" applyAlignment="1" applyProtection="1">
      <alignment horizontal="left" vertical="center" wrapText="1" indent="1"/>
      <protection hidden="1"/>
    </xf>
    <xf numFmtId="0" fontId="30" fillId="0" borderId="146" xfId="0" applyFont="1" applyBorder="1" applyAlignment="1" applyProtection="1">
      <alignment horizontal="left" vertical="center" wrapText="1" indent="1"/>
      <protection hidden="1"/>
    </xf>
    <xf numFmtId="0" fontId="30" fillId="0" borderId="0" xfId="0" applyFont="1" applyAlignment="1" applyProtection="1">
      <alignment horizontal="left" vertical="center" wrapText="1" indent="1"/>
      <protection hidden="1"/>
    </xf>
    <xf numFmtId="0" fontId="94" fillId="0" borderId="0" xfId="0" applyFont="1" applyAlignment="1">
      <alignment vertical="center"/>
    </xf>
    <xf numFmtId="3" fontId="124" fillId="0" borderId="0" xfId="0" applyNumberFormat="1" applyFont="1" applyAlignment="1" applyProtection="1">
      <alignment vertical="center"/>
      <protection hidden="1"/>
    </xf>
    <xf numFmtId="0" fontId="14" fillId="3" borderId="22" xfId="0" applyFont="1" applyFill="1" applyBorder="1" applyAlignment="1" applyProtection="1">
      <alignment horizontal="left" vertical="top" indent="1"/>
      <protection hidden="1"/>
    </xf>
    <xf numFmtId="0" fontId="91" fillId="0" borderId="0" xfId="0" applyFont="1" applyAlignment="1" applyProtection="1">
      <alignment horizontal="left" vertical="center"/>
      <protection hidden="1"/>
    </xf>
    <xf numFmtId="0" fontId="35" fillId="0" borderId="0" xfId="0" applyFont="1" applyAlignment="1" applyProtection="1">
      <alignment horizontal="right" vertical="center"/>
      <protection locked="0"/>
    </xf>
    <xf numFmtId="0" fontId="76" fillId="9" borderId="0" xfId="0" applyFont="1" applyFill="1" applyAlignment="1" applyProtection="1">
      <alignment horizontal="center" vertical="center"/>
      <protection hidden="1"/>
    </xf>
    <xf numFmtId="0" fontId="125" fillId="0" borderId="0" xfId="0" applyFont="1" applyAlignment="1" applyProtection="1">
      <alignment horizontal="center" vertical="center"/>
      <protection hidden="1"/>
    </xf>
    <xf numFmtId="167" fontId="10" fillId="2" borderId="169" xfId="0" applyNumberFormat="1" applyFont="1" applyFill="1" applyBorder="1" applyAlignment="1" applyProtection="1">
      <alignment vertical="center"/>
      <protection locked="0"/>
    </xf>
    <xf numFmtId="0" fontId="13" fillId="2" borderId="154" xfId="0" applyFont="1" applyFill="1" applyBorder="1" applyAlignment="1" applyProtection="1">
      <alignment horizontal="center" vertical="center"/>
      <protection locked="0" hidden="1"/>
    </xf>
    <xf numFmtId="167" fontId="29" fillId="4" borderId="84" xfId="0" applyNumberFormat="1" applyFont="1" applyFill="1" applyBorder="1" applyAlignment="1" applyProtection="1">
      <alignment horizontal="right" vertical="center"/>
      <protection hidden="1"/>
    </xf>
    <xf numFmtId="165" fontId="29" fillId="4" borderId="125" xfId="0" applyNumberFormat="1" applyFont="1" applyFill="1" applyBorder="1" applyAlignment="1" applyProtection="1">
      <alignment horizontal="center" vertical="center"/>
      <protection hidden="1"/>
    </xf>
    <xf numFmtId="165" fontId="126" fillId="11" borderId="125" xfId="0" applyNumberFormat="1" applyFont="1" applyFill="1" applyBorder="1" applyAlignment="1" applyProtection="1">
      <alignment horizontal="center" vertical="center"/>
      <protection hidden="1"/>
    </xf>
    <xf numFmtId="165" fontId="126" fillId="2" borderId="211" xfId="0" applyNumberFormat="1" applyFont="1" applyFill="1" applyBorder="1" applyAlignment="1" applyProtection="1">
      <alignment horizontal="center" vertical="center"/>
      <protection hidden="1"/>
    </xf>
    <xf numFmtId="167" fontId="4" fillId="2" borderId="209" xfId="0" applyNumberFormat="1" applyFont="1" applyFill="1" applyBorder="1" applyAlignment="1" applyProtection="1">
      <alignment vertical="center"/>
      <protection hidden="1"/>
    </xf>
    <xf numFmtId="167" fontId="8" fillId="0" borderId="212" xfId="0" applyNumberFormat="1" applyFont="1" applyBorder="1" applyAlignment="1" applyProtection="1">
      <alignment horizontal="right" vertical="center"/>
      <protection locked="0"/>
    </xf>
    <xf numFmtId="167" fontId="28" fillId="2" borderId="42" xfId="0" applyNumberFormat="1" applyFont="1" applyFill="1" applyBorder="1" applyAlignment="1" applyProtection="1">
      <alignment horizontal="right" vertical="center"/>
      <protection hidden="1"/>
    </xf>
    <xf numFmtId="165" fontId="50" fillId="2" borderId="65" xfId="0" applyNumberFormat="1" applyFont="1" applyFill="1" applyBorder="1" applyAlignment="1" applyProtection="1">
      <alignment horizontal="center" vertical="center"/>
      <protection hidden="1"/>
    </xf>
    <xf numFmtId="0" fontId="127" fillId="0" borderId="0" xfId="0" applyFont="1" applyAlignment="1" applyProtection="1">
      <alignment horizontal="left" vertical="center" indent="1"/>
      <protection locked="0"/>
    </xf>
    <xf numFmtId="0" fontId="14" fillId="3" borderId="141" xfId="0" applyFont="1" applyFill="1" applyBorder="1" applyAlignment="1" applyProtection="1">
      <alignment horizontal="center" vertical="top"/>
      <protection locked="0" hidden="1"/>
    </xf>
    <xf numFmtId="167" fontId="24" fillId="0" borderId="0" xfId="0" applyNumberFormat="1" applyFont="1" applyAlignment="1" applyProtection="1">
      <alignment horizontal="right" vertical="center"/>
      <protection locked="0"/>
    </xf>
    <xf numFmtId="1" fontId="36" fillId="0" borderId="0" xfId="0" applyNumberFormat="1" applyFont="1" applyAlignment="1" applyProtection="1">
      <alignment horizontal="center"/>
      <protection hidden="1"/>
    </xf>
    <xf numFmtId="9" fontId="13" fillId="0" borderId="0" xfId="0" applyNumberFormat="1" applyFont="1" applyAlignment="1" applyProtection="1">
      <alignment horizontal="center"/>
      <protection hidden="1"/>
    </xf>
    <xf numFmtId="9" fontId="13" fillId="0" borderId="0" xfId="0" applyNumberFormat="1" applyFont="1" applyAlignment="1" applyProtection="1">
      <alignment horizontal="center" vertical="top"/>
      <protection hidden="1"/>
    </xf>
    <xf numFmtId="9" fontId="13" fillId="0" borderId="0" xfId="0" applyNumberFormat="1" applyFont="1" applyAlignment="1" applyProtection="1">
      <alignment horizontal="center" vertical="center"/>
      <protection hidden="1"/>
    </xf>
    <xf numFmtId="165" fontId="22" fillId="0" borderId="0" xfId="0" applyNumberFormat="1" applyFont="1" applyAlignment="1" applyProtection="1">
      <alignment horizontal="center" vertical="center"/>
      <protection hidden="1"/>
    </xf>
    <xf numFmtId="165" fontId="18" fillId="0" borderId="0" xfId="0" applyNumberFormat="1" applyFont="1" applyAlignment="1" applyProtection="1">
      <alignment horizontal="center" vertical="center"/>
      <protection hidden="1"/>
    </xf>
    <xf numFmtId="165" fontId="23" fillId="0" borderId="0" xfId="0" applyNumberFormat="1" applyFont="1" applyAlignment="1" applyProtection="1">
      <alignment horizontal="center" vertical="center"/>
      <protection hidden="1"/>
    </xf>
    <xf numFmtId="167" fontId="23" fillId="0" borderId="0" xfId="0" applyNumberFormat="1" applyFont="1" applyAlignment="1" applyProtection="1">
      <alignment horizontal="right" vertical="center"/>
      <protection locked="0"/>
    </xf>
    <xf numFmtId="165" fontId="29" fillId="0" borderId="0" xfId="0" applyNumberFormat="1" applyFont="1" applyAlignment="1" applyProtection="1">
      <alignment horizontal="center" vertical="center"/>
      <protection hidden="1"/>
    </xf>
    <xf numFmtId="165" fontId="126" fillId="0" borderId="0" xfId="0" applyNumberFormat="1" applyFont="1" applyAlignment="1" applyProtection="1">
      <alignment horizontal="center" vertical="center"/>
      <protection hidden="1"/>
    </xf>
    <xf numFmtId="165" fontId="50" fillId="0" borderId="0" xfId="0" applyNumberFormat="1" applyFont="1" applyAlignment="1" applyProtection="1">
      <alignment horizontal="center" vertical="center"/>
      <protection hidden="1"/>
    </xf>
    <xf numFmtId="165" fontId="31" fillId="0" borderId="0" xfId="0" applyNumberFormat="1" applyFont="1" applyAlignment="1" applyProtection="1">
      <alignment horizontal="center" vertical="center"/>
      <protection hidden="1"/>
    </xf>
    <xf numFmtId="174" fontId="128" fillId="0" borderId="120" xfId="0" applyNumberFormat="1" applyFont="1" applyBorder="1" applyAlignment="1" applyProtection="1">
      <alignment horizontal="center" vertical="center"/>
      <protection hidden="1"/>
    </xf>
    <xf numFmtId="0" fontId="30" fillId="0" borderId="0" xfId="0" applyFont="1" applyAlignment="1" applyProtection="1">
      <alignment vertical="center"/>
      <protection hidden="1"/>
    </xf>
    <xf numFmtId="0" fontId="40" fillId="19" borderId="68" xfId="0" applyFont="1" applyFill="1" applyBorder="1" applyProtection="1">
      <protection hidden="1"/>
    </xf>
    <xf numFmtId="0" fontId="38" fillId="19" borderId="124" xfId="0" applyFont="1" applyFill="1" applyBorder="1" applyAlignment="1" applyProtection="1">
      <alignment vertical="top"/>
      <protection hidden="1"/>
    </xf>
    <xf numFmtId="0" fontId="127" fillId="0" borderId="0" xfId="0" applyFont="1" applyAlignment="1" applyProtection="1">
      <alignment vertical="center"/>
      <protection locked="0"/>
    </xf>
    <xf numFmtId="0" fontId="127" fillId="0" borderId="0" xfId="0" applyFont="1" applyAlignment="1" applyProtection="1">
      <alignment horizontal="left" vertical="center" indent="1"/>
      <protection hidden="1"/>
    </xf>
    <xf numFmtId="0" fontId="17" fillId="9" borderId="0" xfId="0" applyFont="1" applyFill="1" applyAlignment="1" applyProtection="1">
      <alignment horizontal="left" indent="1"/>
      <protection hidden="1"/>
    </xf>
    <xf numFmtId="0" fontId="7" fillId="3" borderId="53" xfId="0" applyFont="1" applyFill="1" applyBorder="1" applyAlignment="1" applyProtection="1">
      <alignment horizontal="center" vertical="center"/>
      <protection locked="0"/>
    </xf>
    <xf numFmtId="167" fontId="23" fillId="0" borderId="83" xfId="0" applyNumberFormat="1" applyFont="1" applyBorder="1" applyAlignment="1" applyProtection="1">
      <alignment horizontal="right" vertical="center"/>
      <protection hidden="1"/>
    </xf>
    <xf numFmtId="165" fontId="23" fillId="0" borderId="121" xfId="0" applyNumberFormat="1" applyFont="1" applyBorder="1" applyAlignment="1" applyProtection="1">
      <alignment horizontal="center" vertical="center"/>
      <protection locked="0"/>
    </xf>
    <xf numFmtId="167" fontId="4" fillId="15" borderId="84" xfId="0" applyNumberFormat="1" applyFont="1" applyFill="1" applyBorder="1" applyAlignment="1" applyProtection="1">
      <alignment vertical="center"/>
      <protection hidden="1"/>
    </xf>
    <xf numFmtId="165" fontId="126" fillId="15" borderId="125" xfId="0" applyNumberFormat="1" applyFont="1" applyFill="1" applyBorder="1" applyAlignment="1" applyProtection="1">
      <alignment horizontal="center" vertical="center"/>
      <protection hidden="1"/>
    </xf>
    <xf numFmtId="167" fontId="26" fillId="11" borderId="103" xfId="0" applyNumberFormat="1" applyFont="1" applyFill="1" applyBorder="1" applyAlignment="1" applyProtection="1">
      <alignment vertical="center"/>
      <protection hidden="1"/>
    </xf>
    <xf numFmtId="165" fontId="22" fillId="11" borderId="127" xfId="0" applyNumberFormat="1" applyFont="1" applyFill="1" applyBorder="1" applyAlignment="1" applyProtection="1">
      <alignment horizontal="center" vertical="center"/>
      <protection hidden="1"/>
    </xf>
    <xf numFmtId="165" fontId="126" fillId="11" borderId="127" xfId="0" applyNumberFormat="1" applyFont="1" applyFill="1" applyBorder="1" applyAlignment="1" applyProtection="1">
      <alignment horizontal="center" vertical="center"/>
      <protection hidden="1"/>
    </xf>
    <xf numFmtId="167" fontId="18" fillId="3" borderId="209" xfId="0" applyNumberFormat="1" applyFont="1" applyFill="1" applyBorder="1" applyAlignment="1" applyProtection="1">
      <alignment vertical="center"/>
      <protection hidden="1"/>
    </xf>
    <xf numFmtId="165" fontId="18" fillId="3" borderId="211" xfId="0" applyNumberFormat="1" applyFont="1" applyFill="1" applyBorder="1" applyAlignment="1" applyProtection="1">
      <alignment horizontal="center" vertical="center"/>
      <protection hidden="1"/>
    </xf>
    <xf numFmtId="167" fontId="4" fillId="15" borderId="23" xfId="0" applyNumberFormat="1" applyFont="1" applyFill="1" applyBorder="1" applyAlignment="1" applyProtection="1">
      <alignment vertical="center"/>
      <protection hidden="1"/>
    </xf>
    <xf numFmtId="165" fontId="126" fillId="15" borderId="98" xfId="0" applyNumberFormat="1" applyFont="1" applyFill="1" applyBorder="1" applyAlignment="1" applyProtection="1">
      <alignment horizontal="center" vertical="center"/>
      <protection hidden="1"/>
    </xf>
    <xf numFmtId="0" fontId="131" fillId="0" borderId="0" xfId="0" applyFont="1" applyAlignment="1" applyProtection="1">
      <alignment vertical="center"/>
      <protection hidden="1"/>
    </xf>
    <xf numFmtId="165" fontId="130" fillId="4" borderId="69" xfId="1" applyNumberFormat="1" applyFont="1" applyFill="1" applyBorder="1" applyAlignment="1" applyProtection="1">
      <alignment horizontal="center" vertical="center"/>
      <protection hidden="1"/>
    </xf>
    <xf numFmtId="0" fontId="130" fillId="0" borderId="0" xfId="0" applyFont="1" applyAlignment="1" applyProtection="1">
      <alignment vertical="center"/>
      <protection hidden="1"/>
    </xf>
    <xf numFmtId="165" fontId="133" fillId="0" borderId="70" xfId="1" applyNumberFormat="1" applyFont="1" applyBorder="1" applyAlignment="1" applyProtection="1">
      <alignment horizontal="center" vertical="center"/>
      <protection hidden="1"/>
    </xf>
    <xf numFmtId="0" fontId="132" fillId="0" borderId="0" xfId="0" applyFont="1" applyAlignment="1" applyProtection="1">
      <alignment vertical="center"/>
      <protection hidden="1"/>
    </xf>
    <xf numFmtId="165" fontId="133" fillId="0" borderId="4" xfId="1" applyNumberFormat="1" applyFont="1" applyBorder="1" applyAlignment="1" applyProtection="1">
      <alignment horizontal="center" vertical="center"/>
      <protection hidden="1"/>
    </xf>
    <xf numFmtId="165" fontId="132" fillId="0" borderId="71" xfId="1" applyNumberFormat="1" applyFont="1" applyBorder="1" applyAlignment="1" applyProtection="1">
      <alignment horizontal="center" vertical="center"/>
      <protection hidden="1"/>
    </xf>
    <xf numFmtId="165" fontId="130" fillId="4" borderId="75" xfId="1" applyNumberFormat="1" applyFont="1" applyFill="1" applyBorder="1" applyAlignment="1" applyProtection="1">
      <alignment horizontal="center" vertical="center"/>
      <protection hidden="1"/>
    </xf>
    <xf numFmtId="165" fontId="132" fillId="15" borderId="127" xfId="1" applyNumberFormat="1" applyFont="1" applyFill="1" applyBorder="1" applyAlignment="1" applyProtection="1">
      <alignment horizontal="center" vertical="center"/>
      <protection hidden="1"/>
    </xf>
    <xf numFmtId="165" fontId="132" fillId="0" borderId="2" xfId="1" applyNumberFormat="1" applyFont="1" applyBorder="1" applyAlignment="1" applyProtection="1">
      <alignment horizontal="center" vertical="center"/>
      <protection hidden="1"/>
    </xf>
    <xf numFmtId="165" fontId="132" fillId="0" borderId="4" xfId="1" applyNumberFormat="1" applyFont="1" applyBorder="1" applyAlignment="1" applyProtection="1">
      <alignment horizontal="center" vertical="center"/>
      <protection hidden="1"/>
    </xf>
    <xf numFmtId="9" fontId="130" fillId="4" borderId="52" xfId="1" applyNumberFormat="1" applyFont="1" applyFill="1" applyBorder="1" applyAlignment="1" applyProtection="1">
      <alignment horizontal="center" vertical="center"/>
      <protection hidden="1"/>
    </xf>
    <xf numFmtId="165" fontId="130" fillId="4" borderId="52" xfId="1" applyNumberFormat="1" applyFont="1" applyFill="1" applyBorder="1" applyAlignment="1" applyProtection="1">
      <alignment horizontal="center" vertical="center"/>
      <protection hidden="1"/>
    </xf>
    <xf numFmtId="0" fontId="137" fillId="0" borderId="0" xfId="0" applyFont="1" applyAlignment="1" applyProtection="1">
      <alignment vertical="center"/>
      <protection hidden="1"/>
    </xf>
    <xf numFmtId="167" fontId="138" fillId="4" borderId="48" xfId="1" applyNumberFormat="1" applyFont="1" applyFill="1" applyBorder="1" applyAlignment="1" applyProtection="1">
      <alignment vertical="center"/>
      <protection hidden="1"/>
    </xf>
    <xf numFmtId="167" fontId="137" fillId="0" borderId="1" xfId="1" applyNumberFormat="1" applyFont="1" applyBorder="1" applyAlignment="1" applyProtection="1">
      <alignment vertical="center"/>
      <protection hidden="1"/>
    </xf>
    <xf numFmtId="167" fontId="137" fillId="0" borderId="3" xfId="1" applyNumberFormat="1" applyFont="1" applyBorder="1" applyAlignment="1" applyProtection="1">
      <alignment vertical="center"/>
      <protection hidden="1"/>
    </xf>
    <xf numFmtId="167" fontId="137" fillId="0" borderId="49" xfId="1" applyNumberFormat="1" applyFont="1" applyBorder="1" applyAlignment="1" applyProtection="1">
      <alignment vertical="center"/>
      <protection hidden="1"/>
    </xf>
    <xf numFmtId="167" fontId="138" fillId="4" borderId="72" xfId="1" applyNumberFormat="1" applyFont="1" applyFill="1" applyBorder="1" applyAlignment="1" applyProtection="1">
      <alignment vertical="center"/>
      <protection hidden="1"/>
    </xf>
    <xf numFmtId="167" fontId="137" fillId="0" borderId="3" xfId="1" applyNumberFormat="1" applyFont="1" applyBorder="1" applyAlignment="1" applyProtection="1">
      <alignment vertical="center"/>
      <protection locked="0"/>
    </xf>
    <xf numFmtId="167" fontId="137" fillId="0" borderId="1" xfId="1" applyNumberFormat="1" applyFont="1" applyBorder="1" applyAlignment="1" applyProtection="1">
      <alignment vertical="center"/>
      <protection locked="0"/>
    </xf>
    <xf numFmtId="167" fontId="138" fillId="4" borderId="23" xfId="1" applyNumberFormat="1" applyFont="1" applyFill="1" applyBorder="1" applyAlignment="1" applyProtection="1">
      <alignment vertical="center"/>
      <protection hidden="1"/>
    </xf>
    <xf numFmtId="167" fontId="137" fillId="15" borderId="32" xfId="1" applyNumberFormat="1" applyFont="1" applyFill="1" applyBorder="1" applyAlignment="1" applyProtection="1">
      <alignment vertical="center"/>
      <protection hidden="1"/>
    </xf>
    <xf numFmtId="167" fontId="137" fillId="0" borderId="6" xfId="1" applyNumberFormat="1" applyFont="1" applyBorder="1" applyAlignment="1" applyProtection="1">
      <alignment vertical="center"/>
      <protection locked="0"/>
    </xf>
    <xf numFmtId="167" fontId="137" fillId="0" borderId="5" xfId="1" applyNumberFormat="1" applyFont="1" applyBorder="1" applyAlignment="1" applyProtection="1">
      <alignment vertical="center"/>
      <protection locked="0"/>
    </xf>
    <xf numFmtId="0" fontId="137" fillId="0" borderId="0" xfId="0" applyFont="1" applyAlignment="1">
      <alignment vertical="center"/>
    </xf>
    <xf numFmtId="167" fontId="10" fillId="0" borderId="3" xfId="1" applyNumberFormat="1" applyFont="1" applyBorder="1" applyAlignment="1" applyProtection="1">
      <alignment vertical="center"/>
      <protection locked="0"/>
    </xf>
    <xf numFmtId="167" fontId="10" fillId="0" borderId="49" xfId="1" applyNumberFormat="1" applyFont="1" applyBorder="1" applyAlignment="1" applyProtection="1">
      <alignment vertical="center"/>
      <protection hidden="1"/>
    </xf>
    <xf numFmtId="167" fontId="10" fillId="0" borderId="57" xfId="1" applyNumberFormat="1" applyFont="1" applyBorder="1" applyAlignment="1" applyProtection="1">
      <alignment vertical="center"/>
      <protection locked="0"/>
    </xf>
    <xf numFmtId="167" fontId="10" fillId="0" borderId="5" xfId="1" applyNumberFormat="1" applyFont="1" applyBorder="1" applyAlignment="1" applyProtection="1">
      <alignment vertical="center"/>
      <protection hidden="1"/>
    </xf>
    <xf numFmtId="167" fontId="10" fillId="0" borderId="6" xfId="1" applyNumberFormat="1" applyFont="1" applyBorder="1" applyAlignment="1" applyProtection="1">
      <alignment vertical="center"/>
      <protection locked="0"/>
    </xf>
    <xf numFmtId="0" fontId="3" fillId="0" borderId="1" xfId="0" applyFont="1" applyBorder="1" applyAlignment="1">
      <alignment vertical="center"/>
    </xf>
    <xf numFmtId="0" fontId="10" fillId="0" borderId="1" xfId="0" applyFont="1" applyBorder="1" applyAlignment="1">
      <alignment vertical="center"/>
    </xf>
    <xf numFmtId="0" fontId="10" fillId="0" borderId="0" xfId="0" applyFont="1" applyAlignment="1">
      <alignment vertical="center"/>
    </xf>
    <xf numFmtId="0" fontId="10" fillId="0" borderId="59"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84" fillId="0" borderId="65" xfId="0" applyFont="1" applyBorder="1" applyAlignment="1" applyProtection="1">
      <alignment horizontal="center" vertical="center"/>
      <protection locked="0"/>
    </xf>
    <xf numFmtId="0" fontId="84" fillId="0" borderId="60" xfId="0" applyFont="1" applyBorder="1" applyAlignment="1" applyProtection="1">
      <alignment horizontal="center" vertical="center"/>
      <protection locked="0"/>
    </xf>
    <xf numFmtId="0" fontId="84" fillId="0" borderId="61" xfId="0" applyFont="1" applyBorder="1" applyAlignment="1" applyProtection="1">
      <alignment horizontal="center" vertical="center"/>
      <protection locked="0"/>
    </xf>
    <xf numFmtId="167" fontId="140" fillId="0" borderId="0" xfId="0" applyNumberFormat="1" applyFont="1" applyAlignment="1" applyProtection="1">
      <alignment vertical="center"/>
      <protection hidden="1"/>
    </xf>
    <xf numFmtId="0" fontId="140" fillId="0" borderId="0" xfId="0" applyFont="1" applyAlignment="1" applyProtection="1">
      <alignment horizontal="center" vertical="center"/>
      <protection locked="0"/>
    </xf>
    <xf numFmtId="0" fontId="141" fillId="0" borderId="0" xfId="0" applyFont="1" applyAlignment="1" applyProtection="1">
      <alignment horizontal="right"/>
      <protection locked="0"/>
    </xf>
    <xf numFmtId="167" fontId="76" fillId="0" borderId="0" xfId="0" applyNumberFormat="1" applyFont="1" applyAlignment="1" applyProtection="1">
      <alignment horizontal="right" vertical="center"/>
      <protection hidden="1"/>
    </xf>
    <xf numFmtId="167" fontId="10" fillId="0" borderId="49" xfId="1" applyNumberFormat="1" applyFont="1" applyBorder="1" applyAlignment="1" applyProtection="1">
      <alignment vertical="center"/>
      <protection locked="0"/>
    </xf>
    <xf numFmtId="165" fontId="106" fillId="0" borderId="71" xfId="1" applyNumberFormat="1" applyFont="1" applyBorder="1" applyAlignment="1" applyProtection="1">
      <alignment horizontal="center" vertical="center"/>
      <protection hidden="1"/>
    </xf>
    <xf numFmtId="167" fontId="10" fillId="0" borderId="62" xfId="1" applyNumberFormat="1" applyFont="1" applyBorder="1" applyAlignment="1" applyProtection="1">
      <alignment vertical="center"/>
      <protection locked="0"/>
    </xf>
    <xf numFmtId="167" fontId="84" fillId="2" borderId="3" xfId="1" applyNumberFormat="1" applyFont="1" applyFill="1" applyBorder="1" applyAlignment="1" applyProtection="1">
      <alignment vertical="center"/>
      <protection hidden="1"/>
    </xf>
    <xf numFmtId="165" fontId="13" fillId="2" borderId="4" xfId="1" applyNumberFormat="1" applyFont="1" applyFill="1" applyBorder="1" applyAlignment="1" applyProtection="1">
      <alignment horizontal="center" vertical="center"/>
      <protection hidden="1"/>
    </xf>
    <xf numFmtId="165" fontId="13" fillId="2" borderId="4" xfId="0" applyNumberFormat="1" applyFont="1" applyFill="1" applyBorder="1" applyAlignment="1" applyProtection="1">
      <alignment horizontal="center" vertical="center"/>
      <protection hidden="1"/>
    </xf>
    <xf numFmtId="167" fontId="3" fillId="0" borderId="42" xfId="0" applyNumberFormat="1" applyFont="1" applyBorder="1" applyAlignment="1" applyProtection="1">
      <alignment vertical="center"/>
      <protection locked="0"/>
    </xf>
    <xf numFmtId="167" fontId="3" fillId="0" borderId="3" xfId="0" applyNumberFormat="1" applyFont="1" applyBorder="1" applyAlignment="1" applyProtection="1">
      <alignment vertical="center"/>
      <protection locked="0"/>
    </xf>
    <xf numFmtId="167" fontId="3" fillId="0" borderId="22" xfId="0" applyNumberFormat="1" applyFont="1" applyBorder="1" applyAlignment="1" applyProtection="1">
      <alignment vertical="center"/>
      <protection locked="0"/>
    </xf>
    <xf numFmtId="167" fontId="80" fillId="2" borderId="7" xfId="0" applyNumberFormat="1" applyFont="1" applyFill="1" applyBorder="1" applyAlignment="1" applyProtection="1">
      <alignment vertical="center"/>
      <protection hidden="1"/>
    </xf>
    <xf numFmtId="167" fontId="85" fillId="0" borderId="65" xfId="0" applyNumberFormat="1" applyFont="1" applyBorder="1" applyAlignment="1" applyProtection="1">
      <alignment vertical="center"/>
      <protection locked="0"/>
    </xf>
    <xf numFmtId="167" fontId="85" fillId="0" borderId="60" xfId="0" applyNumberFormat="1" applyFont="1" applyBorder="1" applyAlignment="1" applyProtection="1">
      <alignment vertical="center"/>
      <protection locked="0"/>
    </xf>
    <xf numFmtId="167" fontId="85" fillId="0" borderId="153" xfId="0" applyNumberFormat="1" applyFont="1" applyBorder="1" applyAlignment="1" applyProtection="1">
      <alignment vertical="center"/>
      <protection locked="0"/>
    </xf>
    <xf numFmtId="167" fontId="86" fillId="2" borderId="188" xfId="0" applyNumberFormat="1" applyFont="1" applyFill="1" applyBorder="1" applyAlignment="1" applyProtection="1">
      <alignment vertical="center"/>
      <protection hidden="1"/>
    </xf>
    <xf numFmtId="167" fontId="3" fillId="0" borderId="152" xfId="0" applyNumberFormat="1" applyFont="1" applyBorder="1" applyAlignment="1" applyProtection="1">
      <alignment vertical="center"/>
      <protection locked="0"/>
    </xf>
    <xf numFmtId="167" fontId="85" fillId="0" borderId="61" xfId="0" applyNumberFormat="1" applyFont="1" applyBorder="1" applyAlignment="1" applyProtection="1">
      <alignment vertical="center"/>
      <protection locked="0"/>
    </xf>
    <xf numFmtId="0" fontId="84" fillId="2" borderId="51" xfId="0" applyFont="1" applyFill="1" applyBorder="1" applyAlignment="1" applyProtection="1">
      <alignment horizontal="center" vertical="center"/>
      <protection hidden="1"/>
    </xf>
    <xf numFmtId="167" fontId="42" fillId="16" borderId="1" xfId="0" applyNumberFormat="1" applyFont="1" applyFill="1" applyBorder="1" applyAlignment="1" applyProtection="1">
      <alignment vertical="center"/>
      <protection hidden="1"/>
    </xf>
    <xf numFmtId="167" fontId="42" fillId="16" borderId="3" xfId="0" applyNumberFormat="1" applyFont="1" applyFill="1" applyBorder="1" applyAlignment="1" applyProtection="1">
      <alignment vertical="center"/>
      <protection hidden="1"/>
    </xf>
    <xf numFmtId="167" fontId="42" fillId="16" borderId="22" xfId="0" applyNumberFormat="1" applyFont="1" applyFill="1" applyBorder="1" applyAlignment="1" applyProtection="1">
      <alignment vertical="center"/>
      <protection hidden="1"/>
    </xf>
    <xf numFmtId="0" fontId="89" fillId="2" borderId="213" xfId="0" applyFont="1" applyFill="1" applyBorder="1" applyAlignment="1" applyProtection="1">
      <alignment horizontal="center" vertical="center"/>
      <protection hidden="1"/>
    </xf>
    <xf numFmtId="167" fontId="88" fillId="16" borderId="96" xfId="0" applyNumberFormat="1" applyFont="1" applyFill="1" applyBorder="1" applyAlignment="1" applyProtection="1">
      <alignment vertical="center"/>
      <protection hidden="1"/>
    </xf>
    <xf numFmtId="167" fontId="88" fillId="16" borderId="60" xfId="0" applyNumberFormat="1" applyFont="1" applyFill="1" applyBorder="1" applyAlignment="1" applyProtection="1">
      <alignment vertical="center"/>
      <protection hidden="1"/>
    </xf>
    <xf numFmtId="167" fontId="88" fillId="16" borderId="153" xfId="0" applyNumberFormat="1" applyFont="1" applyFill="1" applyBorder="1" applyAlignment="1" applyProtection="1">
      <alignment vertical="center"/>
      <protection hidden="1"/>
    </xf>
    <xf numFmtId="165" fontId="12" fillId="0" borderId="147" xfId="3" applyNumberFormat="1" applyFont="1" applyBorder="1" applyAlignment="1" applyProtection="1">
      <alignment horizontal="center" vertical="center"/>
      <protection hidden="1"/>
    </xf>
    <xf numFmtId="165" fontId="12" fillId="0" borderId="33" xfId="3" applyNumberFormat="1" applyFont="1" applyBorder="1" applyAlignment="1" applyProtection="1">
      <alignment horizontal="center" vertical="center"/>
      <protection hidden="1"/>
    </xf>
    <xf numFmtId="0" fontId="10" fillId="15" borderId="76" xfId="0" applyFont="1" applyFill="1" applyBorder="1" applyAlignment="1" applyProtection="1">
      <alignment horizontal="center" vertical="center" wrapText="1"/>
      <protection hidden="1"/>
    </xf>
    <xf numFmtId="0" fontId="19" fillId="15" borderId="76" xfId="0" applyFont="1" applyFill="1" applyBorder="1" applyAlignment="1" applyProtection="1">
      <alignment horizontal="center" vertical="center" wrapText="1"/>
      <protection hidden="1"/>
    </xf>
    <xf numFmtId="167" fontId="29" fillId="0" borderId="60" xfId="0" applyNumberFormat="1" applyFont="1" applyBorder="1" applyAlignment="1" applyProtection="1">
      <alignment horizontal="right" vertical="center"/>
      <protection hidden="1"/>
    </xf>
    <xf numFmtId="0" fontId="18" fillId="19" borderId="65" xfId="0" applyFont="1" applyFill="1" applyBorder="1" applyAlignment="1" applyProtection="1">
      <alignment horizontal="center"/>
      <protection hidden="1"/>
    </xf>
    <xf numFmtId="0" fontId="114" fillId="19" borderId="153" xfId="0" applyFont="1" applyFill="1" applyBorder="1" applyAlignment="1" applyProtection="1">
      <alignment horizontal="center" vertical="top"/>
      <protection hidden="1"/>
    </xf>
    <xf numFmtId="167" fontId="10" fillId="0" borderId="48" xfId="1" applyNumberFormat="1" applyFont="1" applyBorder="1" applyAlignment="1" applyProtection="1">
      <alignment vertical="center"/>
      <protection hidden="1"/>
    </xf>
    <xf numFmtId="167" fontId="67" fillId="0" borderId="0" xfId="0" applyNumberFormat="1" applyFont="1" applyAlignment="1" applyProtection="1">
      <alignment vertical="center"/>
      <protection locked="0" hidden="1"/>
    </xf>
    <xf numFmtId="167" fontId="67" fillId="0" borderId="0" xfId="0" applyNumberFormat="1" applyFont="1" applyAlignment="1" applyProtection="1">
      <alignment vertical="center"/>
      <protection hidden="1"/>
    </xf>
    <xf numFmtId="167" fontId="67" fillId="0" borderId="19" xfId="0" applyNumberFormat="1" applyFont="1" applyBorder="1" applyAlignment="1" applyProtection="1">
      <alignment vertical="center"/>
      <protection hidden="1"/>
    </xf>
    <xf numFmtId="0" fontId="11" fillId="3" borderId="40" xfId="0" applyFont="1" applyFill="1" applyBorder="1" applyAlignment="1" applyProtection="1">
      <alignment horizontal="left" vertical="center" indent="1"/>
      <protection hidden="1"/>
    </xf>
    <xf numFmtId="167" fontId="4" fillId="2" borderId="214" xfId="0" applyNumberFormat="1" applyFont="1" applyFill="1" applyBorder="1" applyAlignment="1" applyProtection="1">
      <alignment vertical="center"/>
      <protection hidden="1"/>
    </xf>
    <xf numFmtId="0" fontId="43" fillId="0" borderId="0" xfId="0" applyFont="1" applyAlignment="1" applyProtection="1">
      <alignment horizontal="center"/>
      <protection hidden="1"/>
    </xf>
    <xf numFmtId="167" fontId="3" fillId="16" borderId="174" xfId="0" applyNumberFormat="1" applyFont="1" applyFill="1" applyBorder="1" applyAlignment="1" applyProtection="1">
      <alignment vertical="center"/>
      <protection hidden="1"/>
    </xf>
    <xf numFmtId="167" fontId="84" fillId="23" borderId="23" xfId="1" applyNumberFormat="1" applyFont="1" applyFill="1" applyBorder="1" applyAlignment="1" applyProtection="1">
      <alignment vertical="center"/>
      <protection hidden="1"/>
    </xf>
    <xf numFmtId="9" fontId="13" fillId="23" borderId="52" xfId="1" applyNumberFormat="1" applyFont="1" applyFill="1" applyBorder="1" applyAlignment="1" applyProtection="1">
      <alignment horizontal="center" vertical="center"/>
      <protection hidden="1"/>
    </xf>
    <xf numFmtId="0" fontId="135" fillId="0" borderId="4" xfId="0" applyFont="1" applyBorder="1" applyAlignment="1" applyProtection="1">
      <alignment vertical="center" wrapText="1"/>
      <protection hidden="1"/>
    </xf>
    <xf numFmtId="176" fontId="137" fillId="0" borderId="3" xfId="0" applyNumberFormat="1" applyFont="1" applyBorder="1" applyAlignment="1" applyProtection="1">
      <alignment vertical="center"/>
      <protection hidden="1"/>
    </xf>
    <xf numFmtId="165" fontId="132" fillId="15" borderId="4" xfId="1" applyNumberFormat="1" applyFont="1" applyFill="1" applyBorder="1" applyAlignment="1" applyProtection="1">
      <alignment horizontal="center" vertical="center"/>
      <protection hidden="1"/>
    </xf>
    <xf numFmtId="167" fontId="137" fillId="15" borderId="62" xfId="1" applyNumberFormat="1" applyFont="1" applyFill="1" applyBorder="1" applyAlignment="1" applyProtection="1">
      <alignment vertical="center"/>
      <protection hidden="1"/>
    </xf>
    <xf numFmtId="165" fontId="132" fillId="15" borderId="71" xfId="0" applyNumberFormat="1" applyFont="1" applyFill="1" applyBorder="1" applyAlignment="1" applyProtection="1">
      <alignment horizontal="center" vertical="center"/>
      <protection hidden="1"/>
    </xf>
    <xf numFmtId="165" fontId="132" fillId="0" borderId="4" xfId="0" applyNumberFormat="1" applyFont="1" applyBorder="1" applyAlignment="1" applyProtection="1">
      <alignment horizontal="center" vertical="center"/>
      <protection hidden="1"/>
    </xf>
    <xf numFmtId="165" fontId="132" fillId="15" borderId="71" xfId="1" applyNumberFormat="1" applyFont="1" applyFill="1" applyBorder="1" applyAlignment="1" applyProtection="1">
      <alignment horizontal="center" vertical="center"/>
      <protection hidden="1"/>
    </xf>
    <xf numFmtId="165" fontId="12" fillId="0" borderId="71" xfId="1" applyNumberFormat="1" applyFont="1" applyBorder="1" applyAlignment="1" applyProtection="1">
      <alignment horizontal="center" vertical="center"/>
      <protection hidden="1"/>
    </xf>
    <xf numFmtId="167" fontId="10" fillId="0" borderId="62" xfId="1" applyNumberFormat="1" applyFont="1" applyBorder="1" applyAlignment="1" applyProtection="1">
      <alignment vertical="center"/>
      <protection hidden="1"/>
    </xf>
    <xf numFmtId="167" fontId="10" fillId="0" borderId="37" xfId="1" applyNumberFormat="1" applyFont="1" applyBorder="1" applyAlignment="1" applyProtection="1">
      <alignment vertical="center"/>
      <protection hidden="1"/>
    </xf>
    <xf numFmtId="0" fontId="10" fillId="0" borderId="4" xfId="0" applyFont="1" applyBorder="1" applyAlignment="1" applyProtection="1">
      <alignment vertical="center" wrapText="1"/>
      <protection hidden="1"/>
    </xf>
    <xf numFmtId="167" fontId="10" fillId="0" borderId="3" xfId="1" applyNumberFormat="1" applyFont="1" applyBorder="1" applyAlignment="1" applyProtection="1">
      <alignment vertical="center"/>
      <protection hidden="1"/>
    </xf>
    <xf numFmtId="176" fontId="10" fillId="0" borderId="3" xfId="0" applyNumberFormat="1" applyFont="1" applyBorder="1" applyAlignment="1" applyProtection="1">
      <alignment vertical="center"/>
      <protection hidden="1"/>
    </xf>
    <xf numFmtId="165" fontId="112" fillId="15" borderId="4" xfId="1" applyNumberFormat="1" applyFont="1" applyFill="1" applyBorder="1" applyAlignment="1" applyProtection="1">
      <alignment horizontal="center" vertical="center"/>
      <protection hidden="1"/>
    </xf>
    <xf numFmtId="167" fontId="10" fillId="15" borderId="62" xfId="1" applyNumberFormat="1" applyFont="1" applyFill="1" applyBorder="1" applyAlignment="1" applyProtection="1">
      <alignment vertical="center"/>
      <protection hidden="1"/>
    </xf>
    <xf numFmtId="165" fontId="12" fillId="15" borderId="71" xfId="1" applyNumberFormat="1" applyFont="1" applyFill="1" applyBorder="1" applyAlignment="1" applyProtection="1">
      <alignment horizontal="center" vertical="center"/>
      <protection hidden="1"/>
    </xf>
    <xf numFmtId="165" fontId="12" fillId="15" borderId="71" xfId="0" applyNumberFormat="1" applyFont="1" applyFill="1" applyBorder="1" applyAlignment="1" applyProtection="1">
      <alignment horizontal="center" vertical="center"/>
      <protection hidden="1"/>
    </xf>
    <xf numFmtId="167" fontId="110" fillId="24" borderId="117" xfId="0" applyNumberFormat="1" applyFont="1" applyFill="1" applyBorder="1" applyAlignment="1" applyProtection="1">
      <alignment vertical="center"/>
      <protection locked="0"/>
    </xf>
    <xf numFmtId="169" fontId="110" fillId="24" borderId="155" xfId="0" applyNumberFormat="1" applyFont="1" applyFill="1" applyBorder="1" applyAlignment="1" applyProtection="1">
      <alignment horizontal="center" vertical="center"/>
      <protection hidden="1"/>
    </xf>
    <xf numFmtId="0" fontId="3" fillId="14" borderId="0" xfId="0" applyFont="1" applyFill="1" applyAlignment="1" applyProtection="1">
      <alignment horizontal="left"/>
      <protection locked="0"/>
    </xf>
    <xf numFmtId="0" fontId="30" fillId="0" borderId="0" xfId="0" applyFont="1" applyAlignment="1" applyProtection="1">
      <alignment horizontal="left" vertical="center" wrapText="1"/>
      <protection hidden="1"/>
    </xf>
    <xf numFmtId="167" fontId="53" fillId="23" borderId="117" xfId="0" applyNumberFormat="1" applyFont="1" applyFill="1" applyBorder="1" applyAlignment="1" applyProtection="1">
      <alignment vertical="center"/>
      <protection locked="0"/>
    </xf>
    <xf numFmtId="169" fontId="53" fillId="23" borderId="155" xfId="0" applyNumberFormat="1" applyFont="1" applyFill="1" applyBorder="1" applyAlignment="1" applyProtection="1">
      <alignment horizontal="center" vertical="center"/>
      <protection hidden="1"/>
    </xf>
    <xf numFmtId="167" fontId="84" fillId="23" borderId="117" xfId="0" applyNumberFormat="1" applyFont="1" applyFill="1" applyBorder="1" applyAlignment="1" applyProtection="1">
      <alignment vertical="center"/>
      <protection locked="0"/>
    </xf>
    <xf numFmtId="169" fontId="146" fillId="23" borderId="155" xfId="0" applyNumberFormat="1" applyFont="1" applyFill="1" applyBorder="1" applyAlignment="1" applyProtection="1">
      <alignment horizontal="center" vertical="center"/>
      <protection hidden="1"/>
    </xf>
    <xf numFmtId="9" fontId="147" fillId="0" borderId="2" xfId="3" applyNumberFormat="1" applyFont="1" applyBorder="1" applyAlignment="1">
      <alignment horizontal="center" vertical="center"/>
      <protection locked="0"/>
    </xf>
    <xf numFmtId="9" fontId="147" fillId="0" borderId="4" xfId="3" applyNumberFormat="1" applyFont="1" applyBorder="1" applyAlignment="1">
      <alignment horizontal="center" vertical="center"/>
      <protection locked="0"/>
    </xf>
    <xf numFmtId="9" fontId="147" fillId="2" borderId="52" xfId="0" applyNumberFormat="1" applyFont="1" applyFill="1" applyBorder="1" applyAlignment="1" applyProtection="1">
      <alignment horizontal="center" vertical="center"/>
      <protection hidden="1"/>
    </xf>
    <xf numFmtId="0" fontId="42" fillId="9" borderId="0" xfId="0" applyFont="1" applyFill="1" applyAlignment="1" applyProtection="1">
      <alignment vertical="center"/>
      <protection hidden="1"/>
    </xf>
    <xf numFmtId="0" fontId="42" fillId="9" borderId="0" xfId="0" applyFont="1" applyFill="1" applyProtection="1">
      <protection hidden="1"/>
    </xf>
    <xf numFmtId="0" fontId="80" fillId="0" borderId="0" xfId="0" applyFont="1" applyProtection="1">
      <protection hidden="1"/>
    </xf>
    <xf numFmtId="0" fontId="80" fillId="9" borderId="0" xfId="0" applyFont="1" applyFill="1" applyProtection="1">
      <protection hidden="1"/>
    </xf>
    <xf numFmtId="0" fontId="80" fillId="0" borderId="0" xfId="0" applyFont="1" applyAlignment="1" applyProtection="1">
      <alignment horizontal="center" vertical="center"/>
      <protection hidden="1"/>
    </xf>
    <xf numFmtId="0" fontId="80" fillId="0" borderId="0" xfId="0" applyFont="1" applyAlignment="1" applyProtection="1">
      <alignment vertical="center"/>
      <protection hidden="1"/>
    </xf>
    <xf numFmtId="0" fontId="80" fillId="9" borderId="0" xfId="0" applyFont="1" applyFill="1" applyAlignment="1" applyProtection="1">
      <alignment vertical="center"/>
      <protection hidden="1"/>
    </xf>
    <xf numFmtId="0" fontId="19" fillId="9" borderId="0" xfId="0" applyFont="1" applyFill="1" applyAlignment="1" applyProtection="1">
      <alignment vertical="center"/>
      <protection hidden="1"/>
    </xf>
    <xf numFmtId="182" fontId="42" fillId="2" borderId="40" xfId="0" applyNumberFormat="1" applyFont="1" applyFill="1" applyBorder="1" applyAlignment="1" applyProtection="1">
      <alignment vertical="center"/>
      <protection locked="0"/>
    </xf>
    <xf numFmtId="10" fontId="42" fillId="2" borderId="40" xfId="0" applyNumberFormat="1" applyFont="1" applyFill="1" applyBorder="1" applyAlignment="1" applyProtection="1">
      <alignment horizontal="center" vertical="center"/>
      <protection locked="0"/>
    </xf>
    <xf numFmtId="0" fontId="19" fillId="9" borderId="1" xfId="0" applyFont="1" applyFill="1" applyBorder="1" applyAlignment="1" applyProtection="1">
      <alignment vertical="center"/>
      <protection hidden="1"/>
    </xf>
    <xf numFmtId="183" fontId="42" fillId="9" borderId="0" xfId="0" applyNumberFormat="1" applyFont="1" applyFill="1" applyAlignment="1" applyProtection="1">
      <alignment vertical="center"/>
      <protection hidden="1"/>
    </xf>
    <xf numFmtId="1" fontId="19" fillId="9" borderId="0" xfId="4" applyNumberFormat="1" applyFont="1" applyFill="1" applyAlignment="1" applyProtection="1">
      <alignment horizontal="right" vertical="center" indent="1"/>
      <protection hidden="1"/>
    </xf>
    <xf numFmtId="184" fontId="42" fillId="2" borderId="40" xfId="0" applyNumberFormat="1" applyFont="1" applyFill="1" applyBorder="1" applyAlignment="1" applyProtection="1">
      <alignment horizontal="center" vertical="center"/>
      <protection locked="0"/>
    </xf>
    <xf numFmtId="166" fontId="42" fillId="2" borderId="40" xfId="0" applyNumberFormat="1" applyFont="1" applyFill="1" applyBorder="1" applyAlignment="1" applyProtection="1">
      <alignment horizontal="center" vertical="center"/>
      <protection locked="0"/>
    </xf>
    <xf numFmtId="0" fontId="125" fillId="9" borderId="0" xfId="0" applyFont="1" applyFill="1" applyAlignment="1" applyProtection="1">
      <alignment horizontal="center" vertical="center"/>
      <protection hidden="1"/>
    </xf>
    <xf numFmtId="0" fontId="19" fillId="2" borderId="51" xfId="0" applyFont="1" applyFill="1" applyBorder="1" applyAlignment="1" applyProtection="1">
      <alignment horizontal="center" vertical="center"/>
      <protection hidden="1"/>
    </xf>
    <xf numFmtId="0" fontId="19" fillId="2" borderId="217" xfId="0" applyFont="1" applyFill="1" applyBorder="1" applyAlignment="1" applyProtection="1">
      <alignment horizontal="center" vertical="center"/>
      <protection hidden="1"/>
    </xf>
    <xf numFmtId="0" fontId="19" fillId="2" borderId="217" xfId="0" applyFont="1" applyFill="1" applyBorder="1" applyAlignment="1" applyProtection="1">
      <alignment horizontal="center" vertical="center" wrapText="1"/>
      <protection hidden="1"/>
    </xf>
    <xf numFmtId="0" fontId="19" fillId="2" borderId="47" xfId="0" applyFont="1" applyFill="1" applyBorder="1" applyAlignment="1" applyProtection="1">
      <alignment horizontal="center" vertical="center" wrapText="1"/>
      <protection hidden="1"/>
    </xf>
    <xf numFmtId="0" fontId="115" fillId="0" borderId="218" xfId="0" applyFont="1" applyBorder="1" applyAlignment="1" applyProtection="1">
      <alignment horizontal="center" vertical="center"/>
      <protection hidden="1"/>
    </xf>
    <xf numFmtId="185" fontId="42" fillId="18" borderId="219" xfId="0" applyNumberFormat="1" applyFont="1" applyFill="1" applyBorder="1" applyAlignment="1" applyProtection="1">
      <alignment vertical="center"/>
      <protection hidden="1"/>
    </xf>
    <xf numFmtId="185" fontId="42" fillId="9" borderId="219" xfId="0" applyNumberFormat="1" applyFont="1" applyFill="1" applyBorder="1" applyAlignment="1" applyProtection="1">
      <alignment vertical="center"/>
      <protection hidden="1"/>
    </xf>
    <xf numFmtId="185" fontId="42" fillId="9" borderId="97" xfId="0" applyNumberFormat="1" applyFont="1" applyFill="1" applyBorder="1" applyAlignment="1" applyProtection="1">
      <alignment vertical="center"/>
      <protection hidden="1"/>
    </xf>
    <xf numFmtId="0" fontId="115" fillId="0" borderId="158" xfId="0" applyFont="1" applyBorder="1" applyAlignment="1" applyProtection="1">
      <alignment horizontal="center" vertical="center"/>
      <protection hidden="1"/>
    </xf>
    <xf numFmtId="185" fontId="42" fillId="18" borderId="156" xfId="0" applyNumberFormat="1" applyFont="1" applyFill="1" applyBorder="1" applyAlignment="1" applyProtection="1">
      <alignment vertical="center"/>
      <protection hidden="1"/>
    </xf>
    <xf numFmtId="185" fontId="42" fillId="9" borderId="156" xfId="0" applyNumberFormat="1" applyFont="1" applyFill="1" applyBorder="1" applyAlignment="1" applyProtection="1">
      <alignment vertical="center"/>
      <protection hidden="1"/>
    </xf>
    <xf numFmtId="185" fontId="42" fillId="9" borderId="60" xfId="0" applyNumberFormat="1" applyFont="1" applyFill="1" applyBorder="1" applyAlignment="1" applyProtection="1">
      <alignment vertical="center"/>
      <protection hidden="1"/>
    </xf>
    <xf numFmtId="0" fontId="115" fillId="0" borderId="215" xfId="0" applyFont="1" applyBorder="1" applyAlignment="1" applyProtection="1">
      <alignment horizontal="center" vertical="center"/>
      <protection hidden="1"/>
    </xf>
    <xf numFmtId="185" fontId="42" fillId="18" borderId="216" xfId="0" applyNumberFormat="1" applyFont="1" applyFill="1" applyBorder="1" applyAlignment="1" applyProtection="1">
      <alignment vertical="center"/>
      <protection hidden="1"/>
    </xf>
    <xf numFmtId="185" fontId="42" fillId="9" borderId="216" xfId="0" applyNumberFormat="1" applyFont="1" applyFill="1" applyBorder="1" applyAlignment="1" applyProtection="1">
      <alignment vertical="center"/>
      <protection hidden="1"/>
    </xf>
    <xf numFmtId="185" fontId="42" fillId="9" borderId="116" xfId="0" applyNumberFormat="1" applyFont="1" applyFill="1" applyBorder="1" applyAlignment="1" applyProtection="1">
      <alignment vertical="center"/>
      <protection hidden="1"/>
    </xf>
    <xf numFmtId="0" fontId="42" fillId="15" borderId="220" xfId="0" applyFont="1" applyFill="1" applyBorder="1" applyAlignment="1" applyProtection="1">
      <alignment horizontal="center" vertical="center"/>
      <protection hidden="1"/>
    </xf>
    <xf numFmtId="185" fontId="42" fillId="15" borderId="186" xfId="5" applyNumberFormat="1" applyFont="1" applyFill="1" applyBorder="1" applyAlignment="1" applyProtection="1">
      <alignment vertical="center"/>
      <protection hidden="1"/>
    </xf>
    <xf numFmtId="185" fontId="42" fillId="15" borderId="98" xfId="0" applyNumberFormat="1" applyFont="1" applyFill="1" applyBorder="1" applyAlignment="1" applyProtection="1">
      <alignment vertical="center"/>
      <protection hidden="1"/>
    </xf>
    <xf numFmtId="0" fontId="42" fillId="9" borderId="0" xfId="0" applyFont="1" applyFill="1" applyAlignment="1" applyProtection="1">
      <alignment horizontal="center" vertical="center"/>
      <protection hidden="1"/>
    </xf>
    <xf numFmtId="1" fontId="42" fillId="9" borderId="0" xfId="0" applyNumberFormat="1" applyFont="1" applyFill="1" applyAlignment="1" applyProtection="1">
      <alignment horizontal="center"/>
      <protection hidden="1"/>
    </xf>
    <xf numFmtId="0" fontId="75" fillId="0" borderId="0" xfId="0" applyFont="1"/>
    <xf numFmtId="0" fontId="11" fillId="0" borderId="0" xfId="0" applyFont="1" applyAlignment="1" applyProtection="1">
      <alignment vertical="center"/>
      <protection hidden="1"/>
    </xf>
    <xf numFmtId="167" fontId="6" fillId="0" borderId="0" xfId="0" applyNumberFormat="1" applyFont="1" applyAlignment="1" applyProtection="1">
      <alignment vertical="center"/>
      <protection locked="0"/>
    </xf>
    <xf numFmtId="167" fontId="6" fillId="0" borderId="0" xfId="0" applyNumberFormat="1" applyFont="1" applyAlignment="1" applyProtection="1">
      <alignment vertical="center"/>
      <protection hidden="1"/>
    </xf>
    <xf numFmtId="0" fontId="3" fillId="25" borderId="157" xfId="0" applyFont="1" applyFill="1" applyBorder="1" applyAlignment="1">
      <alignment horizontal="center" vertical="center"/>
    </xf>
    <xf numFmtId="166" fontId="19" fillId="25" borderId="221" xfId="0" applyNumberFormat="1" applyFont="1" applyFill="1" applyBorder="1" applyAlignment="1" applyProtection="1">
      <alignment horizontal="center" vertical="center"/>
      <protection hidden="1"/>
    </xf>
    <xf numFmtId="165" fontId="115" fillId="25" borderId="69" xfId="0" applyNumberFormat="1" applyFont="1" applyFill="1" applyBorder="1" applyAlignment="1" applyProtection="1">
      <alignment horizontal="center" vertical="center"/>
      <protection hidden="1"/>
    </xf>
    <xf numFmtId="0" fontId="75" fillId="0" borderId="0" xfId="0" applyFont="1" applyAlignment="1">
      <alignment vertical="center"/>
    </xf>
    <xf numFmtId="0" fontId="155" fillId="0" borderId="0" xfId="0" applyFont="1" applyAlignment="1" applyProtection="1">
      <alignment horizontal="center" vertical="center"/>
      <protection hidden="1"/>
    </xf>
    <xf numFmtId="167" fontId="6" fillId="0" borderId="177" xfId="0" applyNumberFormat="1" applyFont="1" applyBorder="1" applyAlignment="1" applyProtection="1">
      <alignment vertical="center"/>
      <protection locked="0"/>
    </xf>
    <xf numFmtId="165" fontId="106" fillId="0" borderId="4" xfId="0" applyNumberFormat="1" applyFont="1" applyBorder="1" applyAlignment="1" applyProtection="1">
      <alignment horizontal="center" vertical="center"/>
      <protection hidden="1"/>
    </xf>
    <xf numFmtId="0" fontId="155" fillId="0" borderId="0" xfId="0" applyFont="1" applyAlignment="1" applyProtection="1">
      <alignment vertical="center"/>
      <protection hidden="1"/>
    </xf>
    <xf numFmtId="167" fontId="75" fillId="0" borderId="0" xfId="0" applyNumberFormat="1" applyFont="1" applyAlignment="1" applyProtection="1">
      <alignment vertical="center"/>
      <protection hidden="1"/>
    </xf>
    <xf numFmtId="167" fontId="6" fillId="0" borderId="115" xfId="0" applyNumberFormat="1" applyFont="1" applyBorder="1" applyAlignment="1" applyProtection="1">
      <alignment vertical="center"/>
      <protection locked="0"/>
    </xf>
    <xf numFmtId="0" fontId="156" fillId="18" borderId="159" xfId="0" applyFont="1" applyFill="1" applyBorder="1" applyAlignment="1" applyProtection="1">
      <alignment horizontal="right" vertical="center" indent="1"/>
      <protection hidden="1"/>
    </xf>
    <xf numFmtId="167" fontId="6" fillId="18" borderId="18" xfId="0" applyNumberFormat="1" applyFont="1" applyFill="1" applyBorder="1" applyAlignment="1" applyProtection="1">
      <alignment vertical="center"/>
      <protection hidden="1"/>
    </xf>
    <xf numFmtId="9" fontId="106" fillId="18" borderId="222" xfId="0" applyNumberFormat="1" applyFont="1" applyFill="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155" fillId="0" borderId="0" xfId="0" applyFont="1" applyProtection="1">
      <protection hidden="1"/>
    </xf>
    <xf numFmtId="0" fontId="158" fillId="0" borderId="0" xfId="0" applyFont="1" applyAlignment="1" applyProtection="1">
      <alignment vertical="center"/>
      <protection hidden="1"/>
    </xf>
    <xf numFmtId="186" fontId="10" fillId="0" borderId="158" xfId="0" applyNumberFormat="1" applyFont="1" applyBorder="1" applyAlignment="1" applyProtection="1">
      <alignment horizontal="left" vertical="center" indent="1"/>
      <protection hidden="1"/>
    </xf>
    <xf numFmtId="186" fontId="18" fillId="19" borderId="150" xfId="0" applyNumberFormat="1" applyFont="1" applyFill="1" applyBorder="1" applyAlignment="1" applyProtection="1">
      <alignment horizontal="center" vertical="center"/>
      <protection hidden="1"/>
    </xf>
    <xf numFmtId="186" fontId="18" fillId="19" borderId="187" xfId="0" applyNumberFormat="1" applyFont="1" applyFill="1" applyBorder="1" applyAlignment="1" applyProtection="1">
      <alignment horizontal="center" vertical="center"/>
      <protection hidden="1"/>
    </xf>
    <xf numFmtId="186" fontId="18" fillId="19" borderId="201" xfId="0" applyNumberFormat="1" applyFont="1" applyFill="1" applyBorder="1" applyAlignment="1" applyProtection="1">
      <alignment horizontal="center" vertical="center"/>
      <protection hidden="1"/>
    </xf>
    <xf numFmtId="186" fontId="18" fillId="19" borderId="191" xfId="0" applyNumberFormat="1" applyFont="1" applyFill="1" applyBorder="1" applyAlignment="1" applyProtection="1">
      <alignment horizontal="center" vertical="center"/>
      <protection hidden="1"/>
    </xf>
    <xf numFmtId="186" fontId="18" fillId="19" borderId="188" xfId="0" applyNumberFormat="1" applyFont="1" applyFill="1" applyBorder="1" applyAlignment="1" applyProtection="1">
      <alignment horizontal="center" vertical="center"/>
      <protection hidden="1"/>
    </xf>
    <xf numFmtId="167" fontId="160" fillId="2" borderId="177" xfId="0" applyNumberFormat="1" applyFont="1" applyFill="1" applyBorder="1" applyAlignment="1" applyProtection="1">
      <alignment vertical="center"/>
      <protection hidden="1"/>
    </xf>
    <xf numFmtId="167" fontId="160" fillId="0" borderId="9" xfId="0" applyNumberFormat="1" applyFont="1" applyBorder="1" applyAlignment="1" applyProtection="1">
      <alignment vertical="center"/>
      <protection hidden="1"/>
    </xf>
    <xf numFmtId="167" fontId="160" fillId="0" borderId="183" xfId="0" applyNumberFormat="1" applyFont="1" applyBorder="1" applyAlignment="1" applyProtection="1">
      <alignment vertical="center"/>
      <protection hidden="1"/>
    </xf>
    <xf numFmtId="167" fontId="160" fillId="0" borderId="0" xfId="0" applyNumberFormat="1" applyFont="1" applyAlignment="1" applyProtection="1">
      <alignment vertical="center"/>
      <protection hidden="1"/>
    </xf>
    <xf numFmtId="167" fontId="3" fillId="2" borderId="36" xfId="0" applyNumberFormat="1" applyFont="1" applyFill="1" applyBorder="1" applyAlignment="1" applyProtection="1">
      <alignment vertical="center"/>
      <protection hidden="1"/>
    </xf>
    <xf numFmtId="167" fontId="160" fillId="2" borderId="60" xfId="0" applyNumberFormat="1" applyFont="1" applyFill="1" applyBorder="1" applyAlignment="1" applyProtection="1">
      <alignment vertical="center"/>
      <protection hidden="1"/>
    </xf>
    <xf numFmtId="0" fontId="10" fillId="23" borderId="3" xfId="0" applyFont="1" applyFill="1" applyBorder="1" applyAlignment="1" applyProtection="1">
      <alignment horizontal="left" vertical="center" indent="1"/>
      <protection hidden="1"/>
    </xf>
    <xf numFmtId="167" fontId="160" fillId="23" borderId="177" xfId="0" applyNumberFormat="1" applyFont="1" applyFill="1" applyBorder="1" applyAlignment="1" applyProtection="1">
      <alignment vertical="center"/>
      <protection hidden="1"/>
    </xf>
    <xf numFmtId="167" fontId="160" fillId="23" borderId="156" xfId="0" applyNumberFormat="1" applyFont="1" applyFill="1" applyBorder="1" applyAlignment="1" applyProtection="1">
      <alignment vertical="center"/>
      <protection hidden="1"/>
    </xf>
    <xf numFmtId="167" fontId="160" fillId="23" borderId="27" xfId="0" applyNumberFormat="1" applyFont="1" applyFill="1" applyBorder="1" applyAlignment="1" applyProtection="1">
      <alignment vertical="center"/>
      <protection hidden="1"/>
    </xf>
    <xf numFmtId="167" fontId="160" fillId="23" borderId="36" xfId="0" applyNumberFormat="1" applyFont="1" applyFill="1" applyBorder="1" applyAlignment="1" applyProtection="1">
      <alignment vertical="center"/>
      <protection hidden="1"/>
    </xf>
    <xf numFmtId="0" fontId="10" fillId="22" borderId="3" xfId="0" applyFont="1" applyFill="1" applyBorder="1" applyAlignment="1" applyProtection="1">
      <alignment horizontal="left" vertical="center" indent="1"/>
      <protection hidden="1"/>
    </xf>
    <xf numFmtId="167" fontId="160" fillId="22" borderId="177" xfId="0" applyNumberFormat="1" applyFont="1" applyFill="1" applyBorder="1" applyAlignment="1" applyProtection="1">
      <alignment vertical="center"/>
      <protection hidden="1"/>
    </xf>
    <xf numFmtId="167" fontId="160" fillId="22" borderId="156" xfId="0" applyNumberFormat="1" applyFont="1" applyFill="1" applyBorder="1" applyAlignment="1" applyProtection="1">
      <alignment vertical="center"/>
      <protection hidden="1"/>
    </xf>
    <xf numFmtId="167" fontId="160" fillId="22" borderId="27" xfId="0" applyNumberFormat="1" applyFont="1" applyFill="1" applyBorder="1" applyAlignment="1" applyProtection="1">
      <alignment vertical="center"/>
      <protection hidden="1"/>
    </xf>
    <xf numFmtId="167" fontId="160" fillId="22" borderId="36" xfId="0" applyNumberFormat="1" applyFont="1" applyFill="1" applyBorder="1" applyAlignment="1" applyProtection="1">
      <alignment vertical="center"/>
      <protection hidden="1"/>
    </xf>
    <xf numFmtId="0" fontId="119" fillId="2" borderId="152" xfId="0" applyFont="1" applyFill="1" applyBorder="1" applyAlignment="1" applyProtection="1">
      <alignment horizontal="left" vertical="center" indent="1"/>
      <protection hidden="1"/>
    </xf>
    <xf numFmtId="167" fontId="119" fillId="2" borderId="54" xfId="0" applyNumberFormat="1" applyFont="1" applyFill="1" applyBorder="1" applyAlignment="1" applyProtection="1">
      <alignment vertical="center"/>
      <protection hidden="1"/>
    </xf>
    <xf numFmtId="167" fontId="119" fillId="2" borderId="203" xfId="0" applyNumberFormat="1" applyFont="1" applyFill="1" applyBorder="1" applyAlignment="1" applyProtection="1">
      <alignment vertical="center"/>
      <protection hidden="1"/>
    </xf>
    <xf numFmtId="167" fontId="119" fillId="2" borderId="63" xfId="0" applyNumberFormat="1" applyFont="1" applyFill="1" applyBorder="1" applyAlignment="1" applyProtection="1">
      <alignment vertical="center"/>
      <protection hidden="1"/>
    </xf>
    <xf numFmtId="0" fontId="10" fillId="20" borderId="22" xfId="0" applyFont="1" applyFill="1" applyBorder="1" applyAlignment="1" applyProtection="1">
      <alignment horizontal="left" vertical="center" indent="1"/>
      <protection hidden="1"/>
    </xf>
    <xf numFmtId="167" fontId="160" fillId="20" borderId="198" xfId="0" applyNumberFormat="1" applyFont="1" applyFill="1" applyBorder="1" applyAlignment="1" applyProtection="1">
      <alignment vertical="center"/>
      <protection hidden="1"/>
    </xf>
    <xf numFmtId="167" fontId="160" fillId="20" borderId="34" xfId="0" applyNumberFormat="1" applyFont="1" applyFill="1" applyBorder="1" applyAlignment="1" applyProtection="1">
      <alignment vertical="center"/>
      <protection hidden="1"/>
    </xf>
    <xf numFmtId="0" fontId="0" fillId="0" borderId="0" xfId="0"/>
    <xf numFmtId="0" fontId="42" fillId="0" borderId="0" xfId="0" applyFont="1" applyAlignment="1">
      <alignment horizontal="right"/>
    </xf>
    <xf numFmtId="0" fontId="19" fillId="0" borderId="0" xfId="0" applyFont="1" applyAlignment="1">
      <alignment horizontal="right"/>
    </xf>
    <xf numFmtId="0" fontId="19" fillId="21" borderId="7" xfId="0" applyFont="1" applyFill="1" applyBorder="1" applyAlignment="1" applyProtection="1">
      <alignment vertical="center"/>
      <protection hidden="1"/>
    </xf>
    <xf numFmtId="166" fontId="19" fillId="21" borderId="46" xfId="0" applyNumberFormat="1" applyFont="1" applyFill="1" applyBorder="1" applyAlignment="1" applyProtection="1">
      <alignment horizontal="left" vertical="center"/>
      <protection hidden="1"/>
    </xf>
    <xf numFmtId="0" fontId="42" fillId="0" borderId="0" xfId="0" applyFont="1" applyAlignment="1">
      <alignment horizontal="right" vertical="center"/>
    </xf>
    <xf numFmtId="0" fontId="19" fillId="0" borderId="0" xfId="0" applyFont="1" applyAlignment="1" applyProtection="1">
      <alignment horizontal="left" vertical="center"/>
      <protection hidden="1"/>
    </xf>
    <xf numFmtId="0" fontId="19" fillId="0" borderId="0" xfId="0" applyFont="1" applyAlignment="1" applyProtection="1">
      <alignment horizontal="right" vertical="center"/>
      <protection hidden="1"/>
    </xf>
    <xf numFmtId="0" fontId="42" fillId="0" borderId="0" xfId="0" applyFont="1" applyAlignment="1">
      <alignment vertical="center"/>
    </xf>
    <xf numFmtId="0" fontId="151" fillId="22" borderId="232" xfId="0" applyFont="1" applyFill="1" applyBorder="1" applyAlignment="1" applyProtection="1">
      <alignment horizontal="center" vertical="center"/>
      <protection hidden="1"/>
    </xf>
    <xf numFmtId="0" fontId="19" fillId="22" borderId="4" xfId="0" applyFont="1" applyFill="1" applyBorder="1" applyAlignment="1" applyProtection="1">
      <alignment horizontal="center" vertical="center"/>
      <protection hidden="1"/>
    </xf>
    <xf numFmtId="167" fontId="42" fillId="0" borderId="234" xfId="0" applyNumberFormat="1" applyFont="1" applyBorder="1" applyAlignment="1" applyProtection="1">
      <alignment vertical="center"/>
      <protection locked="0"/>
    </xf>
    <xf numFmtId="167" fontId="42" fillId="23" borderId="174" xfId="0" applyNumberFormat="1" applyFont="1" applyFill="1" applyBorder="1" applyAlignment="1">
      <alignment horizontal="right" vertical="center"/>
    </xf>
    <xf numFmtId="170" fontId="151" fillId="22" borderId="232" xfId="0" applyNumberFormat="1" applyFont="1" applyFill="1" applyBorder="1" applyAlignment="1" applyProtection="1">
      <alignment horizontal="center" vertical="center"/>
      <protection hidden="1"/>
    </xf>
    <xf numFmtId="167" fontId="42" fillId="22" borderId="4" xfId="0" applyNumberFormat="1" applyFont="1" applyFill="1" applyBorder="1" applyAlignment="1" applyProtection="1">
      <alignment horizontal="right" vertical="center"/>
      <protection hidden="1"/>
    </xf>
    <xf numFmtId="167" fontId="42" fillId="0" borderId="231" xfId="0" applyNumberFormat="1" applyFont="1" applyBorder="1" applyAlignment="1" applyProtection="1">
      <alignment vertical="center"/>
      <protection locked="0"/>
    </xf>
    <xf numFmtId="0" fontId="80" fillId="0" borderId="0" xfId="0" applyFont="1" applyAlignment="1">
      <alignment horizontal="right"/>
    </xf>
    <xf numFmtId="167" fontId="42" fillId="18" borderId="236" xfId="0" applyNumberFormat="1" applyFont="1" applyFill="1" applyBorder="1" applyAlignment="1" applyProtection="1">
      <alignment horizontal="right" vertical="center"/>
      <protection hidden="1"/>
    </xf>
    <xf numFmtId="167" fontId="80" fillId="23" borderId="239" xfId="0" applyNumberFormat="1" applyFont="1" applyFill="1" applyBorder="1" applyAlignment="1">
      <alignment horizontal="right" vertical="center"/>
    </xf>
    <xf numFmtId="170" fontId="163" fillId="22" borderId="237" xfId="0" applyNumberFormat="1" applyFont="1" applyFill="1" applyBorder="1" applyAlignment="1" applyProtection="1">
      <alignment horizontal="center" vertical="center"/>
      <protection hidden="1"/>
    </xf>
    <xf numFmtId="167" fontId="80" fillId="22" borderId="222" xfId="0" applyNumberFormat="1" applyFont="1" applyFill="1" applyBorder="1" applyAlignment="1" applyProtection="1">
      <alignment horizontal="right" vertical="center"/>
      <protection hidden="1"/>
    </xf>
    <xf numFmtId="0" fontId="42" fillId="0" borderId="0" xfId="0" applyFont="1" applyAlignment="1">
      <alignment horizontal="center"/>
    </xf>
    <xf numFmtId="0" fontId="80" fillId="0" borderId="0" xfId="0" applyFont="1" applyAlignment="1">
      <alignment horizontal="center"/>
    </xf>
    <xf numFmtId="167" fontId="42" fillId="0" borderId="0" xfId="0" applyNumberFormat="1" applyFont="1" applyAlignment="1">
      <alignment horizontal="right"/>
    </xf>
    <xf numFmtId="167" fontId="42" fillId="0" borderId="0" xfId="0" applyNumberFormat="1" applyFont="1" applyAlignment="1">
      <alignment horizontal="center"/>
    </xf>
    <xf numFmtId="167" fontId="80" fillId="0" borderId="0" xfId="0" applyNumberFormat="1" applyFont="1" applyAlignment="1">
      <alignment horizontal="center"/>
    </xf>
    <xf numFmtId="0" fontId="141" fillId="0" borderId="0" xfId="0" applyFont="1" applyAlignment="1" applyProtection="1">
      <alignment horizontal="center" vertical="center"/>
      <protection hidden="1"/>
    </xf>
    <xf numFmtId="0" fontId="3" fillId="0" borderId="0" xfId="0" applyFont="1" applyAlignment="1">
      <alignment horizontal="center"/>
    </xf>
    <xf numFmtId="0" fontId="3" fillId="0" borderId="42" xfId="0" applyFont="1" applyBorder="1"/>
    <xf numFmtId="0" fontId="3" fillId="0" borderId="19" xfId="0" applyFont="1" applyBorder="1"/>
    <xf numFmtId="0" fontId="3" fillId="0" borderId="25" xfId="0" applyFont="1" applyBorder="1"/>
    <xf numFmtId="10" fontId="147" fillId="2" borderId="240" xfId="0" applyNumberFormat="1" applyFont="1" applyFill="1" applyBorder="1" applyAlignment="1" applyProtection="1">
      <alignment horizontal="center" vertical="center"/>
      <protection locked="0"/>
    </xf>
    <xf numFmtId="0" fontId="10" fillId="0" borderId="21" xfId="0" applyFont="1" applyBorder="1" applyAlignment="1">
      <alignment vertical="center"/>
    </xf>
    <xf numFmtId="10" fontId="147" fillId="17" borderId="241" xfId="0" applyNumberFormat="1" applyFont="1" applyFill="1" applyBorder="1" applyAlignment="1" applyProtection="1">
      <alignment horizontal="center" vertical="center"/>
      <protection locked="0"/>
    </xf>
    <xf numFmtId="0" fontId="10" fillId="15" borderId="238" xfId="0" applyFont="1" applyFill="1" applyBorder="1" applyAlignment="1" applyProtection="1">
      <alignment horizontal="left" vertical="center" indent="1"/>
      <protection hidden="1"/>
    </xf>
    <xf numFmtId="0" fontId="10" fillId="15" borderId="239" xfId="0" applyFont="1" applyFill="1" applyBorder="1" applyAlignment="1" applyProtection="1">
      <alignment horizontal="center" vertical="center"/>
      <protection hidden="1"/>
    </xf>
    <xf numFmtId="190" fontId="10" fillId="0" borderId="0" xfId="0" applyNumberFormat="1" applyFont="1" applyAlignment="1">
      <alignment horizontal="center" vertical="center"/>
    </xf>
    <xf numFmtId="170" fontId="10" fillId="0" borderId="0" xfId="0" applyNumberFormat="1" applyFont="1" applyAlignment="1">
      <alignment horizontal="center" vertical="center"/>
    </xf>
    <xf numFmtId="10" fontId="50" fillId="0" borderId="0" xfId="0" applyNumberFormat="1" applyFont="1" applyAlignment="1" applyProtection="1">
      <alignment horizontal="center" vertical="center"/>
      <protection locked="0"/>
    </xf>
    <xf numFmtId="0" fontId="164" fillId="0" borderId="108" xfId="0" applyFont="1" applyBorder="1" applyAlignment="1" applyProtection="1">
      <alignment horizontal="left" vertical="center" indent="1"/>
      <protection hidden="1"/>
    </xf>
    <xf numFmtId="10" fontId="147" fillId="0" borderId="0" xfId="0" applyNumberFormat="1" applyFont="1" applyAlignment="1" applyProtection="1">
      <alignment horizontal="center" vertical="center"/>
      <protection hidden="1"/>
    </xf>
    <xf numFmtId="10" fontId="147" fillId="0" borderId="147" xfId="0" applyNumberFormat="1" applyFont="1" applyBorder="1" applyAlignment="1" applyProtection="1">
      <alignment horizontal="center" vertical="center"/>
      <protection hidden="1"/>
    </xf>
    <xf numFmtId="191" fontId="10" fillId="0" borderId="96" xfId="0" applyNumberFormat="1" applyFont="1" applyBorder="1" applyAlignment="1" applyProtection="1">
      <alignment horizontal="center" vertical="center"/>
      <protection hidden="1"/>
    </xf>
    <xf numFmtId="0" fontId="164" fillId="0" borderId="158" xfId="0" applyFont="1" applyBorder="1" applyAlignment="1" applyProtection="1">
      <alignment horizontal="left" vertical="center" indent="1"/>
      <protection hidden="1"/>
    </xf>
    <xf numFmtId="10" fontId="147" fillId="0" borderId="27" xfId="0" applyNumberFormat="1" applyFont="1" applyBorder="1" applyAlignment="1" applyProtection="1">
      <alignment horizontal="center" vertical="center"/>
      <protection hidden="1"/>
    </xf>
    <xf numFmtId="10" fontId="147" fillId="0" borderId="33" xfId="0" applyNumberFormat="1" applyFont="1" applyBorder="1" applyAlignment="1" applyProtection="1">
      <alignment horizontal="center" vertical="center"/>
      <protection hidden="1"/>
    </xf>
    <xf numFmtId="191" fontId="10" fillId="0" borderId="60" xfId="0" applyNumberFormat="1" applyFont="1" applyBorder="1" applyAlignment="1" applyProtection="1">
      <alignment horizontal="center" vertical="center"/>
      <protection hidden="1"/>
    </xf>
    <xf numFmtId="170" fontId="10" fillId="15" borderId="246" xfId="0" applyNumberFormat="1" applyFont="1" applyFill="1" applyBorder="1" applyAlignment="1">
      <alignment horizontal="center" vertical="center"/>
    </xf>
    <xf numFmtId="10" fontId="10" fillId="15" borderId="247" xfId="0" applyNumberFormat="1" applyFont="1" applyFill="1" applyBorder="1" applyAlignment="1" applyProtection="1">
      <alignment horizontal="center" vertical="center"/>
      <protection locked="0"/>
    </xf>
    <xf numFmtId="0" fontId="164" fillId="0" borderId="248" xfId="0" applyFont="1" applyBorder="1" applyAlignment="1" applyProtection="1">
      <alignment horizontal="left" vertical="center" indent="1"/>
      <protection locked="0" hidden="1"/>
    </xf>
    <xf numFmtId="10" fontId="147" fillId="2" borderId="131" xfId="0" applyNumberFormat="1" applyFont="1" applyFill="1" applyBorder="1" applyAlignment="1" applyProtection="1">
      <alignment horizontal="center" vertical="center"/>
      <protection locked="0"/>
    </xf>
    <xf numFmtId="10" fontId="147" fillId="17" borderId="249" xfId="0" applyNumberFormat="1" applyFont="1" applyFill="1" applyBorder="1" applyAlignment="1" applyProtection="1">
      <alignment horizontal="center" vertical="center"/>
      <protection locked="0"/>
    </xf>
    <xf numFmtId="0" fontId="164" fillId="0" borderId="232" xfId="0" applyFont="1" applyBorder="1" applyAlignment="1" applyProtection="1">
      <alignment horizontal="left" vertical="center" indent="1"/>
      <protection locked="0" hidden="1"/>
    </xf>
    <xf numFmtId="10" fontId="147" fillId="2" borderId="27" xfId="0" applyNumberFormat="1" applyFont="1" applyFill="1" applyBorder="1" applyAlignment="1" applyProtection="1">
      <alignment horizontal="center" vertical="center"/>
      <protection locked="0"/>
    </xf>
    <xf numFmtId="10" fontId="147" fillId="17" borderId="174" xfId="0" applyNumberFormat="1" applyFont="1" applyFill="1" applyBorder="1" applyAlignment="1" applyProtection="1">
      <alignment horizontal="center" vertical="center"/>
      <protection locked="0"/>
    </xf>
    <xf numFmtId="170" fontId="164" fillId="0" borderId="250" xfId="0" applyNumberFormat="1" applyFont="1" applyBorder="1" applyAlignment="1" applyProtection="1">
      <alignment horizontal="left" vertical="center" indent="1"/>
      <protection locked="0" hidden="1"/>
    </xf>
    <xf numFmtId="10" fontId="147" fillId="2" borderId="161" xfId="0" applyNumberFormat="1" applyFont="1" applyFill="1" applyBorder="1" applyAlignment="1" applyProtection="1">
      <alignment horizontal="center" vertical="center"/>
      <protection locked="0"/>
    </xf>
    <xf numFmtId="10" fontId="147" fillId="17" borderId="247" xfId="0" applyNumberFormat="1" applyFont="1" applyFill="1" applyBorder="1" applyAlignment="1" applyProtection="1">
      <alignment horizontal="center" vertical="center"/>
      <protection locked="0"/>
    </xf>
    <xf numFmtId="170" fontId="10" fillId="18" borderId="251" xfId="0" applyNumberFormat="1" applyFont="1" applyFill="1" applyBorder="1" applyAlignment="1" applyProtection="1">
      <alignment horizontal="right" vertical="center" indent="1"/>
      <protection locked="0" hidden="1"/>
    </xf>
    <xf numFmtId="10" fontId="147" fillId="18" borderId="10" xfId="0" applyNumberFormat="1" applyFont="1" applyFill="1" applyBorder="1" applyAlignment="1" applyProtection="1">
      <alignment horizontal="center" vertical="center"/>
      <protection hidden="1"/>
    </xf>
    <xf numFmtId="10" fontId="147" fillId="18" borderId="155" xfId="0" applyNumberFormat="1" applyFont="1" applyFill="1" applyBorder="1" applyAlignment="1" applyProtection="1">
      <alignment horizontal="center" vertical="center"/>
      <protection hidden="1"/>
    </xf>
    <xf numFmtId="0" fontId="10" fillId="0" borderId="22" xfId="0" applyFont="1" applyBorder="1" applyAlignment="1">
      <alignment vertical="center"/>
    </xf>
    <xf numFmtId="0" fontId="10" fillId="0" borderId="15" xfId="0" applyFont="1" applyBorder="1" applyAlignment="1">
      <alignment vertical="center"/>
    </xf>
    <xf numFmtId="190" fontId="148" fillId="0" borderId="15" xfId="0" applyNumberFormat="1" applyFont="1" applyBorder="1" applyAlignment="1" applyProtection="1">
      <alignment horizontal="center" vertical="center"/>
      <protection hidden="1"/>
    </xf>
    <xf numFmtId="10" fontId="148" fillId="0" borderId="15" xfId="0" applyNumberFormat="1" applyFont="1" applyBorder="1" applyAlignment="1" applyProtection="1">
      <alignment horizontal="center" vertical="center"/>
      <protection hidden="1"/>
    </xf>
    <xf numFmtId="0" fontId="10" fillId="0" borderId="41" xfId="0" applyFont="1" applyBorder="1" applyAlignment="1">
      <alignment vertical="center"/>
    </xf>
    <xf numFmtId="0" fontId="29" fillId="18" borderId="220" xfId="0" applyFont="1" applyFill="1" applyBorder="1" applyAlignment="1" applyProtection="1">
      <alignment horizontal="right" vertical="center" indent="1"/>
      <protection hidden="1"/>
    </xf>
    <xf numFmtId="10" fontId="147" fillId="18" borderId="20" xfId="0" applyNumberFormat="1" applyFont="1" applyFill="1" applyBorder="1" applyAlignment="1" applyProtection="1">
      <alignment horizontal="center" vertical="center"/>
      <protection hidden="1"/>
    </xf>
    <xf numFmtId="10" fontId="147" fillId="18" borderId="252" xfId="0" applyNumberFormat="1" applyFont="1" applyFill="1" applyBorder="1" applyAlignment="1" applyProtection="1">
      <alignment horizontal="center" vertical="center"/>
      <protection hidden="1"/>
    </xf>
    <xf numFmtId="191" fontId="10" fillId="18" borderId="98" xfId="0" applyNumberFormat="1" applyFont="1" applyFill="1" applyBorder="1" applyAlignment="1" applyProtection="1">
      <alignment horizontal="left" vertical="center" indent="1"/>
      <protection hidden="1"/>
    </xf>
    <xf numFmtId="0" fontId="18" fillId="0" borderId="0" xfId="0" applyFont="1" applyAlignment="1" applyProtection="1">
      <alignment horizontal="left" vertical="center" indent="1"/>
      <protection locked="0"/>
    </xf>
    <xf numFmtId="192" fontId="3" fillId="0" borderId="0" xfId="1" applyNumberFormat="1" applyFont="1" applyAlignment="1">
      <alignment horizontal="center"/>
    </xf>
    <xf numFmtId="0" fontId="84" fillId="0" borderId="0" xfId="0" applyFont="1" applyAlignment="1">
      <alignment horizontal="right" vertical="center" indent="1"/>
    </xf>
    <xf numFmtId="10" fontId="146" fillId="2" borderId="154" xfId="0" applyNumberFormat="1" applyFont="1" applyFill="1" applyBorder="1" applyAlignment="1" applyProtection="1">
      <alignment horizontal="center" vertical="center"/>
      <protection hidden="1"/>
    </xf>
    <xf numFmtId="193" fontId="3" fillId="0" borderId="0" xfId="4" applyNumberFormat="1" applyFont="1"/>
    <xf numFmtId="190" fontId="3" fillId="0" borderId="0" xfId="0" applyNumberFormat="1" applyFont="1" applyAlignment="1">
      <alignment horizontal="center"/>
    </xf>
    <xf numFmtId="170" fontId="3" fillId="0" borderId="0" xfId="0" applyNumberFormat="1" applyFont="1" applyAlignment="1">
      <alignment horizontal="center"/>
    </xf>
    <xf numFmtId="170" fontId="3" fillId="0" borderId="0" xfId="0" applyNumberFormat="1" applyFont="1"/>
    <xf numFmtId="185" fontId="3" fillId="0" borderId="0" xfId="0" applyNumberFormat="1" applyFont="1" applyProtection="1">
      <protection hidden="1"/>
    </xf>
    <xf numFmtId="4" fontId="3" fillId="0" borderId="0" xfId="0" applyNumberFormat="1" applyFont="1"/>
    <xf numFmtId="4" fontId="3" fillId="0" borderId="0" xfId="0" applyNumberFormat="1" applyFont="1" applyAlignment="1">
      <alignment horizontal="center"/>
    </xf>
    <xf numFmtId="0" fontId="165" fillId="0" borderId="0" xfId="0" applyFont="1" applyAlignment="1" applyProtection="1">
      <alignment vertical="center"/>
      <protection hidden="1"/>
    </xf>
    <xf numFmtId="0" fontId="167" fillId="0" borderId="0" xfId="0" applyFont="1" applyAlignment="1" applyProtection="1">
      <alignment horizontal="center" vertical="center"/>
      <protection hidden="1"/>
    </xf>
    <xf numFmtId="189" fontId="151" fillId="2" borderId="230" xfId="0" applyNumberFormat="1" applyFont="1" applyFill="1" applyBorder="1" applyAlignment="1" applyProtection="1">
      <alignment horizontal="center" vertical="center"/>
      <protection hidden="1"/>
    </xf>
    <xf numFmtId="189" fontId="19" fillId="2" borderId="231" xfId="0" applyNumberFormat="1" applyFont="1" applyFill="1" applyBorder="1" applyAlignment="1" applyProtection="1">
      <alignment horizontal="center" vertical="center"/>
      <protection hidden="1"/>
    </xf>
    <xf numFmtId="170" fontId="151" fillId="0" borderId="233" xfId="0" applyNumberFormat="1" applyFont="1" applyBorder="1" applyAlignment="1" applyProtection="1">
      <alignment horizontal="center" vertical="center"/>
      <protection locked="0"/>
    </xf>
    <xf numFmtId="170" fontId="151" fillId="0" borderId="230" xfId="0" applyNumberFormat="1" applyFont="1" applyBorder="1" applyAlignment="1" applyProtection="1">
      <alignment horizontal="center" vertical="center"/>
      <protection locked="0"/>
    </xf>
    <xf numFmtId="170" fontId="151" fillId="18" borderId="235" xfId="0" applyNumberFormat="1" applyFont="1" applyFill="1" applyBorder="1" applyAlignment="1" applyProtection="1">
      <alignment horizontal="center" vertical="center"/>
      <protection hidden="1"/>
    </xf>
    <xf numFmtId="0" fontId="165" fillId="0" borderId="1" xfId="0" applyFont="1" applyBorder="1" applyAlignment="1" applyProtection="1">
      <alignment vertical="center"/>
      <protection hidden="1"/>
    </xf>
    <xf numFmtId="0" fontId="151" fillId="18" borderId="177" xfId="0" applyFont="1" applyFill="1" applyBorder="1" applyAlignment="1" applyProtection="1">
      <alignment horizontal="center" vertical="center"/>
      <protection hidden="1"/>
    </xf>
    <xf numFmtId="170" fontId="151" fillId="18" borderId="177" xfId="0" applyNumberFormat="1" applyFont="1" applyFill="1" applyBorder="1" applyAlignment="1" applyProtection="1">
      <alignment horizontal="center" vertical="center"/>
      <protection hidden="1"/>
    </xf>
    <xf numFmtId="170" fontId="163" fillId="18" borderId="238" xfId="0" applyNumberFormat="1" applyFont="1" applyFill="1" applyBorder="1" applyAlignment="1" applyProtection="1">
      <alignment horizontal="center" vertical="center"/>
      <protection hidden="1"/>
    </xf>
    <xf numFmtId="0" fontId="19" fillId="18" borderId="174" xfId="0" applyFont="1" applyFill="1" applyBorder="1" applyAlignment="1" applyProtection="1">
      <alignment horizontal="center" vertical="center"/>
      <protection hidden="1"/>
    </xf>
    <xf numFmtId="167" fontId="42" fillId="18" borderId="249" xfId="0" applyNumberFormat="1" applyFont="1" applyFill="1" applyBorder="1" applyAlignment="1" applyProtection="1">
      <alignment horizontal="right" vertical="center"/>
      <protection hidden="1"/>
    </xf>
    <xf numFmtId="167" fontId="42" fillId="18" borderId="174" xfId="0" applyNumberFormat="1" applyFont="1" applyFill="1" applyBorder="1" applyAlignment="1" applyProtection="1">
      <alignment horizontal="right" vertical="center"/>
      <protection hidden="1"/>
    </xf>
    <xf numFmtId="167" fontId="80" fillId="18" borderId="239" xfId="0" applyNumberFormat="1" applyFont="1" applyFill="1" applyBorder="1" applyAlignment="1" applyProtection="1">
      <alignment horizontal="right" vertical="center"/>
      <protection hidden="1"/>
    </xf>
    <xf numFmtId="165" fontId="151" fillId="23" borderId="177" xfId="0" applyNumberFormat="1" applyFont="1" applyFill="1" applyBorder="1" applyAlignment="1" applyProtection="1">
      <alignment horizontal="center" vertical="center"/>
      <protection locked="0"/>
    </xf>
    <xf numFmtId="165" fontId="163" fillId="23" borderId="238" xfId="0" applyNumberFormat="1" applyFont="1" applyFill="1" applyBorder="1" applyAlignment="1">
      <alignment horizontal="center" vertical="center"/>
    </xf>
    <xf numFmtId="0" fontId="151" fillId="22" borderId="177" xfId="0" applyFont="1" applyFill="1" applyBorder="1" applyAlignment="1" applyProtection="1">
      <alignment horizontal="center" vertical="center"/>
      <protection hidden="1"/>
    </xf>
    <xf numFmtId="170" fontId="151" fillId="22" borderId="177" xfId="0" applyNumberFormat="1" applyFont="1" applyFill="1" applyBorder="1" applyAlignment="1" applyProtection="1">
      <alignment horizontal="center" vertical="center"/>
      <protection hidden="1"/>
    </xf>
    <xf numFmtId="170" fontId="163" fillId="22" borderId="238" xfId="0" applyNumberFormat="1" applyFont="1" applyFill="1" applyBorder="1" applyAlignment="1" applyProtection="1">
      <alignment horizontal="center" vertical="center"/>
      <protection hidden="1"/>
    </xf>
    <xf numFmtId="167" fontId="151" fillId="23" borderId="177" xfId="0" applyNumberFormat="1" applyFont="1" applyFill="1" applyBorder="1" applyAlignment="1" applyProtection="1">
      <alignment horizontal="center" vertical="center"/>
      <protection hidden="1"/>
    </xf>
    <xf numFmtId="167" fontId="42" fillId="23" borderId="174" xfId="0" applyNumberFormat="1" applyFont="1" applyFill="1" applyBorder="1" applyAlignment="1" applyProtection="1">
      <alignment horizontal="center" vertical="center"/>
      <protection hidden="1"/>
    </xf>
    <xf numFmtId="1" fontId="76" fillId="0" borderId="0" xfId="0" applyNumberFormat="1" applyFont="1" applyAlignment="1" applyProtection="1">
      <alignment horizontal="center" vertical="center"/>
      <protection hidden="1"/>
    </xf>
    <xf numFmtId="167" fontId="76" fillId="0" borderId="0" xfId="0" applyNumberFormat="1" applyFont="1" applyAlignment="1" applyProtection="1">
      <alignment horizontal="center" vertical="center"/>
      <protection hidden="1"/>
    </xf>
    <xf numFmtId="188" fontId="124" fillId="0" borderId="0" xfId="0" applyNumberFormat="1" applyFont="1" applyAlignment="1" applyProtection="1">
      <alignment horizontal="left" vertical="center"/>
      <protection hidden="1"/>
    </xf>
    <xf numFmtId="188" fontId="8" fillId="0" borderId="0" xfId="0" applyNumberFormat="1" applyFont="1" applyAlignment="1" applyProtection="1">
      <alignment vertical="center"/>
      <protection hidden="1"/>
    </xf>
    <xf numFmtId="0" fontId="9" fillId="3" borderId="7" xfId="0" applyFont="1" applyFill="1" applyBorder="1" applyAlignment="1" applyProtection="1">
      <alignment horizontal="left" vertical="center" indent="1"/>
      <protection hidden="1"/>
    </xf>
    <xf numFmtId="181" fontId="12" fillId="17" borderId="250" xfId="0" applyNumberFormat="1" applyFont="1" applyFill="1" applyBorder="1" applyAlignment="1" applyProtection="1">
      <alignment horizontal="center" vertical="center"/>
      <protection hidden="1"/>
    </xf>
    <xf numFmtId="181" fontId="12" fillId="17" borderId="181" xfId="0" applyNumberFormat="1" applyFont="1" applyFill="1" applyBorder="1" applyAlignment="1" applyProtection="1">
      <alignment horizontal="center" vertical="center"/>
      <protection hidden="1"/>
    </xf>
    <xf numFmtId="181" fontId="12" fillId="17" borderId="247" xfId="0" applyNumberFormat="1" applyFont="1" applyFill="1" applyBorder="1" applyAlignment="1" applyProtection="1">
      <alignment horizontal="center" vertical="center"/>
      <protection hidden="1"/>
    </xf>
    <xf numFmtId="167" fontId="67" fillId="0" borderId="0" xfId="0" applyNumberFormat="1" applyFont="1" applyAlignment="1" applyProtection="1">
      <alignment horizontal="right" vertical="center"/>
      <protection locked="0" hidden="1"/>
    </xf>
    <xf numFmtId="166" fontId="38" fillId="19" borderId="22" xfId="0" applyNumberFormat="1" applyFont="1" applyFill="1" applyBorder="1" applyAlignment="1" applyProtection="1">
      <alignment horizontal="center" vertical="top"/>
      <protection locked="0"/>
    </xf>
    <xf numFmtId="166" fontId="38" fillId="19" borderId="41" xfId="0" applyNumberFormat="1" applyFont="1" applyFill="1" applyBorder="1" applyAlignment="1" applyProtection="1">
      <alignment horizontal="center" vertical="top"/>
      <protection locked="0"/>
    </xf>
    <xf numFmtId="0" fontId="29" fillId="0" borderId="83" xfId="0" applyFont="1" applyBorder="1" applyAlignment="1" applyProtection="1">
      <alignment horizontal="left" vertical="center" indent="1"/>
      <protection hidden="1"/>
    </xf>
    <xf numFmtId="0" fontId="29" fillId="0" borderId="128" xfId="0" applyFont="1" applyBorder="1" applyAlignment="1" applyProtection="1">
      <alignment horizontal="left" vertical="center" indent="1"/>
      <protection hidden="1"/>
    </xf>
    <xf numFmtId="0" fontId="0" fillId="0" borderId="89" xfId="0" applyBorder="1" applyAlignment="1">
      <alignment horizontal="left" vertical="center" indent="1"/>
    </xf>
    <xf numFmtId="0" fontId="29" fillId="0" borderId="16" xfId="0" applyFont="1" applyBorder="1" applyAlignment="1" applyProtection="1">
      <alignment horizontal="left" vertical="center" indent="1"/>
      <protection hidden="1"/>
    </xf>
    <xf numFmtId="0" fontId="29" fillId="0" borderId="17" xfId="0" applyFont="1" applyBorder="1" applyAlignment="1" applyProtection="1">
      <alignment horizontal="left" vertical="center" indent="1"/>
      <protection hidden="1"/>
    </xf>
    <xf numFmtId="0" fontId="0" fillId="0" borderId="87" xfId="0" applyBorder="1" applyAlignment="1">
      <alignment horizontal="left" vertical="center" indent="1"/>
    </xf>
    <xf numFmtId="0" fontId="29" fillId="0" borderId="82" xfId="0" applyFont="1" applyBorder="1" applyAlignment="1" applyProtection="1">
      <alignment horizontal="left" vertical="center" indent="1"/>
      <protection hidden="1"/>
    </xf>
    <xf numFmtId="0" fontId="29" fillId="0" borderId="13" xfId="0" applyFont="1" applyBorder="1" applyAlignment="1" applyProtection="1">
      <alignment horizontal="left" vertical="center" indent="1"/>
      <protection hidden="1"/>
    </xf>
    <xf numFmtId="0" fontId="0" fillId="0" borderId="88" xfId="0" applyBorder="1" applyAlignment="1">
      <alignment horizontal="left" vertical="center" indent="1"/>
    </xf>
    <xf numFmtId="0" fontId="0" fillId="0" borderId="128" xfId="0" applyBorder="1" applyAlignment="1">
      <alignment horizontal="left" vertical="center" indent="1"/>
    </xf>
    <xf numFmtId="0" fontId="29" fillId="0" borderId="86" xfId="0" applyFont="1" applyBorder="1" applyAlignment="1" applyProtection="1">
      <alignment horizontal="left" vertical="center" indent="1"/>
      <protection hidden="1"/>
    </xf>
    <xf numFmtId="0" fontId="29" fillId="0" borderId="129" xfId="0" applyFont="1" applyBorder="1" applyAlignment="1" applyProtection="1">
      <alignment horizontal="left" vertical="center" indent="1"/>
      <protection hidden="1"/>
    </xf>
    <xf numFmtId="0" fontId="0" fillId="0" borderId="90" xfId="0" applyBorder="1" applyAlignment="1">
      <alignment horizontal="left" vertical="center" indent="1"/>
    </xf>
    <xf numFmtId="0" fontId="84" fillId="15" borderId="103" xfId="0" applyFont="1" applyFill="1" applyBorder="1" applyAlignment="1" applyProtection="1">
      <alignment horizontal="left" vertical="center" indent="1"/>
      <protection hidden="1"/>
    </xf>
    <xf numFmtId="0" fontId="84" fillId="15" borderId="77" xfId="0" applyFont="1" applyFill="1" applyBorder="1" applyAlignment="1" applyProtection="1">
      <alignment horizontal="left" vertical="center" indent="1"/>
      <protection hidden="1"/>
    </xf>
    <xf numFmtId="0" fontId="36" fillId="19" borderId="42" xfId="0" applyFont="1" applyFill="1" applyBorder="1" applyAlignment="1" applyProtection="1">
      <alignment horizontal="center"/>
      <protection locked="0"/>
    </xf>
    <xf numFmtId="0" fontId="36" fillId="19" borderId="25" xfId="0" applyFont="1" applyFill="1" applyBorder="1" applyAlignment="1" applyProtection="1">
      <alignment horizontal="center"/>
      <protection locked="0"/>
    </xf>
    <xf numFmtId="1" fontId="36" fillId="19" borderId="42" xfId="0" applyNumberFormat="1" applyFont="1" applyFill="1" applyBorder="1" applyAlignment="1" applyProtection="1">
      <alignment horizontal="center"/>
      <protection hidden="1"/>
    </xf>
    <xf numFmtId="1" fontId="36" fillId="19" borderId="25" xfId="0" applyNumberFormat="1" applyFont="1" applyFill="1" applyBorder="1" applyAlignment="1" applyProtection="1">
      <alignment horizontal="center"/>
      <protection hidden="1"/>
    </xf>
    <xf numFmtId="0" fontId="129" fillId="0" borderId="0" xfId="0" applyFont="1" applyAlignment="1" applyProtection="1">
      <alignment horizontal="left" vertical="center"/>
      <protection hidden="1"/>
    </xf>
    <xf numFmtId="0" fontId="84" fillId="2" borderId="84" xfId="0" applyFont="1" applyFill="1" applyBorder="1" applyAlignment="1" applyProtection="1">
      <alignment horizontal="left" vertical="center" indent="1"/>
      <protection hidden="1"/>
    </xf>
    <xf numFmtId="0" fontId="84" fillId="2" borderId="10" xfId="0" applyFont="1" applyFill="1" applyBorder="1" applyAlignment="1" applyProtection="1">
      <alignment horizontal="left" vertical="center" indent="1"/>
      <protection hidden="1"/>
    </xf>
    <xf numFmtId="0" fontId="92" fillId="2" borderId="94" xfId="0" applyFont="1" applyFill="1" applyBorder="1" applyAlignment="1" applyProtection="1">
      <alignment horizontal="left" vertical="center" indent="1"/>
      <protection hidden="1"/>
    </xf>
    <xf numFmtId="0" fontId="26" fillId="11" borderId="103" xfId="0" applyFont="1" applyFill="1" applyBorder="1" applyAlignment="1" applyProtection="1">
      <alignment horizontal="left" vertical="center" indent="1"/>
      <protection hidden="1"/>
    </xf>
    <xf numFmtId="0" fontId="26" fillId="11" borderId="134" xfId="0" applyFont="1" applyFill="1" applyBorder="1" applyAlignment="1" applyProtection="1">
      <alignment horizontal="left" vertical="center" indent="1"/>
      <protection hidden="1"/>
    </xf>
    <xf numFmtId="0" fontId="0" fillId="0" borderId="104" xfId="0" applyBorder="1" applyAlignment="1">
      <alignment horizontal="left" vertical="center" indent="1"/>
    </xf>
    <xf numFmtId="0" fontId="84" fillId="15" borderId="84" xfId="0" applyFont="1" applyFill="1" applyBorder="1" applyAlignment="1" applyProtection="1">
      <alignment horizontal="left" vertical="center" indent="1"/>
      <protection hidden="1"/>
    </xf>
    <xf numFmtId="0" fontId="84" fillId="15" borderId="10" xfId="0" applyFont="1" applyFill="1" applyBorder="1" applyAlignment="1" applyProtection="1">
      <alignment horizontal="left" vertical="center" indent="1"/>
      <protection hidden="1"/>
    </xf>
    <xf numFmtId="0" fontId="92" fillId="15" borderId="94" xfId="0" applyFont="1" applyFill="1" applyBorder="1" applyAlignment="1" applyProtection="1">
      <alignment horizontal="left" vertical="center" indent="1"/>
      <protection hidden="1"/>
    </xf>
    <xf numFmtId="0" fontId="26" fillId="11" borderId="84" xfId="0" applyFont="1" applyFill="1" applyBorder="1" applyAlignment="1" applyProtection="1">
      <alignment horizontal="left" vertical="center" indent="1"/>
      <protection hidden="1"/>
    </xf>
    <xf numFmtId="0" fontId="26" fillId="11" borderId="10" xfId="0" applyFont="1" applyFill="1" applyBorder="1" applyAlignment="1" applyProtection="1">
      <alignment horizontal="left" vertical="center" indent="1"/>
      <protection hidden="1"/>
    </xf>
    <xf numFmtId="0" fontId="0" fillId="0" borderId="94" xfId="0" applyBorder="1" applyAlignment="1">
      <alignment horizontal="left" vertical="center" indent="1"/>
    </xf>
    <xf numFmtId="0" fontId="18" fillId="3" borderId="22" xfId="0" applyFont="1" applyFill="1" applyBorder="1" applyAlignment="1" applyProtection="1">
      <alignment horizontal="left" vertical="center" indent="1"/>
      <protection hidden="1"/>
    </xf>
    <xf numFmtId="0" fontId="18" fillId="3" borderId="15" xfId="0" applyFont="1" applyFill="1" applyBorder="1" applyAlignment="1" applyProtection="1">
      <alignment horizontal="left" vertical="center" indent="1"/>
      <protection hidden="1"/>
    </xf>
    <xf numFmtId="0" fontId="0" fillId="3" borderId="41" xfId="0" applyFill="1" applyBorder="1" applyAlignment="1" applyProtection="1">
      <alignment horizontal="left" vertical="center" indent="1"/>
      <protection hidden="1"/>
    </xf>
    <xf numFmtId="0" fontId="29" fillId="0" borderId="50" xfId="0" applyFont="1" applyBorder="1" applyAlignment="1" applyProtection="1">
      <alignment horizontal="left" vertical="center" wrapText="1" indent="1"/>
      <protection hidden="1"/>
    </xf>
    <xf numFmtId="0" fontId="29" fillId="0" borderId="131" xfId="0" applyFont="1" applyBorder="1" applyAlignment="1" applyProtection="1">
      <alignment horizontal="left" vertical="center" wrapText="1" indent="1"/>
      <protection hidden="1"/>
    </xf>
    <xf numFmtId="0" fontId="0" fillId="0" borderId="44" xfId="0" applyBorder="1" applyAlignment="1">
      <alignment horizontal="left" vertical="center" indent="1"/>
    </xf>
    <xf numFmtId="0" fontId="24" fillId="0" borderId="92" xfId="0" quotePrefix="1" applyFont="1" applyBorder="1" applyAlignment="1" applyProtection="1">
      <alignment horizontal="left" vertical="center" indent="1"/>
      <protection hidden="1"/>
    </xf>
    <xf numFmtId="0" fontId="24" fillId="0" borderId="132" xfId="0" quotePrefix="1" applyFont="1" applyBorder="1" applyAlignment="1" applyProtection="1">
      <alignment horizontal="left" vertical="center" indent="1"/>
      <protection hidden="1"/>
    </xf>
    <xf numFmtId="0" fontId="0" fillId="0" borderId="93" xfId="0" applyBorder="1" applyAlignment="1">
      <alignment horizontal="left" vertical="center" indent="1"/>
    </xf>
    <xf numFmtId="0" fontId="23" fillId="0" borderId="83" xfId="0" applyFont="1" applyBorder="1" applyAlignment="1" applyProtection="1">
      <alignment horizontal="left" vertical="center" indent="1"/>
      <protection hidden="1"/>
    </xf>
    <xf numFmtId="0" fontId="24" fillId="0" borderId="83" xfId="0" quotePrefix="1" applyFont="1" applyBorder="1" applyAlignment="1" applyProtection="1">
      <alignment horizontal="left" vertical="center" indent="1"/>
      <protection hidden="1"/>
    </xf>
    <xf numFmtId="0" fontId="24" fillId="0" borderId="128" xfId="0" quotePrefix="1" applyFont="1" applyBorder="1" applyAlignment="1" applyProtection="1">
      <alignment horizontal="left" vertical="center" indent="1"/>
      <protection hidden="1"/>
    </xf>
    <xf numFmtId="0" fontId="79" fillId="15" borderId="84" xfId="0" applyFont="1" applyFill="1" applyBorder="1" applyAlignment="1" applyProtection="1">
      <alignment horizontal="left" vertical="center" indent="1"/>
      <protection hidden="1"/>
    </xf>
    <xf numFmtId="0" fontId="79" fillId="15" borderId="10" xfId="0" applyFont="1" applyFill="1" applyBorder="1" applyAlignment="1" applyProtection="1">
      <alignment horizontal="left" vertical="center" indent="1"/>
      <protection hidden="1"/>
    </xf>
    <xf numFmtId="0" fontId="19" fillId="15" borderId="94" xfId="0" applyFont="1" applyFill="1" applyBorder="1" applyAlignment="1" applyProtection="1">
      <alignment horizontal="left" vertical="center" indent="1"/>
      <protection hidden="1"/>
    </xf>
    <xf numFmtId="0" fontId="29" fillId="0" borderId="105" xfId="0" applyFont="1" applyBorder="1" applyAlignment="1" applyProtection="1">
      <alignment horizontal="left" vertical="center" indent="1"/>
      <protection hidden="1"/>
    </xf>
    <xf numFmtId="0" fontId="29" fillId="0" borderId="133" xfId="0" applyFont="1" applyBorder="1" applyAlignment="1" applyProtection="1">
      <alignment horizontal="left" vertical="center" indent="1"/>
      <protection hidden="1"/>
    </xf>
    <xf numFmtId="0" fontId="0" fillId="0" borderId="106" xfId="0" applyBorder="1" applyAlignment="1">
      <alignment horizontal="left" vertical="center" indent="1"/>
    </xf>
    <xf numFmtId="0" fontId="24" fillId="0" borderId="82" xfId="0" quotePrefix="1" applyFont="1" applyBorder="1" applyAlignment="1" applyProtection="1">
      <alignment horizontal="left" vertical="center" indent="1"/>
      <protection hidden="1"/>
    </xf>
    <xf numFmtId="0" fontId="24" fillId="0" borderId="13" xfId="0" quotePrefix="1" applyFont="1" applyBorder="1" applyAlignment="1" applyProtection="1">
      <alignment horizontal="left" vertical="center" indent="1"/>
      <protection hidden="1"/>
    </xf>
    <xf numFmtId="0" fontId="23" fillId="0" borderId="1" xfId="0" applyFont="1" applyBorder="1" applyAlignment="1" applyProtection="1">
      <alignment horizontal="left" vertical="center" indent="1"/>
      <protection hidden="1"/>
    </xf>
    <xf numFmtId="0" fontId="23" fillId="0" borderId="0" xfId="0" applyFont="1" applyAlignment="1" applyProtection="1">
      <alignment horizontal="left" vertical="center" indent="1"/>
      <protection hidden="1"/>
    </xf>
    <xf numFmtId="0" fontId="0" fillId="0" borderId="21" xfId="0" applyBorder="1" applyAlignment="1">
      <alignment horizontal="left" vertical="center" indent="1"/>
    </xf>
    <xf numFmtId="0" fontId="28" fillId="2" borderId="42" xfId="0" applyFont="1" applyFill="1" applyBorder="1" applyAlignment="1" applyProtection="1">
      <alignment horizontal="left" vertical="center" indent="1"/>
      <protection hidden="1"/>
    </xf>
    <xf numFmtId="0" fontId="28" fillId="2" borderId="19" xfId="0" applyFont="1" applyFill="1" applyBorder="1" applyAlignment="1" applyProtection="1">
      <alignment horizontal="left" vertical="center" indent="1"/>
      <protection hidden="1"/>
    </xf>
    <xf numFmtId="0" fontId="1" fillId="2" borderId="25" xfId="0" applyFont="1" applyFill="1" applyBorder="1" applyAlignment="1" applyProtection="1">
      <alignment horizontal="left" vertical="center" indent="1"/>
      <protection hidden="1"/>
    </xf>
    <xf numFmtId="0" fontId="18" fillId="3" borderId="209" xfId="0" applyFont="1" applyFill="1" applyBorder="1" applyAlignment="1" applyProtection="1">
      <alignment horizontal="left" vertical="center" indent="1"/>
      <protection hidden="1"/>
    </xf>
    <xf numFmtId="0" fontId="18" fillId="3" borderId="210" xfId="0" applyFont="1" applyFill="1" applyBorder="1" applyAlignment="1" applyProtection="1">
      <alignment horizontal="left" vertical="center" indent="1"/>
      <protection hidden="1"/>
    </xf>
    <xf numFmtId="0" fontId="0" fillId="3" borderId="208" xfId="0" applyFill="1" applyBorder="1" applyAlignment="1" applyProtection="1">
      <alignment horizontal="left" vertical="center" indent="1"/>
      <protection hidden="1"/>
    </xf>
    <xf numFmtId="0" fontId="18" fillId="6" borderId="85" xfId="0" applyFont="1" applyFill="1" applyBorder="1" applyAlignment="1" applyProtection="1">
      <alignment horizontal="left" vertical="center" indent="1"/>
      <protection hidden="1"/>
    </xf>
    <xf numFmtId="0" fontId="18" fillId="6" borderId="130" xfId="0" applyFont="1" applyFill="1" applyBorder="1" applyAlignment="1" applyProtection="1">
      <alignment horizontal="left" vertical="center" indent="1"/>
      <protection hidden="1"/>
    </xf>
    <xf numFmtId="0" fontId="48" fillId="0" borderId="91" xfId="0" applyFont="1" applyBorder="1" applyAlignment="1" applyProtection="1">
      <alignment horizontal="left" vertical="center" indent="1"/>
      <protection hidden="1"/>
    </xf>
    <xf numFmtId="0" fontId="29" fillId="0" borderId="42" xfId="0" applyFont="1" applyBorder="1" applyAlignment="1" applyProtection="1">
      <alignment horizontal="left" vertical="center" indent="1"/>
      <protection hidden="1"/>
    </xf>
    <xf numFmtId="0" fontId="29" fillId="0" borderId="19" xfId="0" applyFont="1" applyBorder="1" applyAlignment="1" applyProtection="1">
      <alignment horizontal="left" vertical="center" indent="1"/>
      <protection hidden="1"/>
    </xf>
    <xf numFmtId="0" fontId="0" fillId="0" borderId="25" xfId="0" applyBorder="1" applyAlignment="1" applyProtection="1">
      <alignment horizontal="left" vertical="center" indent="1"/>
      <protection hidden="1"/>
    </xf>
    <xf numFmtId="0" fontId="29" fillId="0" borderId="100" xfId="0" applyFont="1" applyBorder="1" applyAlignment="1" applyProtection="1">
      <alignment horizontal="left" vertical="center" indent="1"/>
      <protection hidden="1"/>
    </xf>
    <xf numFmtId="0" fontId="29" fillId="0" borderId="14" xfId="0" applyFont="1" applyBorder="1" applyAlignment="1" applyProtection="1">
      <alignment horizontal="left" vertical="center" indent="1"/>
      <protection hidden="1"/>
    </xf>
    <xf numFmtId="0" fontId="0" fillId="0" borderId="102" xfId="0" applyBorder="1" applyAlignment="1" applyProtection="1">
      <alignment horizontal="left" vertical="center" indent="1"/>
      <protection hidden="1"/>
    </xf>
    <xf numFmtId="0" fontId="28" fillId="0" borderId="83" xfId="0" applyFont="1" applyBorder="1" applyAlignment="1" applyProtection="1">
      <alignment horizontal="left" vertical="center" indent="1"/>
      <protection hidden="1"/>
    </xf>
    <xf numFmtId="0" fontId="28" fillId="0" borderId="128" xfId="0" applyFont="1" applyBorder="1" applyAlignment="1" applyProtection="1">
      <alignment horizontal="left" vertical="center" indent="1"/>
      <protection hidden="1"/>
    </xf>
    <xf numFmtId="0" fontId="0" fillId="0" borderId="89" xfId="0" applyBorder="1" applyAlignment="1" applyProtection="1">
      <alignment horizontal="left" vertical="center" indent="1"/>
      <protection hidden="1"/>
    </xf>
    <xf numFmtId="0" fontId="79" fillId="15" borderId="23" xfId="0" applyFont="1" applyFill="1" applyBorder="1" applyAlignment="1" applyProtection="1">
      <alignment horizontal="left" vertical="center" indent="1"/>
      <protection hidden="1"/>
    </xf>
    <xf numFmtId="0" fontId="79" fillId="15" borderId="20" xfId="0" applyFont="1" applyFill="1" applyBorder="1" applyAlignment="1" applyProtection="1">
      <alignment horizontal="left" vertical="center" indent="1"/>
      <protection hidden="1"/>
    </xf>
    <xf numFmtId="0" fontId="19" fillId="15" borderId="24" xfId="0" applyFont="1" applyFill="1" applyBorder="1" applyAlignment="1" applyProtection="1">
      <alignment horizontal="left" vertical="center" indent="1"/>
      <protection hidden="1"/>
    </xf>
    <xf numFmtId="0" fontId="0" fillId="0" borderId="106" xfId="0" applyBorder="1" applyAlignment="1" applyProtection="1">
      <alignment horizontal="left" vertical="center" indent="1"/>
      <protection hidden="1"/>
    </xf>
    <xf numFmtId="0" fontId="29" fillId="0" borderId="103" xfId="0" applyFont="1" applyBorder="1" applyAlignment="1" applyProtection="1">
      <alignment horizontal="left" vertical="center" indent="1"/>
      <protection hidden="1"/>
    </xf>
    <xf numFmtId="0" fontId="29" fillId="0" borderId="134" xfId="0" applyFont="1" applyBorder="1" applyAlignment="1" applyProtection="1">
      <alignment horizontal="left" vertical="center" indent="1"/>
      <protection hidden="1"/>
    </xf>
    <xf numFmtId="0" fontId="0" fillId="0" borderId="104" xfId="0" applyBorder="1" applyAlignment="1" applyProtection="1">
      <alignment horizontal="left" vertical="center" indent="1"/>
      <protection hidden="1"/>
    </xf>
    <xf numFmtId="0" fontId="0" fillId="0" borderId="88" xfId="0" applyBorder="1" applyAlignment="1" applyProtection="1">
      <alignment horizontal="left" vertical="center" indent="1"/>
      <protection hidden="1"/>
    </xf>
    <xf numFmtId="0" fontId="29" fillId="4" borderId="84" xfId="0" applyFont="1" applyFill="1" applyBorder="1" applyAlignment="1" applyProtection="1">
      <alignment horizontal="left" vertical="center" indent="1"/>
      <protection hidden="1"/>
    </xf>
    <xf numFmtId="0" fontId="29" fillId="4" borderId="10" xfId="0" applyFont="1" applyFill="1" applyBorder="1" applyAlignment="1" applyProtection="1">
      <alignment horizontal="left" vertical="center" indent="1"/>
      <protection hidden="1"/>
    </xf>
    <xf numFmtId="0" fontId="1" fillId="0" borderId="94" xfId="0" applyFont="1" applyBorder="1" applyAlignment="1">
      <alignment horizontal="left" vertical="center" indent="1"/>
    </xf>
    <xf numFmtId="0" fontId="29" fillId="0" borderId="1" xfId="0" applyFont="1" applyBorder="1" applyAlignment="1" applyProtection="1">
      <alignment horizontal="left" vertical="center" indent="1"/>
      <protection hidden="1"/>
    </xf>
    <xf numFmtId="0" fontId="29" fillId="0" borderId="0" xfId="0" applyFont="1" applyAlignment="1" applyProtection="1">
      <alignment horizontal="left" vertical="center" indent="1"/>
      <protection hidden="1"/>
    </xf>
    <xf numFmtId="0" fontId="0" fillId="0" borderId="21" xfId="0" applyBorder="1" applyAlignment="1" applyProtection="1">
      <alignment horizontal="left" vertical="center" indent="1"/>
      <protection hidden="1"/>
    </xf>
    <xf numFmtId="0" fontId="79" fillId="2" borderId="209" xfId="0" applyFont="1" applyFill="1" applyBorder="1" applyAlignment="1" applyProtection="1">
      <alignment horizontal="left" vertical="center" indent="1"/>
      <protection hidden="1"/>
    </xf>
    <xf numFmtId="0" fontId="79" fillId="2" borderId="210" xfId="0" applyFont="1" applyFill="1" applyBorder="1" applyAlignment="1" applyProtection="1">
      <alignment horizontal="left" vertical="center" indent="1"/>
      <protection hidden="1"/>
    </xf>
    <xf numFmtId="0" fontId="19" fillId="2" borderId="208" xfId="0" applyFont="1" applyFill="1" applyBorder="1" applyAlignment="1">
      <alignment horizontal="left" vertical="center" indent="1"/>
    </xf>
    <xf numFmtId="0" fontId="0" fillId="0" borderId="90" xfId="0" applyBorder="1" applyAlignment="1" applyProtection="1">
      <alignment horizontal="left" vertical="center" indent="1"/>
      <protection hidden="1"/>
    </xf>
    <xf numFmtId="0" fontId="149" fillId="0" borderId="0" xfId="0" applyFont="1" applyAlignment="1" applyProtection="1">
      <alignment horizontal="center" vertical="center"/>
      <protection hidden="1"/>
    </xf>
    <xf numFmtId="0" fontId="150" fillId="0" borderId="0" xfId="0" applyFont="1" applyAlignment="1">
      <alignment horizontal="center" vertical="center"/>
    </xf>
    <xf numFmtId="0" fontId="101" fillId="0" borderId="0" xfId="0" applyFont="1" applyAlignment="1" applyProtection="1">
      <alignment horizontal="right" vertical="center" indent="1"/>
      <protection hidden="1"/>
    </xf>
    <xf numFmtId="0" fontId="102" fillId="0" borderId="0" xfId="0" applyFont="1" applyAlignment="1">
      <alignment horizontal="right" vertical="center" indent="1"/>
    </xf>
    <xf numFmtId="0" fontId="142" fillId="15" borderId="48" xfId="0" applyFont="1" applyFill="1" applyBorder="1" applyAlignment="1" applyProtection="1">
      <alignment horizontal="center" vertical="center"/>
      <protection hidden="1"/>
    </xf>
    <xf numFmtId="0" fontId="142" fillId="15" borderId="12" xfId="0" applyFont="1" applyFill="1" applyBorder="1" applyAlignment="1" applyProtection="1">
      <alignment horizontal="center" vertical="center"/>
      <protection hidden="1"/>
    </xf>
    <xf numFmtId="0" fontId="19" fillId="15" borderId="12" xfId="0" applyFont="1" applyFill="1" applyBorder="1" applyAlignment="1">
      <alignment horizontal="center" vertical="center"/>
    </xf>
    <xf numFmtId="0" fontId="19" fillId="15" borderId="43" xfId="0" applyFont="1" applyFill="1" applyBorder="1" applyAlignment="1">
      <alignment horizontal="center" vertical="center"/>
    </xf>
    <xf numFmtId="175" fontId="19" fillId="15" borderId="74" xfId="3" applyFont="1" applyFill="1" applyBorder="1" applyAlignment="1" applyProtection="1">
      <alignment horizontal="center" vertical="center"/>
      <protection hidden="1"/>
    </xf>
    <xf numFmtId="175" fontId="19" fillId="15" borderId="161" xfId="3" applyFont="1" applyFill="1" applyBorder="1" applyAlignment="1" applyProtection="1">
      <alignment horizontal="center" vertical="center"/>
      <protection hidden="1"/>
    </xf>
    <xf numFmtId="0" fontId="10" fillId="0" borderId="1" xfId="0" applyFont="1" applyBorder="1" applyAlignment="1" applyProtection="1">
      <alignment horizontal="left" vertical="center" indent="1"/>
      <protection locked="0"/>
    </xf>
    <xf numFmtId="0" fontId="0" fillId="0" borderId="0" xfId="0" applyAlignment="1">
      <alignment horizontal="left" indent="1"/>
    </xf>
    <xf numFmtId="0" fontId="0" fillId="0" borderId="148" xfId="0" applyBorder="1" applyAlignment="1">
      <alignment horizontal="left" indent="1"/>
    </xf>
    <xf numFmtId="0" fontId="10" fillId="0" borderId="3" xfId="0" applyFont="1" applyBorder="1" applyAlignment="1" applyProtection="1">
      <alignment horizontal="left" vertical="center" indent="1"/>
      <protection locked="0"/>
    </xf>
    <xf numFmtId="0" fontId="0" fillId="0" borderId="27" xfId="0" applyBorder="1" applyAlignment="1">
      <alignment horizontal="left" indent="1"/>
    </xf>
    <xf numFmtId="0" fontId="0" fillId="0" borderId="175" xfId="0" applyBorder="1" applyAlignment="1">
      <alignment horizontal="left" indent="1"/>
    </xf>
    <xf numFmtId="0" fontId="151" fillId="2" borderId="23" xfId="0" applyFont="1" applyFill="1" applyBorder="1" applyAlignment="1" applyProtection="1">
      <alignment horizontal="right" vertical="center" indent="1"/>
      <protection hidden="1"/>
    </xf>
    <xf numFmtId="0" fontId="151" fillId="2" borderId="20" xfId="0" applyFont="1" applyFill="1" applyBorder="1" applyAlignment="1" applyProtection="1">
      <alignment horizontal="right" vertical="center" indent="1"/>
      <protection hidden="1"/>
    </xf>
    <xf numFmtId="175" fontId="10" fillId="15" borderId="74" xfId="3" applyFont="1" applyFill="1" applyBorder="1" applyAlignment="1" applyProtection="1">
      <alignment horizontal="center" vertical="center"/>
      <protection hidden="1"/>
    </xf>
    <xf numFmtId="175" fontId="10" fillId="15" borderId="161" xfId="3" applyFont="1" applyFill="1" applyBorder="1" applyAlignment="1" applyProtection="1">
      <alignment horizontal="center" vertical="center"/>
      <protection hidden="1"/>
    </xf>
    <xf numFmtId="0" fontId="151" fillId="2" borderId="20" xfId="0" applyFont="1" applyFill="1" applyBorder="1" applyAlignment="1">
      <alignment horizontal="right" vertical="center" indent="1"/>
    </xf>
    <xf numFmtId="0" fontId="123" fillId="15" borderId="143" xfId="0" applyFont="1" applyFill="1" applyBorder="1" applyAlignment="1" applyProtection="1">
      <alignment horizontal="center" vertical="center" wrapText="1"/>
      <protection hidden="1"/>
    </xf>
    <xf numFmtId="0" fontId="123" fillId="15" borderId="144" xfId="0" applyFont="1" applyFill="1" applyBorder="1" applyAlignment="1" applyProtection="1">
      <alignment horizontal="center" vertical="center" wrapText="1"/>
      <protection hidden="1"/>
    </xf>
    <xf numFmtId="0" fontId="123" fillId="15" borderId="145" xfId="0" applyFont="1" applyFill="1" applyBorder="1" applyAlignment="1" applyProtection="1">
      <alignment horizontal="center" vertical="center" wrapText="1"/>
      <protection hidden="1"/>
    </xf>
    <xf numFmtId="0" fontId="36" fillId="19" borderId="7" xfId="0" applyFont="1" applyFill="1" applyBorder="1" applyAlignment="1" applyProtection="1">
      <alignment horizontal="center" vertical="center"/>
      <protection locked="0"/>
    </xf>
    <xf numFmtId="0" fontId="36" fillId="19" borderId="46" xfId="0" applyFont="1" applyFill="1" applyBorder="1" applyAlignment="1" applyProtection="1">
      <alignment horizontal="center" vertical="center"/>
      <protection locked="0"/>
    </xf>
    <xf numFmtId="1" fontId="36" fillId="19" borderId="7" xfId="0" applyNumberFormat="1" applyFont="1" applyFill="1" applyBorder="1" applyAlignment="1" applyProtection="1">
      <alignment horizontal="center" vertical="center"/>
      <protection hidden="1"/>
    </xf>
    <xf numFmtId="1" fontId="36" fillId="19" borderId="46" xfId="0" applyNumberFormat="1" applyFont="1" applyFill="1" applyBorder="1" applyAlignment="1" applyProtection="1">
      <alignment horizontal="center" vertical="center"/>
      <protection hidden="1"/>
    </xf>
    <xf numFmtId="177" fontId="84" fillId="0" borderId="9" xfId="0" applyNumberFormat="1" applyFont="1" applyBorder="1" applyAlignment="1" applyProtection="1">
      <alignment horizontal="left" vertical="center" indent="1"/>
      <protection hidden="1"/>
    </xf>
    <xf numFmtId="177" fontId="84" fillId="0" borderId="0" xfId="0" applyNumberFormat="1" applyFont="1" applyAlignment="1" applyProtection="1">
      <alignment horizontal="left" vertical="center" indent="1"/>
      <protection hidden="1"/>
    </xf>
    <xf numFmtId="0" fontId="0" fillId="0" borderId="192" xfId="0" applyBorder="1" applyAlignment="1">
      <alignment horizontal="left" indent="1"/>
    </xf>
    <xf numFmtId="178" fontId="110" fillId="0" borderId="0" xfId="0" applyNumberFormat="1" applyFont="1" applyAlignment="1" applyProtection="1">
      <alignment horizontal="left" vertical="center" indent="1"/>
      <protection hidden="1"/>
    </xf>
    <xf numFmtId="179" fontId="53" fillId="0" borderId="0" xfId="0" applyNumberFormat="1" applyFont="1" applyAlignment="1" applyProtection="1">
      <alignment horizontal="left" vertical="center"/>
      <protection hidden="1"/>
    </xf>
    <xf numFmtId="0" fontId="0" fillId="0" borderId="192" xfId="0" applyBorder="1" applyAlignment="1">
      <alignment horizontal="left"/>
    </xf>
    <xf numFmtId="180" fontId="84" fillId="0" borderId="0" xfId="0" applyNumberFormat="1" applyFont="1" applyAlignment="1" applyProtection="1">
      <alignment horizontal="left" vertical="center"/>
      <protection hidden="1"/>
    </xf>
    <xf numFmtId="0" fontId="146" fillId="14" borderId="0" xfId="0" applyFont="1" applyFill="1" applyAlignment="1" applyProtection="1">
      <alignment horizontal="left" vertical="center" indent="1"/>
      <protection hidden="1"/>
    </xf>
    <xf numFmtId="0" fontId="146" fillId="14" borderId="192" xfId="0" applyFont="1" applyFill="1" applyBorder="1" applyAlignment="1" applyProtection="1">
      <alignment horizontal="left" vertical="center" indent="1"/>
      <protection hidden="1"/>
    </xf>
    <xf numFmtId="0" fontId="83" fillId="14" borderId="0" xfId="0" applyFont="1" applyFill="1" applyAlignment="1" applyProtection="1">
      <alignment horizontal="left" vertical="center"/>
      <protection hidden="1"/>
    </xf>
    <xf numFmtId="0" fontId="52" fillId="2" borderId="42" xfId="0" applyFont="1" applyFill="1" applyBorder="1" applyAlignment="1" applyProtection="1">
      <alignment horizontal="left" vertical="center" wrapText="1" indent="1"/>
      <protection hidden="1"/>
    </xf>
    <xf numFmtId="0" fontId="52" fillId="2" borderId="19" xfId="0" applyFont="1" applyFill="1" applyBorder="1" applyAlignment="1" applyProtection="1">
      <alignment horizontal="left" vertical="center" wrapText="1" indent="1"/>
      <protection hidden="1"/>
    </xf>
    <xf numFmtId="0" fontId="0" fillId="0" borderId="25" xfId="0" applyBorder="1" applyAlignment="1">
      <alignment horizontal="left" indent="1"/>
    </xf>
    <xf numFmtId="167" fontId="53" fillId="2" borderId="23" xfId="0" applyNumberFormat="1" applyFont="1" applyFill="1" applyBorder="1" applyAlignment="1" applyProtection="1">
      <alignment horizontal="left" vertical="center" wrapText="1" indent="1"/>
      <protection hidden="1"/>
    </xf>
    <xf numFmtId="167" fontId="53" fillId="2" borderId="20" xfId="0" applyNumberFormat="1" applyFont="1" applyFill="1" applyBorder="1" applyAlignment="1" applyProtection="1">
      <alignment horizontal="left" vertical="center" wrapText="1" indent="1"/>
      <protection hidden="1"/>
    </xf>
    <xf numFmtId="0" fontId="0" fillId="0" borderId="24" xfId="0" applyBorder="1" applyAlignment="1">
      <alignment horizontal="left" indent="1"/>
    </xf>
    <xf numFmtId="0" fontId="11" fillId="3" borderId="7" xfId="0" applyFont="1" applyFill="1" applyBorder="1" applyAlignment="1" applyProtection="1">
      <alignment horizontal="center" vertical="center"/>
      <protection hidden="1"/>
    </xf>
    <xf numFmtId="0" fontId="11" fillId="3" borderId="8" xfId="0" applyFont="1" applyFill="1" applyBorder="1" applyAlignment="1" applyProtection="1">
      <alignment horizontal="center" vertical="center"/>
      <protection hidden="1"/>
    </xf>
    <xf numFmtId="0" fontId="0" fillId="0" borderId="46" xfId="0" applyBorder="1" applyAlignment="1">
      <alignment vertical="center"/>
    </xf>
    <xf numFmtId="0" fontId="29" fillId="0" borderId="111" xfId="0" applyFont="1" applyBorder="1" applyAlignment="1" applyProtection="1">
      <alignment horizontal="left" vertical="center" wrapText="1" indent="1"/>
      <protection hidden="1"/>
    </xf>
    <xf numFmtId="0" fontId="29" fillId="0" borderId="108" xfId="0" applyFont="1" applyBorder="1" applyAlignment="1" applyProtection="1">
      <alignment horizontal="left" vertical="center" wrapText="1" indent="1"/>
      <protection hidden="1"/>
    </xf>
    <xf numFmtId="0" fontId="29" fillId="0" borderId="113" xfId="0" applyFont="1" applyBorder="1" applyAlignment="1" applyProtection="1">
      <alignment horizontal="left" vertical="center" wrapText="1" indent="1"/>
      <protection hidden="1"/>
    </xf>
    <xf numFmtId="0" fontId="19" fillId="0" borderId="112" xfId="0" applyFont="1" applyBorder="1" applyAlignment="1">
      <alignment horizontal="left" vertical="center" indent="1"/>
    </xf>
    <xf numFmtId="0" fontId="19" fillId="0" borderId="160" xfId="0" applyFont="1" applyBorder="1" applyAlignment="1">
      <alignment horizontal="left" vertical="center" indent="1"/>
    </xf>
    <xf numFmtId="0" fontId="19" fillId="0" borderId="118" xfId="0" applyFont="1" applyBorder="1" applyAlignment="1">
      <alignment horizontal="left" vertical="center" indent="1"/>
    </xf>
    <xf numFmtId="0" fontId="19" fillId="0" borderId="161" xfId="0" applyFont="1" applyBorder="1" applyAlignment="1">
      <alignment horizontal="left" vertical="center" indent="1"/>
    </xf>
    <xf numFmtId="0" fontId="19" fillId="0" borderId="110" xfId="0" applyFont="1" applyBorder="1" applyAlignment="1">
      <alignment horizontal="left" vertical="center" indent="1"/>
    </xf>
    <xf numFmtId="0" fontId="19" fillId="0" borderId="131" xfId="0" applyFont="1" applyBorder="1" applyAlignment="1">
      <alignment horizontal="left" vertical="center" indent="1"/>
    </xf>
    <xf numFmtId="0" fontId="19" fillId="0" borderId="115" xfId="0" applyFont="1" applyBorder="1" applyAlignment="1">
      <alignment horizontal="left" vertical="center" indent="1"/>
    </xf>
    <xf numFmtId="0" fontId="19" fillId="0" borderId="162" xfId="0" applyFont="1" applyBorder="1" applyAlignment="1">
      <alignment horizontal="left" vertical="center" indent="1"/>
    </xf>
    <xf numFmtId="0" fontId="29" fillId="0" borderId="84" xfId="0" applyFont="1" applyBorder="1" applyAlignment="1" applyProtection="1">
      <alignment horizontal="left" vertical="center" wrapText="1" indent="1"/>
      <protection hidden="1"/>
    </xf>
    <xf numFmtId="0" fontId="29" fillId="0" borderId="10" xfId="0" applyFont="1" applyBorder="1" applyAlignment="1" applyProtection="1">
      <alignment horizontal="left" vertical="center" wrapText="1" indent="1"/>
      <protection hidden="1"/>
    </xf>
    <xf numFmtId="0" fontId="29" fillId="0" borderId="84" xfId="0" applyFont="1" applyBorder="1" applyAlignment="1" applyProtection="1">
      <alignment horizontal="left" vertical="center" indent="1"/>
      <protection hidden="1"/>
    </xf>
    <xf numFmtId="0" fontId="29" fillId="0" borderId="10" xfId="0" applyFont="1" applyBorder="1" applyAlignment="1" applyProtection="1">
      <alignment horizontal="left" vertical="center" indent="1"/>
      <protection hidden="1"/>
    </xf>
    <xf numFmtId="0" fontId="55" fillId="0" borderId="1" xfId="0" applyFont="1" applyBorder="1" applyAlignment="1" applyProtection="1">
      <alignment horizontal="left" vertical="center" indent="1"/>
      <protection hidden="1"/>
    </xf>
    <xf numFmtId="0" fontId="55" fillId="0" borderId="0" xfId="0" applyFont="1" applyAlignment="1" applyProtection="1">
      <alignment horizontal="left" vertical="center" indent="1"/>
      <protection hidden="1"/>
    </xf>
    <xf numFmtId="0" fontId="55" fillId="0" borderId="84" xfId="0" applyFont="1" applyBorder="1" applyAlignment="1" applyProtection="1">
      <alignment horizontal="left" vertical="center" indent="1"/>
      <protection hidden="1"/>
    </xf>
    <xf numFmtId="0" fontId="55" fillId="0" borderId="10" xfId="0" applyFont="1" applyBorder="1" applyAlignment="1" applyProtection="1">
      <alignment horizontal="left" vertical="center" indent="1"/>
      <protection hidden="1"/>
    </xf>
    <xf numFmtId="0" fontId="61" fillId="0" borderId="84" xfId="2" applyFont="1" applyFill="1" applyBorder="1" applyAlignment="1" applyProtection="1">
      <alignment horizontal="left" vertical="center" indent="1"/>
      <protection locked="0"/>
    </xf>
    <xf numFmtId="0" fontId="61" fillId="0" borderId="10" xfId="2" applyFont="1" applyFill="1" applyBorder="1" applyAlignment="1" applyProtection="1">
      <alignment horizontal="left" vertical="center" indent="1"/>
      <protection locked="0"/>
    </xf>
    <xf numFmtId="0" fontId="55" fillId="0" borderId="23" xfId="0" applyFont="1" applyBorder="1" applyAlignment="1" applyProtection="1">
      <alignment horizontal="left" vertical="center" indent="1"/>
      <protection hidden="1"/>
    </xf>
    <xf numFmtId="0" fontId="55" fillId="0" borderId="20" xfId="0" applyFont="1" applyBorder="1" applyAlignment="1" applyProtection="1">
      <alignment horizontal="left" vertical="center" indent="1"/>
      <protection hidden="1"/>
    </xf>
    <xf numFmtId="167" fontId="143" fillId="15" borderId="42" xfId="0" applyNumberFormat="1" applyFont="1" applyFill="1" applyBorder="1" applyAlignment="1" applyProtection="1">
      <alignment horizontal="center" vertical="center" wrapText="1"/>
      <protection locked="0"/>
    </xf>
    <xf numFmtId="167" fontId="143" fillId="15" borderId="1" xfId="0" applyNumberFormat="1" applyFont="1" applyFill="1" applyBorder="1" applyAlignment="1" applyProtection="1">
      <alignment horizontal="center" vertical="center" wrapText="1"/>
      <protection locked="0"/>
    </xf>
    <xf numFmtId="167" fontId="144" fillId="15" borderId="65" xfId="0" applyNumberFormat="1" applyFont="1" applyFill="1" applyBorder="1" applyAlignment="1" applyProtection="1">
      <alignment horizontal="center" vertical="center"/>
      <protection locked="0"/>
    </xf>
    <xf numFmtId="167" fontId="144" fillId="15" borderId="96" xfId="0" applyNumberFormat="1" applyFont="1" applyFill="1" applyBorder="1" applyAlignment="1" applyProtection="1">
      <alignment horizontal="center" vertical="center"/>
      <protection locked="0"/>
    </xf>
    <xf numFmtId="0" fontId="66" fillId="2" borderId="23" xfId="0" applyFont="1" applyFill="1" applyBorder="1" applyAlignment="1" applyProtection="1">
      <alignment horizontal="left" vertical="center" indent="1"/>
      <protection hidden="1"/>
    </xf>
    <xf numFmtId="0" fontId="66" fillId="2" borderId="20" xfId="0" applyFont="1" applyFill="1" applyBorder="1" applyAlignment="1" applyProtection="1">
      <alignment horizontal="left" vertical="center" indent="1"/>
      <protection hidden="1"/>
    </xf>
    <xf numFmtId="0" fontId="0" fillId="0" borderId="24" xfId="0" applyBorder="1" applyAlignment="1">
      <alignment horizontal="left" vertical="center" indent="1"/>
    </xf>
    <xf numFmtId="0" fontId="66" fillId="15" borderId="84" xfId="0" applyFont="1" applyFill="1" applyBorder="1" applyAlignment="1" applyProtection="1">
      <alignment horizontal="left" vertical="center" indent="1"/>
      <protection hidden="1"/>
    </xf>
    <xf numFmtId="0" fontId="66" fillId="15" borderId="10" xfId="0" applyFont="1" applyFill="1" applyBorder="1" applyAlignment="1" applyProtection="1">
      <alignment horizontal="left" vertical="center" indent="1"/>
      <protection hidden="1"/>
    </xf>
    <xf numFmtId="0" fontId="84" fillId="15" borderId="42" xfId="0" applyFont="1" applyFill="1" applyBorder="1" applyAlignment="1" applyProtection="1">
      <alignment horizontal="center" vertical="center"/>
      <protection locked="0"/>
    </xf>
    <xf numFmtId="0" fontId="84" fillId="15" borderId="19" xfId="0" applyFont="1" applyFill="1" applyBorder="1" applyAlignment="1" applyProtection="1">
      <alignment horizontal="center" vertical="center"/>
      <protection locked="0"/>
    </xf>
    <xf numFmtId="0" fontId="84" fillId="15" borderId="1" xfId="0" applyFont="1" applyFill="1" applyBorder="1" applyAlignment="1" applyProtection="1">
      <alignment horizontal="center" vertical="center"/>
      <protection locked="0"/>
    </xf>
    <xf numFmtId="0" fontId="84" fillId="15" borderId="0" xfId="0" applyFont="1" applyFill="1" applyAlignment="1" applyProtection="1">
      <alignment horizontal="center" vertical="center"/>
      <protection locked="0"/>
    </xf>
    <xf numFmtId="0" fontId="147" fillId="0" borderId="0" xfId="0" applyFont="1" applyAlignment="1" applyProtection="1">
      <alignment horizontal="left" vertical="center"/>
      <protection hidden="1"/>
    </xf>
    <xf numFmtId="0" fontId="0" fillId="0" borderId="0" xfId="0"/>
    <xf numFmtId="0" fontId="148" fillId="0" borderId="0" xfId="0" applyFont="1" applyAlignment="1" applyProtection="1">
      <alignment horizontal="left" vertical="center"/>
      <protection hidden="1"/>
    </xf>
    <xf numFmtId="0" fontId="68" fillId="3" borderId="150" xfId="0" applyFont="1" applyFill="1" applyBorder="1" applyAlignment="1" applyProtection="1">
      <alignment horizontal="center" vertical="center"/>
      <protection hidden="1"/>
    </xf>
    <xf numFmtId="0" fontId="68" fillId="3" borderId="8" xfId="0" applyFont="1" applyFill="1" applyBorder="1" applyAlignment="1" applyProtection="1">
      <alignment horizontal="center" vertical="center"/>
      <protection hidden="1"/>
    </xf>
    <xf numFmtId="0" fontId="0" fillId="0" borderId="8" xfId="0" applyBorder="1"/>
    <xf numFmtId="0" fontId="0" fillId="0" borderId="46" xfId="0" applyBorder="1"/>
    <xf numFmtId="167" fontId="67" fillId="0" borderId="0" xfId="0" applyNumberFormat="1" applyFont="1" applyAlignment="1" applyProtection="1">
      <alignment horizontal="right" vertical="center"/>
      <protection hidden="1"/>
    </xf>
    <xf numFmtId="0" fontId="18" fillId="3" borderId="109" xfId="0" applyFont="1" applyFill="1" applyBorder="1" applyAlignment="1" applyProtection="1">
      <alignment horizontal="center" vertical="center" wrapText="1"/>
      <protection hidden="1"/>
    </xf>
    <xf numFmtId="0" fontId="18" fillId="3" borderId="137" xfId="0" applyFont="1" applyFill="1" applyBorder="1" applyAlignment="1" applyProtection="1">
      <alignment horizontal="center" vertical="center" wrapText="1"/>
      <protection hidden="1"/>
    </xf>
    <xf numFmtId="0" fontId="9" fillId="19" borderId="42" xfId="0" applyFont="1" applyFill="1" applyBorder="1" applyAlignment="1" applyProtection="1">
      <alignment horizontal="center" vertical="center"/>
      <protection hidden="1"/>
    </xf>
    <xf numFmtId="0" fontId="9" fillId="19" borderId="25" xfId="0" applyFont="1" applyFill="1" applyBorder="1" applyAlignment="1" applyProtection="1">
      <alignment horizontal="center" vertical="center"/>
      <protection hidden="1"/>
    </xf>
    <xf numFmtId="0" fontId="84" fillId="2" borderId="51" xfId="0" applyFont="1" applyFill="1" applyBorder="1" applyAlignment="1" applyProtection="1">
      <alignment horizontal="center" vertical="center"/>
      <protection locked="0"/>
    </xf>
    <xf numFmtId="0" fontId="84" fillId="2" borderId="167" xfId="0" applyFont="1" applyFill="1" applyBorder="1" applyAlignment="1" applyProtection="1">
      <alignment horizontal="center" vertical="center"/>
      <protection locked="0"/>
    </xf>
    <xf numFmtId="0" fontId="84" fillId="2" borderId="47" xfId="0" applyFont="1" applyFill="1" applyBorder="1" applyAlignment="1" applyProtection="1">
      <alignment horizontal="center" vertical="center"/>
      <protection locked="0"/>
    </xf>
    <xf numFmtId="3" fontId="19" fillId="2" borderId="29" xfId="0" applyNumberFormat="1" applyFont="1" applyFill="1" applyBorder="1" applyAlignment="1" applyProtection="1">
      <alignment horizontal="left" vertical="center" wrapText="1" indent="1"/>
      <protection hidden="1"/>
    </xf>
    <xf numFmtId="3" fontId="19" fillId="2" borderId="31" xfId="0" applyNumberFormat="1" applyFont="1" applyFill="1" applyBorder="1" applyAlignment="1" applyProtection="1">
      <alignment horizontal="left" vertical="center" indent="1"/>
      <protection hidden="1"/>
    </xf>
    <xf numFmtId="3" fontId="19" fillId="2" borderId="32" xfId="0" applyNumberFormat="1" applyFont="1" applyFill="1" applyBorder="1" applyAlignment="1" applyProtection="1">
      <alignment horizontal="left" vertical="center" indent="1"/>
      <protection hidden="1"/>
    </xf>
    <xf numFmtId="0" fontId="19" fillId="2" borderId="30" xfId="0" applyFont="1" applyFill="1" applyBorder="1" applyAlignment="1">
      <alignment horizontal="left" vertical="center" indent="1"/>
    </xf>
    <xf numFmtId="0" fontId="15" fillId="0" borderId="0" xfId="0" applyFont="1" applyAlignment="1" applyProtection="1">
      <alignment horizontal="left" vertical="center"/>
      <protection locked="0"/>
    </xf>
    <xf numFmtId="0" fontId="0" fillId="0" borderId="0" xfId="0" applyAlignment="1">
      <alignment horizontal="left" vertical="center"/>
    </xf>
    <xf numFmtId="3" fontId="19" fillId="2" borderId="38" xfId="0" applyNumberFormat="1" applyFont="1" applyFill="1" applyBorder="1" applyAlignment="1" applyProtection="1">
      <alignment horizontal="left" vertical="center" wrapText="1" indent="1"/>
      <protection hidden="1"/>
    </xf>
    <xf numFmtId="3" fontId="19" fillId="2" borderId="5" xfId="0" applyNumberFormat="1" applyFont="1" applyFill="1" applyBorder="1" applyAlignment="1" applyProtection="1">
      <alignment horizontal="left" vertical="center" wrapText="1" indent="1"/>
      <protection hidden="1"/>
    </xf>
    <xf numFmtId="0" fontId="19" fillId="2" borderId="39" xfId="0" applyFont="1" applyFill="1" applyBorder="1" applyAlignment="1">
      <alignment horizontal="left" vertical="center" indent="1"/>
    </xf>
    <xf numFmtId="0" fontId="19" fillId="0" borderId="33" xfId="0" applyFont="1" applyBorder="1" applyAlignment="1" applyProtection="1">
      <alignment horizontal="left" vertical="center" indent="1"/>
      <protection locked="0"/>
    </xf>
    <xf numFmtId="0" fontId="19" fillId="0" borderId="27" xfId="0" applyFont="1" applyBorder="1" applyAlignment="1" applyProtection="1">
      <alignment horizontal="left" vertical="center" indent="1"/>
      <protection locked="0"/>
    </xf>
    <xf numFmtId="0" fontId="0" fillId="0" borderId="26" xfId="0" applyBorder="1" applyAlignment="1">
      <alignment horizontal="left" vertical="center" indent="1"/>
    </xf>
    <xf numFmtId="0" fontId="19" fillId="0" borderId="15" xfId="0" applyFont="1" applyBorder="1" applyAlignment="1" applyProtection="1">
      <alignment horizontal="left" vertical="center" indent="1"/>
      <protection locked="0"/>
    </xf>
    <xf numFmtId="0" fontId="19" fillId="0" borderId="19" xfId="0" applyFont="1" applyBorder="1" applyAlignment="1" applyProtection="1">
      <alignment horizontal="left" vertical="center" indent="1"/>
      <protection locked="0"/>
    </xf>
    <xf numFmtId="0" fontId="19" fillId="0" borderId="27" xfId="0" applyFont="1" applyBorder="1" applyAlignment="1" applyProtection="1">
      <alignment horizontal="left" vertical="center" indent="1"/>
      <protection hidden="1"/>
    </xf>
    <xf numFmtId="0" fontId="19" fillId="0" borderId="27" xfId="0" applyFont="1" applyBorder="1" applyAlignment="1">
      <alignment horizontal="left" vertical="center" indent="1"/>
    </xf>
    <xf numFmtId="0" fontId="10" fillId="16" borderId="3" xfId="0" applyFont="1" applyFill="1" applyBorder="1" applyAlignment="1" applyProtection="1">
      <alignment horizontal="left" vertical="center" indent="1"/>
      <protection locked="0"/>
    </xf>
    <xf numFmtId="0" fontId="10" fillId="16" borderId="27" xfId="0" applyFont="1" applyFill="1" applyBorder="1" applyAlignment="1">
      <alignment horizontal="left" vertical="center" indent="1"/>
    </xf>
    <xf numFmtId="0" fontId="10" fillId="16" borderId="26" xfId="0" applyFont="1" applyFill="1" applyBorder="1" applyAlignment="1">
      <alignment horizontal="left" vertical="center" indent="1"/>
    </xf>
    <xf numFmtId="0" fontId="10" fillId="16" borderId="22" xfId="0" applyFont="1" applyFill="1" applyBorder="1" applyAlignment="1" applyProtection="1">
      <alignment horizontal="left" vertical="center" indent="1"/>
      <protection locked="0"/>
    </xf>
    <xf numFmtId="0" fontId="10" fillId="16" borderId="15" xfId="0" applyFont="1" applyFill="1" applyBorder="1" applyAlignment="1">
      <alignment horizontal="left" vertical="center" indent="1"/>
    </xf>
    <xf numFmtId="0" fontId="10" fillId="16" borderId="41" xfId="0" applyFont="1" applyFill="1" applyBorder="1" applyAlignment="1">
      <alignment horizontal="left" vertical="center" indent="1"/>
    </xf>
    <xf numFmtId="0" fontId="10" fillId="16" borderId="1" xfId="0" applyFont="1" applyFill="1" applyBorder="1" applyAlignment="1" applyProtection="1">
      <alignment horizontal="left" vertical="center" indent="1"/>
      <protection locked="0"/>
    </xf>
    <xf numFmtId="0" fontId="10" fillId="16" borderId="0" xfId="0" applyFont="1" applyFill="1" applyAlignment="1">
      <alignment horizontal="left" vertical="center" indent="1"/>
    </xf>
    <xf numFmtId="0" fontId="10" fillId="16" borderId="21" xfId="0" applyFont="1" applyFill="1" applyBorder="1" applyAlignment="1">
      <alignment horizontal="left" vertical="center" indent="1"/>
    </xf>
    <xf numFmtId="0" fontId="19" fillId="0" borderId="205" xfId="0" applyFont="1" applyBorder="1" applyAlignment="1" applyProtection="1">
      <alignment horizontal="left" vertical="center" indent="1"/>
      <protection hidden="1"/>
    </xf>
    <xf numFmtId="0" fontId="0" fillId="0" borderId="19" xfId="0" applyBorder="1" applyAlignment="1">
      <alignment horizontal="left" indent="1"/>
    </xf>
    <xf numFmtId="0" fontId="19" fillId="0" borderId="207" xfId="0" applyFont="1" applyBorder="1" applyAlignment="1" applyProtection="1">
      <alignment horizontal="left" vertical="center" indent="1"/>
      <protection hidden="1"/>
    </xf>
    <xf numFmtId="0" fontId="0" fillId="0" borderId="185" xfId="0" applyBorder="1" applyAlignment="1">
      <alignment horizontal="left" indent="1"/>
    </xf>
    <xf numFmtId="0" fontId="19" fillId="0" borderId="206" xfId="0" applyFont="1" applyBorder="1" applyAlignment="1" applyProtection="1">
      <alignment horizontal="left" vertical="center" indent="1"/>
      <protection locked="0"/>
    </xf>
    <xf numFmtId="0" fontId="0" fillId="0" borderId="15" xfId="0" applyBorder="1" applyAlignment="1">
      <alignment horizontal="left" indent="1"/>
    </xf>
    <xf numFmtId="3" fontId="19" fillId="2" borderId="28" xfId="0" applyNumberFormat="1" applyFont="1" applyFill="1" applyBorder="1" applyAlignment="1" applyProtection="1">
      <alignment horizontal="left" vertical="center" wrapText="1" indent="1"/>
      <protection hidden="1"/>
    </xf>
    <xf numFmtId="0" fontId="19" fillId="0" borderId="66" xfId="0" applyFont="1" applyBorder="1" applyAlignment="1">
      <alignment horizontal="right"/>
    </xf>
    <xf numFmtId="0" fontId="19" fillId="0" borderId="67" xfId="0" applyFont="1" applyBorder="1" applyAlignment="1">
      <alignment horizontal="right"/>
    </xf>
    <xf numFmtId="0" fontId="11" fillId="3" borderId="7" xfId="0" applyFont="1" applyFill="1" applyBorder="1" applyAlignment="1" applyProtection="1">
      <alignment horizontal="left" vertical="center" indent="1"/>
      <protection hidden="1"/>
    </xf>
    <xf numFmtId="0" fontId="0" fillId="0" borderId="151" xfId="0" applyBorder="1" applyAlignment="1" applyProtection="1">
      <alignment horizontal="left" indent="1"/>
      <protection hidden="1"/>
    </xf>
    <xf numFmtId="0" fontId="19" fillId="0" borderId="18" xfId="0" applyFont="1" applyBorder="1" applyAlignment="1" applyProtection="1">
      <alignment horizontal="left" vertical="center" indent="1"/>
      <protection locked="0"/>
    </xf>
    <xf numFmtId="0" fontId="40" fillId="3" borderId="135" xfId="0" applyFont="1" applyFill="1" applyBorder="1" applyAlignment="1" applyProtection="1">
      <alignment horizontal="center" vertical="center" wrapText="1"/>
      <protection hidden="1"/>
    </xf>
    <xf numFmtId="0" fontId="40" fillId="3" borderId="135" xfId="0" applyFont="1" applyFill="1" applyBorder="1" applyAlignment="1" applyProtection="1">
      <alignment horizontal="center" vertical="center"/>
      <protection hidden="1"/>
    </xf>
    <xf numFmtId="0" fontId="40" fillId="3" borderId="136" xfId="0" applyFont="1" applyFill="1" applyBorder="1" applyAlignment="1" applyProtection="1">
      <alignment horizontal="center" vertical="center"/>
      <protection hidden="1"/>
    </xf>
    <xf numFmtId="0" fontId="40" fillId="3" borderId="80" xfId="0" applyFont="1" applyFill="1" applyBorder="1" applyAlignment="1" applyProtection="1">
      <alignment horizontal="center" vertical="center"/>
      <protection hidden="1"/>
    </xf>
    <xf numFmtId="0" fontId="40" fillId="3" borderId="81" xfId="0" applyFont="1" applyFill="1" applyBorder="1" applyAlignment="1" applyProtection="1">
      <alignment horizontal="center" vertical="center"/>
      <protection hidden="1"/>
    </xf>
    <xf numFmtId="3" fontId="10" fillId="2" borderId="42" xfId="0" applyNumberFormat="1" applyFont="1" applyFill="1" applyBorder="1" applyAlignment="1" applyProtection="1">
      <alignment horizontal="left" vertical="center" wrapText="1" indent="1"/>
      <protection hidden="1"/>
    </xf>
    <xf numFmtId="3" fontId="10" fillId="2" borderId="22" xfId="0" applyNumberFormat="1" applyFont="1" applyFill="1" applyBorder="1" applyAlignment="1" applyProtection="1">
      <alignment horizontal="left" vertical="center" wrapText="1" indent="1"/>
      <protection hidden="1"/>
    </xf>
    <xf numFmtId="3" fontId="19" fillId="26" borderId="38" xfId="0" applyNumberFormat="1" applyFont="1" applyFill="1" applyBorder="1" applyAlignment="1" applyProtection="1">
      <alignment horizontal="left" vertical="center" wrapText="1" indent="1"/>
      <protection hidden="1"/>
    </xf>
    <xf numFmtId="3" fontId="19" fillId="26" borderId="5" xfId="0" applyNumberFormat="1" applyFont="1" applyFill="1" applyBorder="1" applyAlignment="1" applyProtection="1">
      <alignment horizontal="left" vertical="center" wrapText="1" indent="1"/>
      <protection hidden="1"/>
    </xf>
    <xf numFmtId="3" fontId="19" fillId="26" borderId="5" xfId="0" applyNumberFormat="1" applyFont="1" applyFill="1" applyBorder="1" applyAlignment="1" applyProtection="1">
      <alignment horizontal="left" vertical="center" indent="1"/>
      <protection hidden="1"/>
    </xf>
    <xf numFmtId="0" fontId="19" fillId="26" borderId="5" xfId="0" applyFont="1" applyFill="1" applyBorder="1" applyAlignment="1">
      <alignment horizontal="left" vertical="center" indent="1"/>
    </xf>
    <xf numFmtId="0" fontId="19" fillId="26" borderId="39" xfId="0" applyFont="1" applyFill="1" applyBorder="1" applyAlignment="1">
      <alignment horizontal="left" vertical="center" indent="1"/>
    </xf>
    <xf numFmtId="0" fontId="19" fillId="0" borderId="19" xfId="0" applyFont="1" applyBorder="1" applyAlignment="1" applyProtection="1">
      <alignment horizontal="left" vertical="center" indent="1"/>
      <protection hidden="1"/>
    </xf>
    <xf numFmtId="0" fontId="19" fillId="0" borderId="55" xfId="0" applyFont="1" applyBorder="1" applyAlignment="1" applyProtection="1">
      <alignment horizontal="left" vertical="center" indent="1"/>
      <protection hidden="1"/>
    </xf>
    <xf numFmtId="0" fontId="19" fillId="0" borderId="19" xfId="0" applyFont="1" applyBorder="1" applyAlignment="1">
      <alignment horizontal="left" vertical="center" indent="1"/>
    </xf>
    <xf numFmtId="0" fontId="0" fillId="0" borderId="25" xfId="0" applyBorder="1" applyAlignment="1">
      <alignment horizontal="left" vertical="center" indent="1"/>
    </xf>
    <xf numFmtId="0" fontId="19" fillId="0" borderId="56" xfId="0" applyFont="1" applyBorder="1" applyAlignment="1" applyProtection="1">
      <alignment horizontal="left" vertical="center" indent="1"/>
      <protection locked="0"/>
    </xf>
    <xf numFmtId="0" fontId="0" fillId="0" borderId="41" xfId="0" applyBorder="1" applyAlignment="1">
      <alignment horizontal="left" vertical="center" indent="1"/>
    </xf>
    <xf numFmtId="3" fontId="19" fillId="2" borderId="37" xfId="0" applyNumberFormat="1" applyFont="1" applyFill="1" applyBorder="1" applyAlignment="1" applyProtection="1">
      <alignment horizontal="left" vertical="center" wrapText="1" indent="1"/>
      <protection hidden="1"/>
    </xf>
    <xf numFmtId="3" fontId="19" fillId="2" borderId="57" xfId="0" applyNumberFormat="1" applyFont="1" applyFill="1" applyBorder="1" applyAlignment="1" applyProtection="1">
      <alignment horizontal="left" vertical="center" wrapText="1" indent="1"/>
      <protection hidden="1"/>
    </xf>
    <xf numFmtId="3" fontId="19" fillId="2" borderId="6" xfId="0" applyNumberFormat="1" applyFont="1" applyFill="1" applyBorder="1" applyAlignment="1" applyProtection="1">
      <alignment horizontal="left" vertical="center" indent="1"/>
      <protection hidden="1"/>
    </xf>
    <xf numFmtId="3" fontId="19" fillId="2" borderId="62" xfId="0" applyNumberFormat="1" applyFont="1" applyFill="1" applyBorder="1" applyAlignment="1" applyProtection="1">
      <alignment horizontal="left" vertical="center" indent="1"/>
      <protection hidden="1"/>
    </xf>
    <xf numFmtId="0" fontId="19" fillId="2" borderId="58" xfId="0" applyFont="1" applyFill="1" applyBorder="1" applyAlignment="1">
      <alignment horizontal="left" vertical="center" indent="1"/>
    </xf>
    <xf numFmtId="0" fontId="19" fillId="0" borderId="12" xfId="0" applyFont="1" applyBorder="1" applyAlignment="1" applyProtection="1">
      <alignment horizontal="left" vertical="center" indent="1"/>
      <protection locked="0"/>
    </xf>
    <xf numFmtId="0" fontId="19" fillId="9" borderId="1" xfId="0" applyFont="1" applyFill="1" applyBorder="1" applyAlignment="1" applyProtection="1">
      <alignment horizontal="left" vertical="center" indent="7"/>
      <protection hidden="1"/>
    </xf>
    <xf numFmtId="0" fontId="19" fillId="9" borderId="21" xfId="0" applyFont="1" applyFill="1" applyBorder="1" applyAlignment="1" applyProtection="1">
      <alignment horizontal="left" vertical="center" indent="7"/>
      <protection hidden="1"/>
    </xf>
    <xf numFmtId="0" fontId="79" fillId="9" borderId="15" xfId="0" applyFont="1" applyFill="1" applyBorder="1" applyAlignment="1" applyProtection="1">
      <alignment horizontal="left" vertical="center"/>
      <protection hidden="1"/>
    </xf>
    <xf numFmtId="0" fontId="153" fillId="3" borderId="7" xfId="0" applyFont="1" applyFill="1" applyBorder="1" applyAlignment="1" applyProtection="1">
      <alignment horizontal="center" vertical="center"/>
      <protection hidden="1"/>
    </xf>
    <xf numFmtId="0" fontId="153" fillId="3" borderId="8" xfId="0" applyFont="1" applyFill="1" applyBorder="1" applyAlignment="1" applyProtection="1">
      <alignment horizontal="center" vertical="center"/>
      <protection hidden="1"/>
    </xf>
    <xf numFmtId="0" fontId="154" fillId="3" borderId="8" xfId="0" applyFont="1" applyFill="1" applyBorder="1" applyAlignment="1"/>
    <xf numFmtId="0" fontId="154" fillId="3" borderId="46" xfId="0" applyFont="1" applyFill="1" applyBorder="1" applyAlignment="1"/>
    <xf numFmtId="0" fontId="79" fillId="17" borderId="117" xfId="0" applyFont="1" applyFill="1" applyBorder="1" applyAlignment="1" applyProtection="1">
      <alignment horizontal="center" vertical="center"/>
      <protection hidden="1"/>
    </xf>
    <xf numFmtId="0" fontId="79" fillId="17" borderId="10" xfId="0" applyFont="1" applyFill="1" applyBorder="1" applyAlignment="1" applyProtection="1">
      <alignment horizontal="center" vertical="center"/>
      <protection hidden="1"/>
    </xf>
    <xf numFmtId="0" fontId="92" fillId="17" borderId="10" xfId="0" applyFont="1" applyFill="1" applyBorder="1" applyAlignment="1">
      <alignment horizontal="center" vertical="center"/>
    </xf>
    <xf numFmtId="0" fontId="92" fillId="17" borderId="190" xfId="0" applyFont="1" applyFill="1" applyBorder="1" applyAlignment="1">
      <alignment horizontal="center" vertical="center"/>
    </xf>
    <xf numFmtId="0" fontId="123" fillId="23" borderId="51" xfId="0" applyFont="1" applyFill="1" applyBorder="1" applyAlignment="1" applyProtection="1">
      <alignment horizontal="center" vertical="center"/>
      <protection hidden="1"/>
    </xf>
    <xf numFmtId="0" fontId="123" fillId="23" borderId="47" xfId="0" applyFont="1" applyFill="1" applyBorder="1" applyAlignment="1" applyProtection="1">
      <alignment horizontal="center" vertical="center"/>
      <protection hidden="1"/>
    </xf>
    <xf numFmtId="0" fontId="136" fillId="4" borderId="7" xfId="0" applyFont="1" applyFill="1" applyBorder="1" applyAlignment="1" applyProtection="1">
      <alignment horizontal="center" vertical="center"/>
      <protection hidden="1"/>
    </xf>
    <xf numFmtId="0" fontId="136" fillId="4" borderId="46" xfId="0" applyFont="1" applyFill="1" applyBorder="1" applyAlignment="1" applyProtection="1">
      <alignment horizontal="center" vertical="center"/>
      <protection hidden="1"/>
    </xf>
    <xf numFmtId="167" fontId="67" fillId="0" borderId="15" xfId="0" applyNumberFormat="1" applyFont="1" applyBorder="1" applyAlignment="1" applyProtection="1">
      <alignment horizontal="left" vertical="center"/>
      <protection hidden="1"/>
    </xf>
    <xf numFmtId="0" fontId="138" fillId="4" borderId="23" xfId="0" applyFont="1" applyFill="1" applyBorder="1" applyAlignment="1" applyProtection="1">
      <alignment horizontal="left" vertical="center" wrapText="1" indent="1"/>
      <protection hidden="1"/>
    </xf>
    <xf numFmtId="0" fontId="139" fillId="0" borderId="24" xfId="0" applyFont="1" applyBorder="1" applyAlignment="1" applyProtection="1">
      <alignment horizontal="left" vertical="center" wrapText="1" indent="1"/>
      <protection hidden="1"/>
    </xf>
    <xf numFmtId="0" fontId="135" fillId="0" borderId="3" xfId="0" applyFont="1" applyBorder="1" applyAlignment="1" applyProtection="1">
      <alignment horizontal="left" vertical="center" wrapText="1" indent="1"/>
      <protection hidden="1"/>
    </xf>
    <xf numFmtId="0" fontId="135" fillId="0" borderId="26" xfId="0" applyFont="1" applyBorder="1" applyAlignment="1" applyProtection="1">
      <alignment horizontal="left" vertical="center" wrapText="1" indent="1"/>
      <protection hidden="1"/>
    </xf>
    <xf numFmtId="0" fontId="10" fillId="0" borderId="48" xfId="0" applyFont="1" applyBorder="1" applyAlignment="1" applyProtection="1">
      <alignment horizontal="left" vertical="center" wrapText="1" indent="1"/>
      <protection hidden="1"/>
    </xf>
    <xf numFmtId="0" fontId="0" fillId="0" borderId="43" xfId="0" applyBorder="1" applyAlignment="1" applyProtection="1">
      <alignment horizontal="left" vertical="center" wrapText="1" indent="1"/>
      <protection hidden="1"/>
    </xf>
    <xf numFmtId="0" fontId="14" fillId="3" borderId="19" xfId="0" applyFont="1" applyFill="1" applyBorder="1" applyAlignment="1" applyProtection="1">
      <alignment horizontal="left" vertical="top" indent="1"/>
      <protection hidden="1"/>
    </xf>
    <xf numFmtId="0" fontId="109" fillId="0" borderId="19" xfId="0" applyFont="1" applyBorder="1" applyAlignment="1">
      <alignment horizontal="left" indent="1"/>
    </xf>
    <xf numFmtId="0" fontId="123" fillId="23" borderId="51" xfId="0" applyFont="1" applyFill="1" applyBorder="1" applyAlignment="1" applyProtection="1">
      <alignment horizontal="left" vertical="center" wrapText="1" indent="1"/>
      <protection hidden="1"/>
    </xf>
    <xf numFmtId="0" fontId="123" fillId="23" borderId="47" xfId="0" applyFont="1" applyFill="1" applyBorder="1" applyAlignment="1" applyProtection="1">
      <alignment horizontal="left" vertical="center" wrapText="1" indent="1"/>
      <protection hidden="1"/>
    </xf>
    <xf numFmtId="0" fontId="135" fillId="0" borderId="49" xfId="0" applyFont="1" applyBorder="1" applyAlignment="1" applyProtection="1">
      <alignment horizontal="left" vertical="center" wrapText="1" indent="1"/>
      <protection hidden="1"/>
    </xf>
    <xf numFmtId="0" fontId="135" fillId="0" borderId="50" xfId="0" applyFont="1" applyBorder="1" applyAlignment="1" applyProtection="1">
      <alignment horizontal="left" vertical="center" wrapText="1" indent="1"/>
      <protection hidden="1"/>
    </xf>
    <xf numFmtId="0" fontId="135" fillId="0" borderId="44" xfId="0" applyFont="1" applyBorder="1" applyAlignment="1" applyProtection="1">
      <alignment horizontal="left" vertical="center" wrapText="1" indent="1"/>
      <protection hidden="1"/>
    </xf>
    <xf numFmtId="0" fontId="135" fillId="0" borderId="45" xfId="0" applyFont="1" applyBorder="1" applyAlignment="1" applyProtection="1">
      <alignment horizontal="left" vertical="center" wrapText="1" indent="1"/>
      <protection hidden="1"/>
    </xf>
    <xf numFmtId="0" fontId="11" fillId="3" borderId="7" xfId="0" applyFont="1" applyFill="1" applyBorder="1" applyAlignment="1" applyProtection="1">
      <alignment horizontal="left" wrapText="1" indent="1"/>
      <protection hidden="1"/>
    </xf>
    <xf numFmtId="0" fontId="11" fillId="3" borderId="46" xfId="0" applyFont="1" applyFill="1" applyBorder="1" applyAlignment="1" applyProtection="1">
      <alignment horizontal="left" wrapText="1" indent="1"/>
      <protection hidden="1"/>
    </xf>
    <xf numFmtId="0" fontId="136" fillId="4" borderId="7" xfId="0" applyFont="1" applyFill="1" applyBorder="1" applyAlignment="1" applyProtection="1">
      <alignment horizontal="left" vertical="center" wrapText="1" indent="1"/>
      <protection hidden="1"/>
    </xf>
    <xf numFmtId="0" fontId="136" fillId="4" borderId="46" xfId="0" applyFont="1" applyFill="1" applyBorder="1" applyAlignment="1" applyProtection="1">
      <alignment horizontal="left" vertical="center" wrapText="1" indent="1"/>
      <protection hidden="1"/>
    </xf>
    <xf numFmtId="0" fontId="134" fillId="4" borderId="48" xfId="0" applyFont="1" applyFill="1" applyBorder="1" applyAlignment="1" applyProtection="1">
      <alignment horizontal="left" vertical="center" wrapText="1" indent="1"/>
      <protection hidden="1"/>
    </xf>
    <xf numFmtId="0" fontId="134" fillId="4" borderId="43" xfId="0" applyFont="1" applyFill="1" applyBorder="1" applyAlignment="1" applyProtection="1">
      <alignment horizontal="left" vertical="center" wrapText="1" indent="1"/>
      <protection hidden="1"/>
    </xf>
    <xf numFmtId="0" fontId="134" fillId="4" borderId="72" xfId="0" applyFont="1" applyFill="1" applyBorder="1" applyAlignment="1" applyProtection="1">
      <alignment horizontal="left" vertical="center" wrapText="1" indent="1"/>
      <protection hidden="1"/>
    </xf>
    <xf numFmtId="0" fontId="134" fillId="4" borderId="73" xfId="0" applyFont="1" applyFill="1" applyBorder="1" applyAlignment="1" applyProtection="1">
      <alignment horizontal="left" vertical="center" wrapText="1" indent="1"/>
      <protection hidden="1"/>
    </xf>
    <xf numFmtId="0" fontId="84" fillId="23" borderId="23" xfId="0" applyFont="1" applyFill="1" applyBorder="1" applyAlignment="1" applyProtection="1">
      <alignment horizontal="left" vertical="center" wrapText="1" indent="1"/>
      <protection hidden="1"/>
    </xf>
    <xf numFmtId="0" fontId="1" fillId="23" borderId="24" xfId="0" applyFont="1" applyFill="1" applyBorder="1" applyAlignment="1" applyProtection="1">
      <alignment horizontal="left" vertical="center" wrapText="1" indent="1"/>
      <protection hidden="1"/>
    </xf>
    <xf numFmtId="0" fontId="79" fillId="17" borderId="51" xfId="0" applyFont="1" applyFill="1" applyBorder="1" applyAlignment="1" applyProtection="1">
      <alignment horizontal="left" vertical="center" wrapText="1" indent="1"/>
      <protection hidden="1"/>
    </xf>
    <xf numFmtId="0" fontId="19" fillId="17" borderId="47" xfId="0" applyFont="1" applyFill="1" applyBorder="1" applyAlignment="1" applyProtection="1">
      <alignment horizontal="left" vertical="center" wrapText="1" indent="1"/>
      <protection hidden="1"/>
    </xf>
    <xf numFmtId="0" fontId="84" fillId="15" borderId="23" xfId="0" applyFont="1" applyFill="1" applyBorder="1" applyAlignment="1" applyProtection="1">
      <alignment horizontal="left" vertical="center" wrapText="1" indent="1"/>
      <protection hidden="1"/>
    </xf>
    <xf numFmtId="0" fontId="92" fillId="15" borderId="24" xfId="0" applyFont="1" applyFill="1" applyBorder="1" applyAlignment="1" applyProtection="1">
      <alignment horizontal="left" vertical="center" wrapText="1" indent="1"/>
      <protection hidden="1"/>
    </xf>
    <xf numFmtId="0" fontId="10" fillId="0" borderId="3" xfId="0" applyFont="1" applyBorder="1" applyAlignment="1" applyProtection="1">
      <alignment horizontal="left" vertical="center" wrapText="1" indent="1"/>
      <protection hidden="1"/>
    </xf>
    <xf numFmtId="0" fontId="0" fillId="0" borderId="26" xfId="0" applyBorder="1" applyAlignment="1" applyProtection="1">
      <alignment horizontal="left" vertical="center" wrapText="1" indent="1"/>
      <protection hidden="1"/>
    </xf>
    <xf numFmtId="0" fontId="10" fillId="0" borderId="1" xfId="0" applyFont="1" applyBorder="1" applyAlignment="1" applyProtection="1">
      <alignment horizontal="left" vertical="center" wrapText="1" indent="1"/>
      <protection hidden="1"/>
    </xf>
    <xf numFmtId="0" fontId="0" fillId="0" borderId="21" xfId="0" applyBorder="1" applyAlignment="1" applyProtection="1">
      <alignment horizontal="left" vertical="center" wrapText="1" indent="1"/>
      <protection hidden="1"/>
    </xf>
    <xf numFmtId="0" fontId="10" fillId="0" borderId="49" xfId="0" applyFont="1" applyBorder="1" applyAlignment="1" applyProtection="1">
      <alignment horizontal="left" vertical="center" wrapText="1" indent="1"/>
      <protection hidden="1"/>
    </xf>
    <xf numFmtId="0" fontId="0" fillId="0" borderId="45" xfId="0" applyBorder="1" applyAlignment="1" applyProtection="1">
      <alignment horizontal="left" vertical="center" wrapText="1" indent="1"/>
      <protection hidden="1"/>
    </xf>
    <xf numFmtId="0" fontId="0" fillId="0" borderId="50" xfId="0" applyBorder="1" applyAlignment="1" applyProtection="1">
      <alignment horizontal="left" vertical="center" wrapText="1" indent="1"/>
      <protection hidden="1"/>
    </xf>
    <xf numFmtId="0" fontId="135" fillId="0" borderId="1" xfId="0" applyFont="1" applyBorder="1" applyAlignment="1" applyProtection="1">
      <alignment horizontal="left" vertical="center" wrapText="1" indent="1"/>
      <protection hidden="1"/>
    </xf>
    <xf numFmtId="0" fontId="135" fillId="0" borderId="21" xfId="0" applyFont="1" applyBorder="1" applyAlignment="1" applyProtection="1">
      <alignment horizontal="left" vertical="center" wrapText="1" indent="1"/>
      <protection hidden="1"/>
    </xf>
    <xf numFmtId="0" fontId="10" fillId="0" borderId="21" xfId="0" applyFont="1" applyBorder="1" applyAlignment="1" applyProtection="1">
      <alignment horizontal="left" vertical="center" wrapText="1" indent="1"/>
      <protection hidden="1"/>
    </xf>
    <xf numFmtId="0" fontId="84" fillId="2" borderId="3" xfId="0" applyFont="1" applyFill="1" applyBorder="1" applyAlignment="1" applyProtection="1">
      <alignment horizontal="left" vertical="center" wrapText="1" indent="1"/>
      <protection hidden="1"/>
    </xf>
    <xf numFmtId="0" fontId="90" fillId="2" borderId="26" xfId="0" applyFont="1" applyFill="1" applyBorder="1" applyAlignment="1" applyProtection="1">
      <alignment horizontal="left" vertical="center" wrapText="1" indent="1"/>
      <protection hidden="1"/>
    </xf>
    <xf numFmtId="0" fontId="19" fillId="0" borderId="3" xfId="0" applyFont="1" applyBorder="1" applyAlignment="1" applyProtection="1">
      <alignment vertical="center"/>
      <protection locked="0"/>
    </xf>
    <xf numFmtId="0" fontId="42" fillId="0" borderId="27" xfId="0" applyFont="1" applyBorder="1" applyAlignment="1" applyProtection="1">
      <alignment vertical="center"/>
      <protection locked="0"/>
    </xf>
    <xf numFmtId="0" fontId="80" fillId="18" borderId="152" xfId="0" applyFont="1" applyFill="1" applyBorder="1" applyAlignment="1">
      <alignment horizontal="right" vertical="center" indent="1"/>
    </xf>
    <xf numFmtId="0" fontId="80" fillId="18" borderId="18" xfId="0" applyFont="1" applyFill="1" applyBorder="1" applyAlignment="1">
      <alignment horizontal="right" vertical="center" indent="1"/>
    </xf>
    <xf numFmtId="186" fontId="19" fillId="2" borderId="221" xfId="0" applyNumberFormat="1" applyFont="1" applyFill="1" applyBorder="1" applyAlignment="1" applyProtection="1">
      <alignment horizontal="center" vertical="center"/>
      <protection hidden="1"/>
    </xf>
    <xf numFmtId="186" fontId="19" fillId="2" borderId="227" xfId="0" applyNumberFormat="1" applyFont="1" applyFill="1" applyBorder="1" applyAlignment="1" applyProtection="1">
      <alignment horizontal="center" vertical="center"/>
      <protection hidden="1"/>
    </xf>
    <xf numFmtId="0" fontId="162" fillId="18" borderId="228" xfId="0" applyFont="1" applyFill="1" applyBorder="1" applyAlignment="1" applyProtection="1">
      <alignment horizontal="center" vertical="center"/>
      <protection hidden="1"/>
    </xf>
    <xf numFmtId="0" fontId="79" fillId="18" borderId="202" xfId="0" applyFont="1" applyFill="1" applyBorder="1" applyAlignment="1" applyProtection="1">
      <alignment horizontal="center" vertical="center"/>
      <protection hidden="1"/>
    </xf>
    <xf numFmtId="167" fontId="19" fillId="23" borderId="228" xfId="0" applyNumberFormat="1" applyFont="1" applyFill="1" applyBorder="1" applyAlignment="1" applyProtection="1">
      <alignment horizontal="center" vertical="center"/>
      <protection hidden="1"/>
    </xf>
    <xf numFmtId="167" fontId="19" fillId="23" borderId="229" xfId="0" applyNumberFormat="1" applyFont="1" applyFill="1" applyBorder="1" applyAlignment="1" applyProtection="1">
      <alignment horizontal="center" vertical="center"/>
      <protection hidden="1"/>
    </xf>
    <xf numFmtId="0" fontId="162" fillId="22" borderId="228" xfId="0" applyFont="1" applyFill="1" applyBorder="1" applyAlignment="1" applyProtection="1">
      <alignment horizontal="center" vertical="center"/>
      <protection hidden="1"/>
    </xf>
    <xf numFmtId="0" fontId="79" fillId="22" borderId="69" xfId="0" applyFont="1" applyFill="1" applyBorder="1" applyAlignment="1" applyProtection="1">
      <alignment horizontal="center" vertical="center"/>
      <protection hidden="1"/>
    </xf>
    <xf numFmtId="0" fontId="42" fillId="2" borderId="3" xfId="0" applyFont="1" applyFill="1" applyBorder="1" applyAlignment="1">
      <alignment horizontal="center" vertical="center"/>
    </xf>
    <xf numFmtId="0" fontId="42" fillId="2" borderId="27" xfId="0" applyFont="1" applyFill="1" applyBorder="1" applyAlignment="1">
      <alignment horizontal="center" vertical="center"/>
    </xf>
    <xf numFmtId="0" fontId="19" fillId="0" borderId="50" xfId="0" applyFont="1" applyBorder="1" applyAlignment="1" applyProtection="1">
      <alignment vertical="center"/>
      <protection locked="0"/>
    </xf>
    <xf numFmtId="0" fontId="42" fillId="0" borderId="131" xfId="0" applyFont="1" applyBorder="1" applyAlignment="1" applyProtection="1">
      <alignment vertical="center"/>
      <protection locked="0"/>
    </xf>
    <xf numFmtId="186" fontId="19" fillId="2" borderId="225" xfId="0" applyNumberFormat="1" applyFont="1" applyFill="1" applyBorder="1" applyAlignment="1" applyProtection="1">
      <alignment horizontal="center" vertical="center"/>
      <protection hidden="1"/>
    </xf>
    <xf numFmtId="186" fontId="19" fillId="2" borderId="226" xfId="0" applyNumberFormat="1" applyFont="1" applyFill="1" applyBorder="1" applyAlignment="1" applyProtection="1">
      <alignment horizontal="center" vertical="center"/>
      <protection hidden="1"/>
    </xf>
    <xf numFmtId="186" fontId="19" fillId="2" borderId="165" xfId="0" applyNumberFormat="1" applyFont="1" applyFill="1" applyBorder="1" applyAlignment="1" applyProtection="1">
      <alignment horizontal="center" vertical="center"/>
      <protection hidden="1"/>
    </xf>
    <xf numFmtId="186" fontId="19" fillId="2" borderId="166" xfId="0" applyNumberFormat="1" applyFont="1" applyFill="1" applyBorder="1" applyAlignment="1" applyProtection="1">
      <alignment horizontal="center" vertical="center"/>
      <protection hidden="1"/>
    </xf>
    <xf numFmtId="0" fontId="42" fillId="2" borderId="42" xfId="0" applyFont="1" applyFill="1" applyBorder="1" applyAlignment="1">
      <alignment horizontal="right" vertical="center" indent="1"/>
    </xf>
    <xf numFmtId="0" fontId="42" fillId="2" borderId="19" xfId="0" applyFont="1" applyFill="1" applyBorder="1" applyAlignment="1">
      <alignment horizontal="right" vertical="center" indent="1"/>
    </xf>
    <xf numFmtId="0" fontId="42" fillId="0" borderId="8" xfId="0" applyFont="1" applyBorder="1" applyProtection="1">
      <protection hidden="1"/>
    </xf>
    <xf numFmtId="0" fontId="42" fillId="0" borderId="46" xfId="0" applyFont="1" applyBorder="1" applyProtection="1">
      <protection hidden="1"/>
    </xf>
    <xf numFmtId="0" fontId="42" fillId="0" borderId="0" xfId="0" applyFont="1" applyAlignment="1" applyProtection="1">
      <alignment horizontal="center" vertical="center"/>
      <protection hidden="1"/>
    </xf>
    <xf numFmtId="0" fontId="166" fillId="0" borderId="15" xfId="0" applyFont="1" applyBorder="1" applyAlignment="1" applyProtection="1">
      <alignment horizontal="center" vertical="center"/>
      <protection hidden="1"/>
    </xf>
    <xf numFmtId="0" fontId="10" fillId="0" borderId="1" xfId="0" applyFont="1" applyBorder="1" applyAlignment="1" applyProtection="1">
      <alignment horizontal="left" vertical="center" indent="1"/>
      <protection hidden="1"/>
    </xf>
    <xf numFmtId="0" fontId="0" fillId="0" borderId="0" xfId="0" applyAlignment="1">
      <alignment horizontal="left" vertical="center" indent="1"/>
    </xf>
    <xf numFmtId="0" fontId="161" fillId="3" borderId="42" xfId="0" applyFont="1" applyFill="1" applyBorder="1" applyAlignment="1" applyProtection="1">
      <alignment horizontal="center" vertical="center"/>
      <protection hidden="1"/>
    </xf>
    <xf numFmtId="0" fontId="161" fillId="3" borderId="19" xfId="0" applyFont="1" applyFill="1" applyBorder="1" applyAlignment="1" applyProtection="1">
      <alignment horizontal="center" vertical="center"/>
      <protection hidden="1"/>
    </xf>
    <xf numFmtId="0" fontId="161" fillId="3" borderId="25" xfId="0" applyFont="1" applyFill="1" applyBorder="1" applyAlignment="1" applyProtection="1">
      <alignment horizontal="center" vertical="center"/>
      <protection hidden="1"/>
    </xf>
    <xf numFmtId="0" fontId="46" fillId="3" borderId="22" xfId="0" applyFont="1" applyFill="1" applyBorder="1" applyAlignment="1" applyProtection="1">
      <alignment horizontal="center" vertical="center"/>
      <protection hidden="1"/>
    </xf>
    <xf numFmtId="0" fontId="46" fillId="3" borderId="15" xfId="0" applyFont="1" applyFill="1" applyBorder="1" applyAlignment="1" applyProtection="1">
      <alignment horizontal="center" vertical="center"/>
      <protection hidden="1"/>
    </xf>
    <xf numFmtId="0" fontId="46" fillId="3" borderId="41" xfId="0" applyFont="1" applyFill="1" applyBorder="1" applyAlignment="1" applyProtection="1">
      <alignment horizontal="center" vertical="center"/>
      <protection hidden="1"/>
    </xf>
    <xf numFmtId="0" fontId="9" fillId="3" borderId="42"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protection hidden="1"/>
    </xf>
    <xf numFmtId="0" fontId="9" fillId="3" borderId="25" xfId="0" applyFont="1" applyFill="1" applyBorder="1" applyAlignment="1" applyProtection="1">
      <alignment horizontal="center" vertical="center"/>
      <protection hidden="1"/>
    </xf>
    <xf numFmtId="0" fontId="9" fillId="3" borderId="77" xfId="0" applyFont="1" applyFill="1" applyBorder="1" applyAlignment="1" applyProtection="1">
      <alignment horizontal="center" vertical="center"/>
      <protection hidden="1"/>
    </xf>
    <xf numFmtId="0" fontId="9" fillId="3" borderId="140" xfId="0" applyFont="1" applyFill="1" applyBorder="1" applyAlignment="1" applyProtection="1">
      <alignment horizontal="center" vertical="center"/>
      <protection hidden="1"/>
    </xf>
    <xf numFmtId="0" fontId="9" fillId="3" borderId="78" xfId="0" applyFont="1" applyFill="1" applyBorder="1" applyAlignment="1" applyProtection="1">
      <alignment horizontal="center" vertical="center"/>
      <protection hidden="1"/>
    </xf>
    <xf numFmtId="0" fontId="10" fillId="15" borderId="42" xfId="0" applyFont="1" applyFill="1" applyBorder="1" applyAlignment="1" applyProtection="1">
      <alignment horizontal="center" vertical="center"/>
      <protection hidden="1"/>
    </xf>
    <xf numFmtId="0" fontId="10" fillId="15" borderId="1" xfId="0" applyFont="1" applyFill="1" applyBorder="1" applyAlignment="1" applyProtection="1">
      <alignment horizontal="center" vertical="center"/>
      <protection hidden="1"/>
    </xf>
    <xf numFmtId="0" fontId="10" fillId="15" borderId="22" xfId="0" applyFont="1" applyFill="1" applyBorder="1" applyAlignment="1" applyProtection="1">
      <alignment horizontal="center" vertical="center"/>
      <protection hidden="1"/>
    </xf>
    <xf numFmtId="0" fontId="10" fillId="15" borderId="165" xfId="0" applyFont="1" applyFill="1" applyBorder="1" applyAlignment="1" applyProtection="1">
      <alignment horizontal="center" vertical="center"/>
      <protection hidden="1"/>
    </xf>
    <xf numFmtId="0" fontId="10" fillId="15" borderId="166" xfId="0" applyFont="1" applyFill="1" applyBorder="1" applyAlignment="1" applyProtection="1">
      <alignment horizontal="center" vertical="center"/>
      <protection hidden="1"/>
    </xf>
    <xf numFmtId="0" fontId="10" fillId="15" borderId="110" xfId="0" applyFont="1" applyFill="1" applyBorder="1" applyAlignment="1" applyProtection="1">
      <alignment horizontal="center" vertical="center"/>
      <protection hidden="1"/>
    </xf>
    <xf numFmtId="0" fontId="10" fillId="15" borderId="195" xfId="0" applyFont="1" applyFill="1" applyBorder="1" applyAlignment="1" applyProtection="1">
      <alignment horizontal="center" vertical="center"/>
      <protection hidden="1"/>
    </xf>
    <xf numFmtId="0" fontId="10" fillId="15" borderId="25" xfId="0" applyFont="1" applyFill="1" applyBorder="1" applyAlignment="1" applyProtection="1">
      <alignment horizontal="center" vertical="center" wrapText="1"/>
      <protection hidden="1"/>
    </xf>
    <xf numFmtId="0" fontId="10" fillId="15" borderId="21" xfId="0" applyFont="1" applyFill="1" applyBorder="1" applyAlignment="1" applyProtection="1">
      <alignment horizontal="center" vertical="center" wrapText="1"/>
      <protection hidden="1"/>
    </xf>
    <xf numFmtId="0" fontId="10" fillId="15" borderId="41" xfId="0" applyFont="1" applyFill="1" applyBorder="1" applyAlignment="1" applyProtection="1">
      <alignment horizontal="center" vertical="center" wrapText="1"/>
      <protection hidden="1"/>
    </xf>
    <xf numFmtId="0" fontId="19" fillId="0" borderId="0" xfId="0" applyFont="1" applyAlignment="1" applyProtection="1">
      <alignment vertical="center"/>
      <protection hidden="1"/>
    </xf>
    <xf numFmtId="0" fontId="10" fillId="0" borderId="0" xfId="0" applyFont="1" applyAlignment="1" applyProtection="1">
      <alignment vertical="center"/>
      <protection hidden="1"/>
    </xf>
    <xf numFmtId="190" fontId="10" fillId="15" borderId="242" xfId="0" applyNumberFormat="1" applyFont="1" applyFill="1" applyBorder="1" applyAlignment="1">
      <alignment horizontal="center" vertical="center" wrapText="1"/>
    </xf>
    <xf numFmtId="190" fontId="10" fillId="15" borderId="245" xfId="0" applyNumberFormat="1" applyFont="1" applyFill="1" applyBorder="1" applyAlignment="1">
      <alignment horizontal="center" vertical="center"/>
    </xf>
    <xf numFmtId="190" fontId="10" fillId="15" borderId="243" xfId="0" applyNumberFormat="1" applyFont="1" applyFill="1" applyBorder="1" applyAlignment="1">
      <alignment horizontal="center" vertical="center"/>
    </xf>
    <xf numFmtId="190" fontId="10" fillId="15" borderId="244" xfId="0" applyNumberFormat="1" applyFont="1" applyFill="1" applyBorder="1" applyAlignment="1">
      <alignment horizontal="center" vertical="center"/>
    </xf>
    <xf numFmtId="187" fontId="157" fillId="0" borderId="19" xfId="0" applyNumberFormat="1" applyFont="1" applyBorder="1" applyAlignment="1" applyProtection="1">
      <alignment horizontal="center" vertical="center"/>
      <protection hidden="1"/>
    </xf>
    <xf numFmtId="0" fontId="11" fillId="3" borderId="224" xfId="0" applyFont="1" applyFill="1" applyBorder="1" applyAlignment="1" applyProtection="1">
      <alignment horizontal="center" vertical="center"/>
      <protection hidden="1"/>
    </xf>
    <xf numFmtId="0" fontId="11" fillId="3" borderId="200" xfId="0" applyFont="1" applyFill="1" applyBorder="1" applyAlignment="1" applyProtection="1">
      <alignment horizontal="center" vertical="center"/>
      <protection hidden="1"/>
    </xf>
    <xf numFmtId="0" fontId="11" fillId="3" borderId="223" xfId="0" applyFont="1" applyFill="1" applyBorder="1" applyAlignment="1" applyProtection="1">
      <alignment horizontal="left" vertical="center" wrapText="1" indent="1"/>
      <protection hidden="1"/>
    </xf>
    <xf numFmtId="0" fontId="11" fillId="3" borderId="224" xfId="0" applyFont="1" applyFill="1" applyBorder="1" applyAlignment="1" applyProtection="1">
      <alignment horizontal="left" vertical="center" wrapText="1" indent="1"/>
      <protection hidden="1"/>
    </xf>
    <xf numFmtId="0" fontId="0" fillId="0" borderId="224" xfId="0" applyBorder="1" applyAlignment="1">
      <alignment horizontal="left" indent="1"/>
    </xf>
    <xf numFmtId="0" fontId="159" fillId="0" borderId="8" xfId="0" applyFont="1" applyBorder="1" applyAlignment="1" applyProtection="1">
      <alignment vertical="center"/>
      <protection hidden="1"/>
    </xf>
    <xf numFmtId="0" fontId="10" fillId="20" borderId="51" xfId="0" applyFont="1" applyFill="1" applyBorder="1" applyAlignment="1" applyProtection="1">
      <alignment horizontal="center" vertical="center"/>
      <protection hidden="1"/>
    </xf>
    <xf numFmtId="0" fontId="10" fillId="20" borderId="167" xfId="0" applyFont="1" applyFill="1" applyBorder="1" applyAlignment="1" applyProtection="1">
      <alignment horizontal="center" vertical="center"/>
      <protection hidden="1"/>
    </xf>
    <xf numFmtId="0" fontId="10" fillId="20" borderId="47" xfId="0" applyFont="1" applyFill="1" applyBorder="1" applyAlignment="1" applyProtection="1">
      <alignment horizontal="center" vertical="center"/>
      <protection hidden="1"/>
    </xf>
    <xf numFmtId="0" fontId="169" fillId="0" borderId="15" xfId="0" applyFont="1" applyBorder="1" applyAlignment="1" applyProtection="1">
      <alignment horizontal="left" vertical="center"/>
      <protection hidden="1"/>
    </xf>
    <xf numFmtId="0" fontId="10" fillId="17" borderId="42" xfId="0" applyFont="1" applyFill="1" applyBorder="1" applyAlignment="1" applyProtection="1">
      <alignment horizontal="center" vertical="center"/>
      <protection hidden="1"/>
    </xf>
    <xf numFmtId="0" fontId="10" fillId="17" borderId="1" xfId="0" applyFont="1" applyFill="1" applyBorder="1" applyAlignment="1" applyProtection="1">
      <alignment horizontal="center" vertical="center"/>
      <protection hidden="1"/>
    </xf>
    <xf numFmtId="0" fontId="10" fillId="17" borderId="77" xfId="0" applyFont="1" applyFill="1" applyBorder="1" applyAlignment="1" applyProtection="1">
      <alignment horizontal="center" vertical="center"/>
      <protection hidden="1"/>
    </xf>
    <xf numFmtId="0" fontId="10" fillId="17" borderId="164" xfId="0" applyFont="1" applyFill="1" applyBorder="1" applyAlignment="1" applyProtection="1">
      <alignment horizontal="center" vertical="center" wrapText="1"/>
      <protection hidden="1"/>
    </xf>
    <xf numFmtId="0" fontId="10" fillId="17" borderId="168" xfId="0" applyFont="1" applyFill="1" applyBorder="1" applyAlignment="1" applyProtection="1">
      <alignment horizontal="center" vertical="center" wrapText="1"/>
      <protection hidden="1"/>
    </xf>
    <xf numFmtId="0" fontId="10" fillId="17" borderId="171" xfId="0" applyFont="1" applyFill="1" applyBorder="1" applyAlignment="1" applyProtection="1">
      <alignment horizontal="center" vertical="center" wrapText="1"/>
      <protection hidden="1"/>
    </xf>
    <xf numFmtId="0" fontId="10" fillId="17" borderId="165" xfId="0" applyFont="1" applyFill="1" applyBorder="1" applyAlignment="1" applyProtection="1">
      <alignment horizontal="center" vertical="center" wrapText="1"/>
      <protection hidden="1"/>
    </xf>
    <xf numFmtId="0" fontId="10" fillId="17" borderId="19" xfId="0" applyFont="1" applyFill="1" applyBorder="1" applyAlignment="1" applyProtection="1">
      <alignment horizontal="center" vertical="center"/>
      <protection hidden="1"/>
    </xf>
    <xf numFmtId="0" fontId="10" fillId="17" borderId="166" xfId="0" applyFont="1" applyFill="1" applyBorder="1" applyAlignment="1" applyProtection="1">
      <alignment horizontal="center" vertical="center"/>
      <protection hidden="1"/>
    </xf>
    <xf numFmtId="0" fontId="10" fillId="17" borderId="9" xfId="0" applyFont="1" applyFill="1" applyBorder="1" applyAlignment="1" applyProtection="1">
      <alignment horizontal="center" vertical="center"/>
      <protection hidden="1"/>
    </xf>
    <xf numFmtId="0" fontId="10" fillId="17" borderId="0" xfId="0" applyFont="1" applyFill="1" applyBorder="1" applyAlignment="1" applyProtection="1">
      <alignment horizontal="center" vertical="center"/>
      <protection hidden="1"/>
    </xf>
    <xf numFmtId="0" fontId="10" fillId="17" borderId="192" xfId="0" applyFont="1" applyFill="1" applyBorder="1" applyAlignment="1" applyProtection="1">
      <alignment horizontal="center" vertical="center"/>
      <protection hidden="1"/>
    </xf>
    <xf numFmtId="0" fontId="10" fillId="17" borderId="9" xfId="0" applyFont="1" applyFill="1" applyBorder="1" applyAlignment="1" applyProtection="1">
      <alignment horizontal="center" vertical="center" wrapText="1"/>
      <protection hidden="1"/>
    </xf>
    <xf numFmtId="0" fontId="10" fillId="17" borderId="163" xfId="0" applyFont="1" applyFill="1" applyBorder="1" applyAlignment="1" applyProtection="1">
      <alignment horizontal="center" vertical="center"/>
      <protection hidden="1"/>
    </xf>
    <xf numFmtId="0" fontId="10" fillId="15" borderId="65" xfId="0" applyFont="1" applyFill="1" applyBorder="1" applyAlignment="1" applyProtection="1">
      <alignment horizontal="center" vertical="center" wrapText="1"/>
      <protection hidden="1"/>
    </xf>
    <xf numFmtId="0" fontId="10" fillId="15" borderId="96" xfId="0" applyFont="1" applyFill="1" applyBorder="1" applyAlignment="1" applyProtection="1">
      <alignment horizontal="center" vertical="center" wrapText="1"/>
      <protection hidden="1"/>
    </xf>
    <xf numFmtId="0" fontId="10" fillId="15" borderId="142" xfId="0" applyFont="1" applyFill="1" applyBorder="1" applyAlignment="1" applyProtection="1">
      <alignment horizontal="center" vertical="center"/>
      <protection hidden="1"/>
    </xf>
    <xf numFmtId="0" fontId="10" fillId="21" borderId="164" xfId="0" applyFont="1" applyFill="1" applyBorder="1" applyAlignment="1" applyProtection="1">
      <alignment horizontal="center" vertical="center" wrapText="1"/>
      <protection hidden="1"/>
    </xf>
    <xf numFmtId="0" fontId="10" fillId="21" borderId="168" xfId="0" applyFont="1" applyFill="1" applyBorder="1" applyAlignment="1" applyProtection="1">
      <alignment horizontal="center" vertical="center" wrapText="1"/>
      <protection hidden="1"/>
    </xf>
    <xf numFmtId="0" fontId="10" fillId="21" borderId="171" xfId="0" applyFont="1" applyFill="1" applyBorder="1" applyAlignment="1" applyProtection="1">
      <alignment horizontal="center" vertical="center" wrapText="1"/>
      <protection hidden="1"/>
    </xf>
    <xf numFmtId="0" fontId="10" fillId="17" borderId="182" xfId="0" applyFont="1" applyFill="1" applyBorder="1" applyAlignment="1" applyProtection="1">
      <alignment horizontal="center" vertical="center" wrapText="1"/>
      <protection hidden="1"/>
    </xf>
    <xf numFmtId="0" fontId="10" fillId="17" borderId="183" xfId="0" applyFont="1" applyFill="1" applyBorder="1" applyAlignment="1" applyProtection="1">
      <alignment horizontal="center" vertical="center" wrapText="1"/>
      <protection hidden="1"/>
    </xf>
    <xf numFmtId="0" fontId="10" fillId="17" borderId="184" xfId="0" applyFont="1" applyFill="1" applyBorder="1" applyAlignment="1" applyProtection="1">
      <alignment horizontal="center" vertical="center"/>
      <protection hidden="1"/>
    </xf>
    <xf numFmtId="0" fontId="10" fillId="17" borderId="19" xfId="0" applyFont="1" applyFill="1" applyBorder="1" applyAlignment="1" applyProtection="1">
      <alignment horizontal="center" vertical="center" wrapText="1"/>
      <protection hidden="1"/>
    </xf>
    <xf numFmtId="0" fontId="121" fillId="2" borderId="23" xfId="0" applyFont="1" applyFill="1" applyBorder="1" applyAlignment="1" applyProtection="1">
      <alignment horizontal="left" vertical="center" indent="1"/>
      <protection hidden="1"/>
    </xf>
    <xf numFmtId="0" fontId="121" fillId="2" borderId="149" xfId="0" applyFont="1" applyFill="1" applyBorder="1" applyAlignment="1" applyProtection="1">
      <alignment horizontal="left" vertical="center" indent="1"/>
      <protection hidden="1"/>
    </xf>
    <xf numFmtId="0" fontId="84" fillId="22" borderId="180" xfId="0" applyFont="1" applyFill="1" applyBorder="1" applyAlignment="1" applyProtection="1">
      <alignment horizontal="left" vertical="center" indent="1"/>
      <protection hidden="1"/>
    </xf>
    <xf numFmtId="0" fontId="84" fillId="22" borderId="20" xfId="0" applyFont="1" applyFill="1" applyBorder="1" applyAlignment="1" applyProtection="1">
      <alignment horizontal="left" vertical="center" indent="1"/>
      <protection hidden="1"/>
    </xf>
    <xf numFmtId="0" fontId="11" fillId="3" borderId="150" xfId="0" applyFont="1" applyFill="1" applyBorder="1" applyAlignment="1" applyProtection="1">
      <alignment horizontal="center" vertical="center"/>
      <protection hidden="1"/>
    </xf>
    <xf numFmtId="0" fontId="11" fillId="3" borderId="46" xfId="0" applyFont="1" applyFill="1" applyBorder="1" applyAlignment="1" applyProtection="1">
      <alignment horizontal="center" vertical="center"/>
      <protection hidden="1"/>
    </xf>
    <xf numFmtId="0" fontId="11" fillId="3" borderId="22" xfId="0" applyFont="1" applyFill="1" applyBorder="1" applyAlignment="1" applyProtection="1">
      <alignment horizontal="left" vertical="center" wrapText="1" indent="1"/>
      <protection hidden="1"/>
    </xf>
    <xf numFmtId="0" fontId="11" fillId="3" borderId="196" xfId="0" applyFont="1" applyFill="1" applyBorder="1" applyAlignment="1" applyProtection="1">
      <alignment horizontal="left" vertical="center" wrapText="1" indent="1"/>
      <protection hidden="1"/>
    </xf>
    <xf numFmtId="0" fontId="106" fillId="0" borderId="8" xfId="0" applyFont="1" applyBorder="1" applyAlignment="1" applyProtection="1">
      <alignment horizontal="left" vertical="center"/>
      <protection hidden="1"/>
    </xf>
    <xf numFmtId="0" fontId="7" fillId="3" borderId="7" xfId="0" applyFont="1" applyFill="1" applyBorder="1" applyAlignment="1" applyProtection="1">
      <alignment horizontal="left" vertical="center" indent="1"/>
      <protection hidden="1"/>
    </xf>
    <xf numFmtId="0" fontId="7" fillId="3" borderId="193" xfId="0" applyFont="1" applyFill="1" applyBorder="1" applyAlignment="1" applyProtection="1">
      <alignment horizontal="left" vertical="center" indent="1"/>
      <protection hidden="1"/>
    </xf>
    <xf numFmtId="0" fontId="10" fillId="2" borderId="189" xfId="0" applyFont="1" applyFill="1" applyBorder="1" applyAlignment="1" applyProtection="1">
      <alignment horizontal="left" vertical="center" indent="1"/>
      <protection hidden="1"/>
    </xf>
    <xf numFmtId="0" fontId="10" fillId="2" borderId="169" xfId="0" applyFont="1" applyFill="1" applyBorder="1" applyAlignment="1" applyProtection="1">
      <alignment horizontal="left" vertical="center" indent="1"/>
      <protection hidden="1"/>
    </xf>
    <xf numFmtId="3" fontId="15" fillId="2" borderId="111" xfId="0" applyNumberFormat="1" applyFont="1" applyFill="1" applyBorder="1" applyAlignment="1" applyProtection="1">
      <alignment horizontal="center" vertical="center" textRotation="90" wrapText="1"/>
      <protection hidden="1"/>
    </xf>
    <xf numFmtId="3" fontId="15" fillId="2" borderId="108" xfId="0" applyNumberFormat="1" applyFont="1" applyFill="1" applyBorder="1" applyAlignment="1" applyProtection="1">
      <alignment horizontal="center" vertical="center" textRotation="90" wrapText="1"/>
      <protection hidden="1"/>
    </xf>
    <xf numFmtId="3" fontId="15" fillId="2" borderId="113" xfId="0" applyNumberFormat="1" applyFont="1" applyFill="1" applyBorder="1" applyAlignment="1" applyProtection="1">
      <alignment horizontal="center" vertical="center" textRotation="90" wrapText="1"/>
      <protection hidden="1"/>
    </xf>
    <xf numFmtId="0" fontId="122" fillId="2" borderId="84" xfId="0" applyFont="1" applyFill="1" applyBorder="1" applyAlignment="1" applyProtection="1">
      <alignment horizontal="left" vertical="center" indent="1"/>
      <protection hidden="1"/>
    </xf>
    <xf numFmtId="0" fontId="122" fillId="2" borderId="190" xfId="0" applyFont="1" applyFill="1" applyBorder="1" applyAlignment="1" applyProtection="1">
      <alignment horizontal="left" vertical="center" indent="1"/>
      <protection hidden="1"/>
    </xf>
    <xf numFmtId="3" fontId="118" fillId="2" borderId="111" xfId="0" applyNumberFormat="1" applyFont="1" applyFill="1" applyBorder="1" applyAlignment="1" applyProtection="1">
      <alignment horizontal="center" vertical="center" textRotation="90" wrapText="1"/>
      <protection hidden="1"/>
    </xf>
    <xf numFmtId="3" fontId="118" fillId="2" borderId="108" xfId="0" applyNumberFormat="1" applyFont="1" applyFill="1" applyBorder="1" applyAlignment="1" applyProtection="1">
      <alignment horizontal="center" vertical="center" textRotation="90" wrapText="1"/>
      <protection hidden="1"/>
    </xf>
    <xf numFmtId="3" fontId="118" fillId="2" borderId="113" xfId="0" applyNumberFormat="1" applyFont="1" applyFill="1" applyBorder="1" applyAlignment="1" applyProtection="1">
      <alignment horizontal="center" vertical="center" textRotation="90" wrapText="1"/>
      <protection hidden="1"/>
    </xf>
    <xf numFmtId="167" fontId="147" fillId="0" borderId="15" xfId="0" applyNumberFormat="1" applyFont="1" applyBorder="1" applyAlignment="1" applyProtection="1">
      <alignment horizontal="right" vertical="center"/>
      <protection hidden="1"/>
    </xf>
    <xf numFmtId="0" fontId="106" fillId="0" borderId="15" xfId="0" applyFont="1" applyBorder="1" applyAlignment="1" applyProtection="1">
      <alignment horizontal="left" vertical="center"/>
      <protection hidden="1"/>
    </xf>
    <xf numFmtId="0" fontId="148" fillId="0" borderId="0" xfId="0" applyFont="1" applyAlignment="1" applyProtection="1">
      <alignment vertical="center"/>
      <protection hidden="1"/>
    </xf>
  </cellXfs>
  <cellStyles count="6">
    <cellStyle name="60 % - Accent1" xfId="2" builtinId="32"/>
    <cellStyle name="Euro" xfId="5" xr:uid="{00000000-0005-0000-0000-000001000000}"/>
    <cellStyle name="Lien hypertexte" xfId="3" builtinId="8"/>
    <cellStyle name="Milliers" xfId="1" builtinId="3"/>
    <cellStyle name="Normal" xfId="0" builtinId="0"/>
    <cellStyle name="Pourcentage" xfId="4" builtinId="5"/>
  </cellStyles>
  <dxfs count="277">
    <dxf>
      <font>
        <color rgb="FFFF0000"/>
      </font>
    </dxf>
    <dxf>
      <font>
        <color theme="0"/>
      </font>
    </dxf>
    <dxf>
      <font>
        <color theme="0"/>
      </font>
    </dxf>
    <dxf>
      <font>
        <color rgb="FFFF0000"/>
      </font>
    </dxf>
    <dxf>
      <font>
        <color theme="0"/>
      </font>
    </dxf>
    <dxf>
      <font>
        <color rgb="FFFF0000"/>
      </font>
    </dxf>
    <dxf>
      <fill>
        <patternFill>
          <bgColor rgb="FFFFFFCC"/>
        </patternFill>
      </fill>
    </dxf>
    <dxf>
      <font>
        <color rgb="FFFF0000"/>
      </font>
    </dxf>
    <dxf>
      <font>
        <color rgb="FFC00000"/>
      </font>
      <fill>
        <patternFill>
          <bgColor theme="9" tint="0.79998168889431442"/>
        </patternFill>
      </fill>
    </dxf>
    <dxf>
      <font>
        <color theme="0"/>
      </font>
    </dxf>
    <dxf>
      <fill>
        <patternFill>
          <bgColor rgb="FFFFFFCC"/>
        </patternFill>
      </fill>
    </dxf>
    <dxf>
      <fill>
        <patternFill>
          <bgColor rgb="FFFFFFCC"/>
        </patternFill>
      </fill>
    </dxf>
    <dxf>
      <font>
        <color theme="0"/>
      </font>
    </dxf>
    <dxf>
      <fill>
        <patternFill>
          <bgColor rgb="FFFFFFCC"/>
        </patternFill>
      </fill>
    </dxf>
    <dxf>
      <fill>
        <patternFill>
          <bgColor rgb="FFFFFFCC"/>
        </patternFill>
      </fill>
    </dxf>
    <dxf>
      <font>
        <color theme="0"/>
      </font>
    </dxf>
    <dxf>
      <fill>
        <patternFill>
          <bgColor rgb="FFFFFFCC"/>
        </patternFill>
      </fill>
    </dxf>
    <dxf>
      <fill>
        <patternFill>
          <bgColor rgb="FFFFFFCC"/>
        </patternFill>
      </fill>
    </dxf>
    <dxf>
      <font>
        <color theme="0"/>
      </font>
    </dxf>
    <dxf>
      <fill>
        <patternFill>
          <bgColor rgb="FFFFFFCC"/>
        </patternFill>
      </fill>
    </dxf>
    <dxf>
      <fill>
        <patternFill>
          <bgColor rgb="FFFFFFCC"/>
        </patternFill>
      </fill>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ont>
        <color theme="0"/>
      </font>
    </dxf>
    <dxf>
      <font>
        <color theme="0"/>
      </font>
    </dxf>
    <dxf>
      <fill>
        <patternFill>
          <bgColor rgb="FFFFFFCC"/>
        </patternFill>
      </fill>
    </dxf>
    <dxf>
      <fill>
        <patternFill>
          <bgColor rgb="FFFFFFCC"/>
        </patternFill>
      </fill>
    </dxf>
    <dxf>
      <font>
        <color theme="0"/>
      </font>
    </dxf>
    <dxf>
      <font>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FFFFCC"/>
      </font>
    </dxf>
    <dxf>
      <font>
        <color rgb="FFFFFFCC"/>
      </font>
    </dxf>
    <dxf>
      <font>
        <color rgb="FFFFFFCC"/>
      </font>
    </dxf>
    <dxf>
      <font>
        <color rgb="FFFFFFCC"/>
      </font>
    </dxf>
    <dxf>
      <font>
        <color rgb="FFDAEEF3"/>
      </font>
    </dxf>
    <dxf>
      <font>
        <color rgb="FFDAEEF3"/>
      </font>
    </dxf>
    <dxf>
      <font>
        <color rgb="FFDAEEF3"/>
      </font>
    </dxf>
    <dxf>
      <font>
        <color rgb="FFDAEEF3"/>
      </font>
    </dxf>
    <dxf>
      <font>
        <color rgb="FFDAEEF3"/>
      </font>
    </dxf>
    <dxf>
      <font>
        <color rgb="FFDAEEF3"/>
      </font>
    </dxf>
    <dxf>
      <font>
        <color rgb="FFFFFFCC"/>
      </font>
    </dxf>
    <dxf>
      <font>
        <color rgb="FFFFFFCC"/>
      </font>
    </dxf>
    <dxf>
      <font>
        <color rgb="FFDAEEF3"/>
      </font>
    </dxf>
    <dxf>
      <font>
        <color rgb="FFDAEEF3"/>
      </font>
    </dxf>
    <dxf>
      <font>
        <color rgb="FFDAEEF3"/>
      </font>
    </dxf>
    <dxf>
      <font>
        <color rgb="FFEBF9FF"/>
      </font>
    </dxf>
    <dxf>
      <font>
        <color rgb="FFEBF9FF"/>
      </font>
    </dxf>
    <dxf>
      <font>
        <color rgb="FFFFFFCC"/>
      </font>
    </dxf>
    <dxf>
      <font>
        <color rgb="FFEBF9FF"/>
      </font>
    </dxf>
    <dxf>
      <font>
        <color rgb="FFFFFFCC"/>
      </font>
    </dxf>
    <dxf>
      <font>
        <color rgb="FFFFFFCC"/>
      </font>
    </dxf>
    <dxf>
      <font>
        <color rgb="FFEBF9FF"/>
      </font>
    </dxf>
    <dxf>
      <font>
        <color rgb="FFDAEEF3"/>
      </font>
    </dxf>
    <dxf>
      <font>
        <color rgb="FFEBF9FF"/>
      </font>
    </dxf>
    <dxf>
      <font>
        <color rgb="FFDAEEF3"/>
      </font>
    </dxf>
    <dxf>
      <font>
        <color rgb="FFFFFFCC"/>
      </font>
    </dxf>
    <dxf>
      <fill>
        <patternFill>
          <bgColor rgb="FFFFFFCC"/>
        </patternFill>
      </fill>
    </dxf>
    <dxf>
      <font>
        <color theme="0" tint="-0.14996795556505021"/>
      </font>
    </dxf>
    <dxf>
      <font>
        <color theme="5"/>
      </font>
      <fill>
        <patternFill patternType="none">
          <bgColor auto="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dxf>
    <dxf>
      <font>
        <color theme="0" tint="-4.9989318521683403E-2"/>
      </font>
    </dxf>
    <dxf>
      <font>
        <color theme="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002060"/>
      </font>
      <fill>
        <patternFill>
          <bgColor theme="6" tint="0.59996337778862885"/>
        </patternFill>
      </fill>
    </dxf>
    <dxf>
      <font>
        <color rgb="FF009999"/>
      </font>
      <fill>
        <patternFill>
          <bgColor rgb="FF009999"/>
        </patternFill>
      </fill>
    </dxf>
    <dxf>
      <font>
        <condense val="0"/>
        <extend val="0"/>
        <color indexed="32"/>
      </font>
      <fill>
        <patternFill>
          <bgColor theme="6" tint="0.59996337778862885"/>
        </patternFill>
      </fill>
    </dxf>
    <dxf>
      <font>
        <color theme="0"/>
      </font>
    </dxf>
    <dxf>
      <font>
        <color theme="0"/>
      </font>
    </dxf>
    <dxf>
      <font>
        <color theme="0"/>
      </font>
    </dxf>
    <dxf>
      <font>
        <color theme="0"/>
      </font>
    </dxf>
    <dxf>
      <font>
        <color rgb="FFC00000"/>
      </font>
      <fill>
        <patternFill>
          <bgColor theme="9" tint="0.79998168889431442"/>
        </patternFill>
      </fill>
    </dxf>
    <dxf>
      <font>
        <color rgb="FFC00000"/>
      </font>
      <fill>
        <patternFill>
          <bgColor theme="9"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2060"/>
      </font>
      <fill>
        <patternFill>
          <bgColor theme="6" tint="0.59996337778862885"/>
        </patternFill>
      </fill>
    </dxf>
    <dxf>
      <font>
        <color rgb="FF009999"/>
      </font>
      <fill>
        <patternFill>
          <bgColor rgb="FF009999"/>
        </patternFill>
      </fill>
    </dxf>
    <dxf>
      <font>
        <condense val="0"/>
        <extend val="0"/>
        <color indexed="32"/>
      </font>
      <fill>
        <patternFill>
          <bgColor theme="6" tint="0.59996337778862885"/>
        </patternFill>
      </fill>
    </dxf>
    <dxf>
      <font>
        <color rgb="FF002060"/>
      </font>
      <fill>
        <patternFill>
          <bgColor theme="6" tint="0.59996337778862885"/>
        </patternFill>
      </fill>
    </dxf>
    <dxf>
      <font>
        <color rgb="FF009999"/>
      </font>
      <fill>
        <patternFill>
          <bgColor rgb="FF009999"/>
        </patternFill>
      </fill>
    </dxf>
    <dxf>
      <font>
        <condense val="0"/>
        <extend val="0"/>
        <color indexed="32"/>
      </font>
      <fill>
        <patternFill>
          <bgColor theme="6" tint="0.59996337778862885"/>
        </patternFill>
      </fill>
    </dxf>
    <dxf>
      <font>
        <color theme="0"/>
      </font>
    </dxf>
    <dxf>
      <font>
        <color theme="0"/>
      </font>
    </dxf>
    <dxf>
      <font>
        <color theme="0"/>
      </font>
    </dxf>
    <dxf>
      <font>
        <color theme="0"/>
      </font>
    </dxf>
    <dxf>
      <font>
        <color rgb="FFC00000"/>
      </font>
      <fill>
        <patternFill>
          <bgColor theme="9" tint="0.79998168889431442"/>
        </patternFill>
      </fill>
    </dxf>
    <dxf>
      <font>
        <color rgb="FFC00000"/>
      </font>
      <fill>
        <patternFill>
          <bgColor theme="9"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rgb="FFFFFFCC"/>
      </font>
    </dxf>
    <dxf>
      <font>
        <color theme="0"/>
      </font>
    </dxf>
    <dxf>
      <font>
        <color theme="0"/>
      </font>
    </dxf>
    <dxf>
      <font>
        <color theme="0"/>
      </font>
    </dxf>
    <dxf>
      <font>
        <color rgb="FFFFFFCC"/>
      </font>
    </dxf>
    <dxf>
      <font>
        <color theme="0"/>
      </font>
    </dxf>
    <dxf>
      <font>
        <color rgb="FFFFFFCC"/>
      </font>
    </dxf>
    <dxf>
      <font>
        <color theme="0"/>
      </font>
    </dxf>
    <dxf>
      <font>
        <color rgb="FFFFFFCC"/>
      </font>
    </dxf>
    <dxf>
      <font>
        <color theme="0"/>
      </font>
    </dxf>
    <dxf>
      <font>
        <color theme="0"/>
      </font>
    </dxf>
    <dxf>
      <fill>
        <patternFill>
          <bgColor rgb="FFFFFFCC"/>
        </patternFill>
      </fill>
    </dxf>
    <dxf>
      <font>
        <b/>
        <i val="0"/>
      </font>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5" tint="0.79998168889431442"/>
      </font>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tint="-4.9989318521683403E-2"/>
      </font>
    </dxf>
    <dxf>
      <font>
        <color rgb="FF002060"/>
      </font>
      <fill>
        <patternFill>
          <bgColor theme="6" tint="0.59996337778862885"/>
        </patternFill>
      </fill>
    </dxf>
    <dxf>
      <font>
        <color rgb="FF009999"/>
      </font>
      <fill>
        <patternFill>
          <bgColor rgb="FF009999"/>
        </patternFill>
      </fill>
    </dxf>
    <dxf>
      <font>
        <color rgb="FF002060"/>
      </font>
      <fill>
        <patternFill>
          <bgColor theme="6" tint="0.59996337778862885"/>
        </patternFill>
      </fill>
    </dxf>
    <dxf>
      <font>
        <color rgb="FF009999"/>
      </font>
      <fill>
        <patternFill>
          <bgColor rgb="FF009999"/>
        </patternFill>
      </fill>
    </dxf>
    <dxf>
      <font>
        <color rgb="FF0000CC"/>
      </font>
    </dxf>
    <dxf>
      <font>
        <color rgb="FF0000CC"/>
      </font>
    </dxf>
    <dxf>
      <font>
        <color theme="0" tint="-0.14996795556505021"/>
      </font>
    </dxf>
    <dxf>
      <font>
        <color rgb="FF0000CC"/>
      </font>
    </dxf>
    <dxf>
      <font>
        <color theme="0" tint="-0.14996795556505021"/>
      </font>
    </dxf>
    <dxf>
      <font>
        <color rgb="FF0000CC"/>
      </font>
    </dxf>
    <dxf>
      <font>
        <color rgb="FF0000CC"/>
      </font>
    </dxf>
    <dxf>
      <font>
        <color theme="0" tint="-4.9989318521683403E-2"/>
      </font>
    </dxf>
    <dxf>
      <font>
        <color theme="0" tint="-4.9989318521683403E-2"/>
        <name val="Cambria"/>
        <scheme val="none"/>
      </font>
    </dxf>
    <dxf>
      <font>
        <color theme="0"/>
        <name val="Cambria"/>
        <scheme val="none"/>
      </font>
    </dxf>
    <dxf>
      <font>
        <color rgb="FF0000CC"/>
      </font>
    </dxf>
    <dxf>
      <font>
        <color theme="0" tint="-4.9989318521683403E-2"/>
      </font>
    </dxf>
    <dxf>
      <font>
        <color theme="0" tint="-4.9989318521683403E-2"/>
        <name val="Cambria"/>
        <scheme val="none"/>
      </font>
    </dxf>
    <dxf>
      <font>
        <color theme="0"/>
        <name val="Cambria"/>
        <scheme val="none"/>
      </font>
    </dxf>
    <dxf>
      <font>
        <color theme="0" tint="-4.9989318521683403E-2"/>
      </font>
    </dxf>
    <dxf>
      <font>
        <color theme="0" tint="-4.9989318521683403E-2"/>
        <name val="Cambria"/>
        <scheme val="none"/>
      </font>
    </dxf>
    <dxf>
      <fill>
        <patternFill patternType="none">
          <bgColor auto="1"/>
        </patternFill>
      </fill>
      <border>
        <left/>
        <right/>
        <top/>
        <bottom/>
      </border>
    </dxf>
    <dxf>
      <font>
        <color theme="0"/>
        <name val="Cambria"/>
        <scheme val="none"/>
      </font>
    </dxf>
    <dxf>
      <font>
        <color rgb="FF002060"/>
      </font>
      <fill>
        <patternFill>
          <bgColor theme="6" tint="0.59996337778862885"/>
        </patternFill>
      </fill>
    </dxf>
    <dxf>
      <font>
        <color rgb="FF009999"/>
      </font>
      <fill>
        <patternFill>
          <bgColor rgb="FF009999"/>
        </patternFill>
      </fill>
    </dxf>
    <dxf>
      <font>
        <color rgb="FF002060"/>
      </font>
      <fill>
        <patternFill>
          <bgColor theme="6" tint="0.59996337778862885"/>
        </patternFill>
      </fill>
    </dxf>
    <dxf>
      <font>
        <color rgb="FF009999"/>
      </font>
      <fill>
        <patternFill>
          <bgColor rgb="FF009999"/>
        </patternFill>
      </fill>
    </dxf>
    <dxf>
      <font>
        <color rgb="FF002060"/>
      </font>
      <fill>
        <patternFill>
          <bgColor theme="6" tint="0.59996337778862885"/>
        </patternFill>
      </fill>
    </dxf>
    <dxf>
      <font>
        <color rgb="FF009999"/>
      </font>
      <fill>
        <patternFill>
          <bgColor rgb="FF009999"/>
        </patternFill>
      </fill>
    </dxf>
    <dxf>
      <font>
        <color rgb="FF0000CC"/>
      </font>
    </dxf>
    <dxf>
      <font>
        <color rgb="FF0000CC"/>
      </font>
    </dxf>
    <dxf>
      <font>
        <color rgb="FF0000CC"/>
      </font>
    </dxf>
    <dxf>
      <font>
        <color theme="0" tint="-0.14996795556505021"/>
      </font>
    </dxf>
    <dxf>
      <font>
        <color rgb="FF0000CC"/>
      </font>
    </dxf>
    <dxf>
      <font>
        <color theme="0" tint="-0.14996795556505021"/>
      </font>
    </dxf>
    <dxf>
      <font>
        <color rgb="FF0000CC"/>
      </font>
    </dxf>
    <dxf>
      <font>
        <color rgb="FF0000CC"/>
      </font>
    </dxf>
    <dxf>
      <font>
        <color theme="0" tint="-4.9989318521683403E-2"/>
      </font>
    </dxf>
    <dxf>
      <font>
        <color theme="0" tint="-4.9989318521683403E-2"/>
        <name val="Cambria"/>
        <scheme val="none"/>
      </font>
    </dxf>
    <dxf>
      <font>
        <color theme="0"/>
        <name val="Cambria"/>
        <scheme val="none"/>
      </font>
    </dxf>
    <dxf>
      <font>
        <color rgb="FF0000CC"/>
      </font>
    </dxf>
    <dxf>
      <font>
        <color theme="0" tint="-4.9989318521683403E-2"/>
      </font>
    </dxf>
    <dxf>
      <font>
        <color theme="0" tint="-4.9989318521683403E-2"/>
        <name val="Cambria"/>
        <scheme val="none"/>
      </font>
    </dxf>
    <dxf>
      <font>
        <color theme="0"/>
        <name val="Cambria"/>
        <scheme val="none"/>
      </font>
    </dxf>
    <dxf>
      <font>
        <color rgb="FF0000CC"/>
      </font>
    </dxf>
    <dxf>
      <font>
        <color theme="0" tint="-0.14996795556505021"/>
      </font>
    </dxf>
    <dxf>
      <font>
        <color rgb="FF0000CC"/>
      </font>
    </dxf>
    <dxf>
      <font>
        <color theme="0" tint="-4.9989318521683403E-2"/>
      </font>
    </dxf>
    <dxf>
      <font>
        <color theme="0" tint="-4.9989318521683403E-2"/>
        <name val="Cambria"/>
        <scheme val="none"/>
      </font>
    </dxf>
    <dxf>
      <font>
        <color theme="0" tint="-4.9989318521683403E-2"/>
      </font>
    </dxf>
    <dxf>
      <font>
        <color theme="0" tint="-4.9989318521683403E-2"/>
        <name val="Cambria"/>
        <scheme val="none"/>
      </font>
    </dxf>
    <dxf>
      <font>
        <color theme="0"/>
        <name val="Cambria"/>
        <scheme val="none"/>
      </font>
    </dxf>
    <dxf>
      <fill>
        <patternFill>
          <bgColor rgb="FFC00000"/>
        </patternFill>
      </fill>
    </dxf>
    <dxf>
      <fill>
        <patternFill>
          <bgColor theme="6" tint="0.59996337778862885"/>
        </patternFill>
      </fill>
    </dxf>
    <dxf>
      <font>
        <color rgb="FFFF0000"/>
      </font>
    </dxf>
    <dxf>
      <font>
        <color rgb="FF002060"/>
      </font>
      <fill>
        <patternFill>
          <bgColor theme="6" tint="0.59996337778862885"/>
        </patternFill>
      </fill>
    </dxf>
    <dxf>
      <font>
        <color rgb="FF002060"/>
      </font>
      <fill>
        <patternFill>
          <bgColor theme="6" tint="0.59996337778862885"/>
        </patternFill>
      </fill>
    </dxf>
    <dxf>
      <font>
        <condense val="0"/>
        <extend val="0"/>
        <color indexed="32"/>
      </font>
      <fill>
        <patternFill>
          <bgColor theme="6" tint="0.59996337778862885"/>
        </patternFill>
      </fill>
    </dxf>
    <dxf>
      <font>
        <condense val="0"/>
        <extend val="0"/>
        <color indexed="12"/>
      </font>
    </dxf>
    <dxf>
      <font>
        <color rgb="FFFF0000"/>
      </font>
    </dxf>
    <dxf>
      <font>
        <b/>
        <i val="0"/>
        <color rgb="FFC00000"/>
      </font>
      <fill>
        <patternFill>
          <bgColor theme="9" tint="0.79998168889431442"/>
        </patternFill>
      </fill>
    </dxf>
    <dxf>
      <font>
        <b/>
        <i val="0"/>
        <condense val="0"/>
        <extend val="0"/>
        <color indexed="9"/>
      </font>
      <fill>
        <patternFill>
          <bgColor rgb="FFFF0000"/>
        </patternFill>
      </fill>
    </dxf>
    <dxf>
      <fill>
        <patternFill>
          <bgColor theme="6" tint="0.59996337778862885"/>
        </patternFill>
      </fill>
    </dxf>
    <dxf>
      <fill>
        <patternFill>
          <bgColor theme="6" tint="0.59996337778862885"/>
        </patternFill>
      </fill>
    </dxf>
    <dxf>
      <font>
        <color rgb="FF002060"/>
      </font>
      <fill>
        <patternFill>
          <bgColor theme="6" tint="0.59996337778862885"/>
        </patternFill>
      </fill>
      <border>
        <bottom style="thin">
          <color theme="0" tint="-0.24994659260841701"/>
        </bottom>
        <vertical/>
        <horizontal/>
      </border>
    </dxf>
    <dxf>
      <font>
        <color theme="0" tint="-0.14996795556505021"/>
      </font>
    </dxf>
    <dxf>
      <font>
        <color rgb="FFFF0000"/>
      </font>
    </dxf>
    <dxf>
      <font>
        <color rgb="FF002060"/>
      </font>
      <fill>
        <patternFill>
          <bgColor theme="6" tint="0.59996337778862885"/>
        </patternFill>
      </fill>
    </dxf>
    <dxf>
      <font>
        <color rgb="FF002060"/>
      </font>
      <fill>
        <patternFill>
          <bgColor theme="6" tint="0.59996337778862885"/>
        </patternFill>
      </fill>
    </dxf>
    <dxf>
      <font>
        <condense val="0"/>
        <extend val="0"/>
        <color indexed="32"/>
      </font>
      <fill>
        <patternFill>
          <bgColor theme="6" tint="0.59996337778862885"/>
        </patternFill>
      </fill>
    </dxf>
    <dxf>
      <font>
        <color rgb="FF002060"/>
      </font>
      <fill>
        <patternFill>
          <bgColor theme="6" tint="0.59996337778862885"/>
        </patternFill>
      </fill>
    </dxf>
    <dxf>
      <font>
        <condense val="0"/>
        <extend val="0"/>
        <color indexed="32"/>
      </font>
      <fill>
        <patternFill>
          <bgColor theme="6" tint="0.59996337778862885"/>
        </patternFill>
      </fill>
    </dxf>
    <dxf>
      <font>
        <condense val="0"/>
        <extend val="0"/>
        <color indexed="12"/>
      </font>
    </dxf>
    <dxf>
      <font>
        <color rgb="FFFF0000"/>
      </font>
    </dxf>
    <dxf>
      <font>
        <b/>
        <i val="0"/>
        <color rgb="FFC00000"/>
      </font>
      <fill>
        <patternFill>
          <bgColor theme="9" tint="0.79998168889431442"/>
        </patternFill>
      </fill>
    </dxf>
    <dxf>
      <font>
        <b/>
        <i val="0"/>
        <condense val="0"/>
        <extend val="0"/>
        <color indexed="9"/>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FFFFFF"/>
      <color rgb="FF000099"/>
      <color rgb="FFFF9933"/>
      <color rgb="FFFFCC00"/>
      <color rgb="FFFFFFCC"/>
      <color rgb="FFDAEEF3"/>
      <color rgb="FFEBF9FF"/>
      <color rgb="FF0000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r>
              <a:rPr lang="fr-FR" sz="1100" b="1">
                <a:solidFill>
                  <a:srgbClr val="002060"/>
                </a:solidFill>
              </a:rPr>
              <a:t>Chiffres d'affaires mensuels</a:t>
            </a:r>
          </a:p>
        </c:rich>
      </c:tx>
      <c:overlay val="0"/>
      <c:spPr>
        <a:noFill/>
        <a:ln>
          <a:noFill/>
        </a:ln>
        <a:effectLst/>
      </c:spPr>
      <c:txPr>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tx>
            <c:v>An 1</c:v>
          </c:tx>
          <c:spPr>
            <a:solidFill>
              <a:srgbClr val="000099"/>
            </a:solidFill>
            <a:ln>
              <a:noFill/>
            </a:ln>
            <a:effectLst/>
          </c:spPr>
          <c:invertIfNegative val="0"/>
          <c:cat>
            <c:numRef>
              <c:f>'Chiffres d''affaires mensuels'!$A$5:$A$16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'Chiffres d''affaires mensuels'!$C$5:$C$16</c:f>
              <c:numCache>
                <c:formatCode>#\ ##0" "</c:formatCode>
                <c:ptCount val="12"/>
              </c:numCache>
            </c:numRef>
          </c:val>
          <c:extLst>
            <c:ext xmlns:c16="http://schemas.microsoft.com/office/drawing/2014/chart" uri="{C3380CC4-5D6E-409C-BE32-E72D297353CC}">
              <c16:uniqueId val="{00000000-C003-4C62-A60A-FDD8AAFE751F}"/>
            </c:ext>
          </c:extLst>
        </c:ser>
        <c:ser>
          <c:idx val="1"/>
          <c:order val="1"/>
          <c:tx>
            <c:v>An 2</c:v>
          </c:tx>
          <c:spPr>
            <a:solidFill>
              <a:schemeClr val="accent2"/>
            </a:solidFill>
            <a:ln>
              <a:noFill/>
            </a:ln>
            <a:effectLst/>
          </c:spPr>
          <c:invertIfNegative val="0"/>
          <c:cat>
            <c:numRef>
              <c:f>'Chiffres d''affaires mensuels'!$A$5:$A$16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'Chiffres d''affaires mensuels'!$G$5:$G$16</c:f>
              <c:numCache>
                <c:formatCode>#\ ##0" "</c:formatCode>
                <c:ptCount val="12"/>
              </c:numCache>
            </c:numRef>
          </c:val>
          <c:extLst>
            <c:ext xmlns:c16="http://schemas.microsoft.com/office/drawing/2014/chart" uri="{C3380CC4-5D6E-409C-BE32-E72D297353CC}">
              <c16:uniqueId val="{00000001-C003-4C62-A60A-FDD8AAFE751F}"/>
            </c:ext>
          </c:extLst>
        </c:ser>
        <c:ser>
          <c:idx val="2"/>
          <c:order val="2"/>
          <c:tx>
            <c:v>An 3</c:v>
          </c:tx>
          <c:spPr>
            <a:solidFill>
              <a:schemeClr val="accent3"/>
            </a:solidFill>
            <a:ln>
              <a:noFill/>
            </a:ln>
            <a:effectLst/>
          </c:spPr>
          <c:invertIfNegative val="0"/>
          <c:cat>
            <c:numRef>
              <c:f>'Chiffres d''affaires mensuels'!$A$5:$A$16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'Chiffres d''affaires mensuels'!$K$5:$K$16</c:f>
              <c:numCache>
                <c:formatCode>#\ ##0" "</c:formatCode>
                <c:ptCount val="12"/>
              </c:numCache>
            </c:numRef>
          </c:val>
          <c:extLst>
            <c:ext xmlns:c16="http://schemas.microsoft.com/office/drawing/2014/chart" uri="{C3380CC4-5D6E-409C-BE32-E72D297353CC}">
              <c16:uniqueId val="{00000002-C003-4C62-A60A-FDD8AAFE751F}"/>
            </c:ext>
          </c:extLst>
        </c:ser>
        <c:ser>
          <c:idx val="3"/>
          <c:order val="3"/>
          <c:tx>
            <c:v>An 4</c:v>
          </c:tx>
          <c:spPr>
            <a:solidFill>
              <a:schemeClr val="accent5">
                <a:lumMod val="50000"/>
              </a:schemeClr>
            </a:solidFill>
            <a:ln>
              <a:noFill/>
            </a:ln>
            <a:effectLst/>
          </c:spPr>
          <c:invertIfNegative val="0"/>
          <c:cat>
            <c:numRef>
              <c:f>'Chiffres d''affaires mensuels'!$A$5:$A$16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'Chiffres d''affaires mensuels'!$O$5:$O$16</c:f>
              <c:numCache>
                <c:formatCode>#\ ##0" "</c:formatCode>
                <c:ptCount val="12"/>
              </c:numCache>
            </c:numRef>
          </c:val>
          <c:extLst>
            <c:ext xmlns:c16="http://schemas.microsoft.com/office/drawing/2014/chart" uri="{C3380CC4-5D6E-409C-BE32-E72D297353CC}">
              <c16:uniqueId val="{00000003-C003-4C62-A60A-FDD8AAFE751F}"/>
            </c:ext>
          </c:extLst>
        </c:ser>
        <c:ser>
          <c:idx val="4"/>
          <c:order val="4"/>
          <c:tx>
            <c:v>An 5</c:v>
          </c:tx>
          <c:spPr>
            <a:solidFill>
              <a:schemeClr val="accent6"/>
            </a:solidFill>
            <a:ln>
              <a:noFill/>
            </a:ln>
            <a:effectLst/>
          </c:spPr>
          <c:invertIfNegative val="0"/>
          <c:cat>
            <c:numRef>
              <c:f>'Chiffres d''affaires mensuels'!$A$5:$A$16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'Chiffres d''affaires mensuels'!$S$5:$S$15</c:f>
              <c:numCache>
                <c:formatCode>#\ ##0" "</c:formatCode>
                <c:ptCount val="11"/>
              </c:numCache>
            </c:numRef>
          </c:val>
          <c:extLst>
            <c:ext xmlns:c16="http://schemas.microsoft.com/office/drawing/2014/chart" uri="{C3380CC4-5D6E-409C-BE32-E72D297353CC}">
              <c16:uniqueId val="{00000004-C003-4C62-A60A-FDD8AAFE751F}"/>
            </c:ext>
          </c:extLst>
        </c:ser>
        <c:dLbls>
          <c:showLegendKey val="0"/>
          <c:showVal val="0"/>
          <c:showCatName val="0"/>
          <c:showSerName val="0"/>
          <c:showPercent val="0"/>
          <c:showBubbleSize val="0"/>
        </c:dLbls>
        <c:gapWidth val="219"/>
        <c:overlap val="-27"/>
        <c:axId val="173455920"/>
        <c:axId val="172926824"/>
      </c:barChart>
      <c:catAx>
        <c:axId val="173455920"/>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172926824"/>
        <c:crosses val="autoZero"/>
        <c:auto val="1"/>
        <c:lblAlgn val="ctr"/>
        <c:lblOffset val="100"/>
        <c:noMultiLvlLbl val="1"/>
      </c:catAx>
      <c:valAx>
        <c:axId val="172926824"/>
        <c:scaling>
          <c:orientation val="minMax"/>
        </c:scaling>
        <c:delete val="0"/>
        <c:axPos val="l"/>
        <c:majorGridlines>
          <c:spPr>
            <a:ln w="9525" cap="flat" cmpd="sng" algn="ctr">
              <a:solidFill>
                <a:schemeClr val="tx1">
                  <a:lumMod val="15000"/>
                  <a:lumOff val="85000"/>
                </a:schemeClr>
              </a:solidFill>
              <a:round/>
            </a:ln>
            <a:effectLst/>
          </c:spPr>
        </c:majorGridlines>
        <c:numFmt formatCode="#\ ##0&quot; &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455920"/>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50" b="1" i="0" u="none" strike="noStrike" kern="1200" baseline="0">
                <a:solidFill>
                  <a:schemeClr val="accent1"/>
                </a:solidFill>
                <a:latin typeface="+mn-lt"/>
                <a:ea typeface="+mn-ea"/>
                <a:cs typeface="+mn-cs"/>
              </a:defRPr>
            </a:pPr>
            <a:endParaRPr lang="fr-FR"/>
          </a:p>
        </c:txPr>
      </c:legendEntry>
      <c:legendEntry>
        <c:idx val="1"/>
        <c:txPr>
          <a:bodyPr rot="0" spcFirstLastPara="1" vertOverflow="ellipsis" vert="horz" wrap="square" anchor="ctr" anchorCtr="1"/>
          <a:lstStyle/>
          <a:p>
            <a:pPr>
              <a:defRPr sz="1050" b="1" i="0" u="none" strike="noStrike" kern="1200" baseline="0">
                <a:solidFill>
                  <a:schemeClr val="accent2"/>
                </a:solidFill>
                <a:latin typeface="+mn-lt"/>
                <a:ea typeface="+mn-ea"/>
                <a:cs typeface="+mn-cs"/>
              </a:defRPr>
            </a:pPr>
            <a:endParaRPr lang="fr-FR"/>
          </a:p>
        </c:txPr>
      </c:legendEntry>
      <c:legendEntry>
        <c:idx val="2"/>
        <c:txPr>
          <a:bodyPr rot="0" spcFirstLastPara="1" vertOverflow="ellipsis" vert="horz" wrap="square" anchor="ctr" anchorCtr="1"/>
          <a:lstStyle/>
          <a:p>
            <a:pPr>
              <a:defRPr sz="1050" b="1" i="0" u="none" strike="noStrike" kern="1200" baseline="0">
                <a:solidFill>
                  <a:srgbClr val="00B050"/>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050" b="1" i="0" u="none" strike="noStrike" kern="1200" baseline="0">
              <a:solidFill>
                <a:srgbClr val="002060"/>
              </a:solidFill>
              <a:latin typeface="+mn-lt"/>
              <a:ea typeface="+mn-ea"/>
              <a:cs typeface="+mn-cs"/>
            </a:defRPr>
          </a:pPr>
          <a:endParaRPr lang="fr-FR"/>
        </a:p>
      </c:txPr>
    </c:legend>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2060"/>
                </a:solidFill>
                <a:latin typeface="+mn-lt"/>
                <a:ea typeface="+mn-ea"/>
                <a:cs typeface="+mn-cs"/>
              </a:defRPr>
            </a:pPr>
            <a:r>
              <a:rPr lang="en-US" sz="1100" b="1">
                <a:solidFill>
                  <a:srgbClr val="002060"/>
                </a:solidFill>
              </a:rPr>
              <a:t>Chiffres d'affaires mensuels cumulés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2060"/>
              </a:solidFill>
              <a:latin typeface="+mn-lt"/>
              <a:ea typeface="+mn-ea"/>
              <a:cs typeface="+mn-cs"/>
            </a:defRPr>
          </a:pPr>
          <a:endParaRPr lang="fr-FR"/>
        </a:p>
      </c:txPr>
    </c:title>
    <c:autoTitleDeleted val="0"/>
    <c:plotArea>
      <c:layout>
        <c:manualLayout>
          <c:layoutTarget val="inner"/>
          <c:xMode val="edge"/>
          <c:yMode val="edge"/>
          <c:x val="5.3225729329373167E-2"/>
          <c:y val="0.16403691159040126"/>
          <c:w val="0.86492617135729322"/>
          <c:h val="0.63462246022888236"/>
        </c:manualLayout>
      </c:layout>
      <c:lineChart>
        <c:grouping val="standard"/>
        <c:varyColors val="0"/>
        <c:ser>
          <c:idx val="0"/>
          <c:order val="0"/>
          <c:tx>
            <c:v>An 1</c:v>
          </c:tx>
          <c:spPr>
            <a:ln w="28575" cap="rnd">
              <a:solidFill>
                <a:srgbClr val="000099"/>
              </a:solidFill>
              <a:round/>
            </a:ln>
            <a:effectLst/>
          </c:spPr>
          <c:marker>
            <c:symbol val="none"/>
          </c:marker>
          <c:dLbls>
            <c:dLbl>
              <c:idx val="11"/>
              <c:layout>
                <c:manualLayout>
                  <c:x val="9.5158616751603222E-3"/>
                  <c:y val="9.023511013785942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83-46F7-B438-1482923D8653}"/>
                </c:ext>
              </c:extLst>
            </c:dLbl>
            <c:numFmt formatCode="#\ ##0&quot; K€ &quot;" sourceLinked="0"/>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rgbClr val="000099"/>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'Chiffres d''affaires mensuels'!$V$5:$V$16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D83-46F7-B438-1482923D8653}"/>
            </c:ext>
          </c:extLst>
        </c:ser>
        <c:ser>
          <c:idx val="1"/>
          <c:order val="1"/>
          <c:tx>
            <c:v>An 2</c:v>
          </c:tx>
          <c:spPr>
            <a:ln w="28575" cap="rnd">
              <a:solidFill>
                <a:schemeClr val="accent2"/>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D83-46F7-B438-1482923D8653}"/>
                </c:ext>
              </c:extLst>
            </c:dLbl>
            <c:numFmt formatCode="#\ ##0&quot; K€ &quot;" sourceLinked="0"/>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accent2"/>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'Chiffres d''affaires mensuels'!$W$5:$W$16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D83-46F7-B438-1482923D8653}"/>
            </c:ext>
          </c:extLst>
        </c:ser>
        <c:ser>
          <c:idx val="2"/>
          <c:order val="2"/>
          <c:tx>
            <c:v>An 3</c:v>
          </c:tx>
          <c:spPr>
            <a:ln w="28575" cap="rnd">
              <a:solidFill>
                <a:schemeClr val="accent3"/>
              </a:solidFill>
              <a:round/>
            </a:ln>
            <a:effectLst/>
          </c:spPr>
          <c:marker>
            <c:symbol val="none"/>
          </c:marker>
          <c:dLbls>
            <c:dLbl>
              <c:idx val="11"/>
              <c:numFmt formatCode="#\ ##0&quot; K€ &quot;" sourceLinked="0"/>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rgbClr val="00B05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D83-46F7-B438-1482923D8653}"/>
                </c:ext>
              </c:extLst>
            </c:dLbl>
            <c:numFmt formatCode="#\ ##0&quot; K€ &quot;" sourceLinked="0"/>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'Chiffres d''affaires mensuels'!$X$5:$X$16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D83-46F7-B438-1482923D8653}"/>
            </c:ext>
          </c:extLst>
        </c:ser>
        <c:ser>
          <c:idx val="3"/>
          <c:order val="3"/>
          <c:tx>
            <c:v>An 4</c:v>
          </c:tx>
          <c:spPr>
            <a:ln w="28575" cap="rnd">
              <a:solidFill>
                <a:schemeClr val="accent5">
                  <a:lumMod val="50000"/>
                </a:schemeClr>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D83-46F7-B438-1482923D8653}"/>
                </c:ext>
              </c:extLst>
            </c:dLbl>
            <c:numFmt formatCode="#\ ##0&quot; K€ &quot;" sourceLinked="0"/>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accent5">
                        <a:lumMod val="50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'Chiffres d''affaires mensuels'!$Y$5:$Y$16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4D83-46F7-B438-1482923D8653}"/>
            </c:ext>
          </c:extLst>
        </c:ser>
        <c:ser>
          <c:idx val="4"/>
          <c:order val="4"/>
          <c:tx>
            <c:v>An 5</c:v>
          </c:tx>
          <c:spPr>
            <a:ln w="28575"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4D83-46F7-B438-1482923D8653}"/>
                </c:ext>
              </c:extLst>
            </c:dLbl>
            <c:dLbl>
              <c:idx val="1"/>
              <c:delete val="1"/>
              <c:extLst>
                <c:ext xmlns:c15="http://schemas.microsoft.com/office/drawing/2012/chart" uri="{CE6537A1-D6FC-4f65-9D91-7224C49458BB}"/>
                <c:ext xmlns:c16="http://schemas.microsoft.com/office/drawing/2014/chart" uri="{C3380CC4-5D6E-409C-BE32-E72D297353CC}">
                  <c16:uniqueId val="{00000006-4D83-46F7-B438-1482923D8653}"/>
                </c:ext>
              </c:extLst>
            </c:dLbl>
            <c:dLbl>
              <c:idx val="2"/>
              <c:delete val="1"/>
              <c:extLst>
                <c:ext xmlns:c15="http://schemas.microsoft.com/office/drawing/2012/chart" uri="{CE6537A1-D6FC-4f65-9D91-7224C49458BB}"/>
                <c:ext xmlns:c16="http://schemas.microsoft.com/office/drawing/2014/chart" uri="{C3380CC4-5D6E-409C-BE32-E72D297353CC}">
                  <c16:uniqueId val="{00000007-4D83-46F7-B438-1482923D8653}"/>
                </c:ext>
              </c:extLst>
            </c:dLbl>
            <c:dLbl>
              <c:idx val="3"/>
              <c:delete val="1"/>
              <c:extLst>
                <c:ext xmlns:c15="http://schemas.microsoft.com/office/drawing/2012/chart" uri="{CE6537A1-D6FC-4f65-9D91-7224C49458BB}"/>
                <c:ext xmlns:c16="http://schemas.microsoft.com/office/drawing/2014/chart" uri="{C3380CC4-5D6E-409C-BE32-E72D297353CC}">
                  <c16:uniqueId val="{00000008-4D83-46F7-B438-1482923D8653}"/>
                </c:ext>
              </c:extLst>
            </c:dLbl>
            <c:dLbl>
              <c:idx val="4"/>
              <c:delete val="1"/>
              <c:extLst>
                <c:ext xmlns:c15="http://schemas.microsoft.com/office/drawing/2012/chart" uri="{CE6537A1-D6FC-4f65-9D91-7224C49458BB}"/>
                <c:ext xmlns:c16="http://schemas.microsoft.com/office/drawing/2014/chart" uri="{C3380CC4-5D6E-409C-BE32-E72D297353CC}">
                  <c16:uniqueId val="{00000009-4D83-46F7-B438-1482923D8653}"/>
                </c:ext>
              </c:extLst>
            </c:dLbl>
            <c:dLbl>
              <c:idx val="5"/>
              <c:delete val="1"/>
              <c:extLst>
                <c:ext xmlns:c15="http://schemas.microsoft.com/office/drawing/2012/chart" uri="{CE6537A1-D6FC-4f65-9D91-7224C49458BB}"/>
                <c:ext xmlns:c16="http://schemas.microsoft.com/office/drawing/2014/chart" uri="{C3380CC4-5D6E-409C-BE32-E72D297353CC}">
                  <c16:uniqueId val="{0000000A-4D83-46F7-B438-1482923D8653}"/>
                </c:ext>
              </c:extLst>
            </c:dLbl>
            <c:dLbl>
              <c:idx val="6"/>
              <c:delete val="1"/>
              <c:extLst>
                <c:ext xmlns:c15="http://schemas.microsoft.com/office/drawing/2012/chart" uri="{CE6537A1-D6FC-4f65-9D91-7224C49458BB}"/>
                <c:ext xmlns:c16="http://schemas.microsoft.com/office/drawing/2014/chart" uri="{C3380CC4-5D6E-409C-BE32-E72D297353CC}">
                  <c16:uniqueId val="{0000000B-4D83-46F7-B438-1482923D8653}"/>
                </c:ext>
              </c:extLst>
            </c:dLbl>
            <c:dLbl>
              <c:idx val="7"/>
              <c:delete val="1"/>
              <c:extLst>
                <c:ext xmlns:c15="http://schemas.microsoft.com/office/drawing/2012/chart" uri="{CE6537A1-D6FC-4f65-9D91-7224C49458BB}"/>
                <c:ext xmlns:c16="http://schemas.microsoft.com/office/drawing/2014/chart" uri="{C3380CC4-5D6E-409C-BE32-E72D297353CC}">
                  <c16:uniqueId val="{0000000C-4D83-46F7-B438-1482923D8653}"/>
                </c:ext>
              </c:extLst>
            </c:dLbl>
            <c:dLbl>
              <c:idx val="8"/>
              <c:delete val="1"/>
              <c:extLst>
                <c:ext xmlns:c15="http://schemas.microsoft.com/office/drawing/2012/chart" uri="{CE6537A1-D6FC-4f65-9D91-7224C49458BB}"/>
                <c:ext xmlns:c16="http://schemas.microsoft.com/office/drawing/2014/chart" uri="{C3380CC4-5D6E-409C-BE32-E72D297353CC}">
                  <c16:uniqueId val="{0000000D-4D83-46F7-B438-1482923D8653}"/>
                </c:ext>
              </c:extLst>
            </c:dLbl>
            <c:dLbl>
              <c:idx val="9"/>
              <c:delete val="1"/>
              <c:extLst>
                <c:ext xmlns:c15="http://schemas.microsoft.com/office/drawing/2012/chart" uri="{CE6537A1-D6FC-4f65-9D91-7224C49458BB}"/>
                <c:ext xmlns:c16="http://schemas.microsoft.com/office/drawing/2014/chart" uri="{C3380CC4-5D6E-409C-BE32-E72D297353CC}">
                  <c16:uniqueId val="{0000000E-4D83-46F7-B438-1482923D8653}"/>
                </c:ext>
              </c:extLst>
            </c:dLbl>
            <c:dLbl>
              <c:idx val="10"/>
              <c:delete val="1"/>
              <c:extLst>
                <c:ext xmlns:c15="http://schemas.microsoft.com/office/drawing/2012/chart" uri="{CE6537A1-D6FC-4f65-9D91-7224C49458BB}"/>
                <c:ext xmlns:c16="http://schemas.microsoft.com/office/drawing/2014/chart" uri="{C3380CC4-5D6E-409C-BE32-E72D297353CC}">
                  <c16:uniqueId val="{00000000-DCDE-494C-854F-C02C300AF15A}"/>
                </c:ext>
              </c:extLst>
            </c:dLbl>
            <c:dLbl>
              <c:idx val="11"/>
              <c:layout>
                <c:manualLayout>
                  <c:x val="8.800877038581103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D83-46F7-B438-1482923D8653}"/>
                </c:ext>
              </c:extLst>
            </c:dLbl>
            <c:numFmt formatCode="#\ ##0&quot; K€ &quot;" sourceLinked="0"/>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accent6"/>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'Chiffres d''affaires mensuels'!$Z$5:$Z$16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1-4D83-46F7-B438-1482923D8653}"/>
            </c:ext>
          </c:extLst>
        </c:ser>
        <c:dLbls>
          <c:showLegendKey val="0"/>
          <c:showVal val="0"/>
          <c:showCatName val="0"/>
          <c:showSerName val="0"/>
          <c:showPercent val="0"/>
          <c:showBubbleSize val="0"/>
        </c:dLbls>
        <c:smooth val="0"/>
        <c:axId val="173908816"/>
        <c:axId val="173650536"/>
      </c:lineChart>
      <c:catAx>
        <c:axId val="17390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173650536"/>
        <c:crosses val="autoZero"/>
        <c:auto val="1"/>
        <c:lblAlgn val="ctr"/>
        <c:lblOffset val="100"/>
        <c:noMultiLvlLbl val="1"/>
      </c:catAx>
      <c:valAx>
        <c:axId val="17365053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73908816"/>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50" b="1" i="0" u="none" strike="noStrike" kern="1200" baseline="0">
                <a:solidFill>
                  <a:schemeClr val="accent1"/>
                </a:solidFill>
                <a:latin typeface="+mn-lt"/>
                <a:ea typeface="+mn-ea"/>
                <a:cs typeface="+mn-cs"/>
              </a:defRPr>
            </a:pPr>
            <a:endParaRPr lang="fr-FR"/>
          </a:p>
        </c:txPr>
      </c:legendEntry>
      <c:legendEntry>
        <c:idx val="1"/>
        <c:txPr>
          <a:bodyPr rot="0" spcFirstLastPara="1" vertOverflow="ellipsis" vert="horz" wrap="square" anchor="ctr" anchorCtr="1"/>
          <a:lstStyle/>
          <a:p>
            <a:pPr>
              <a:defRPr sz="1050" b="1" i="0" u="none" strike="noStrike" kern="1200" baseline="0">
                <a:solidFill>
                  <a:schemeClr val="accent2"/>
                </a:solidFill>
                <a:latin typeface="+mn-lt"/>
                <a:ea typeface="+mn-ea"/>
                <a:cs typeface="+mn-cs"/>
              </a:defRPr>
            </a:pPr>
            <a:endParaRPr lang="fr-FR"/>
          </a:p>
        </c:txPr>
      </c:legendEntry>
      <c:legendEntry>
        <c:idx val="2"/>
        <c:txPr>
          <a:bodyPr rot="0" spcFirstLastPara="1" vertOverflow="ellipsis" vert="horz" wrap="square" anchor="ctr" anchorCtr="1"/>
          <a:lstStyle/>
          <a:p>
            <a:pPr>
              <a:defRPr sz="1050" b="1" i="0" u="none" strike="noStrike" kern="1200" baseline="0">
                <a:solidFill>
                  <a:srgbClr val="00B050"/>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1" u="none" strike="noStrike" kern="1200" spc="0" baseline="0">
                <a:solidFill>
                  <a:srgbClr val="002060"/>
                </a:solidFill>
                <a:latin typeface="+mn-lt"/>
                <a:ea typeface="+mn-ea"/>
                <a:cs typeface="+mn-cs"/>
              </a:defRPr>
            </a:pPr>
            <a:r>
              <a:rPr lang="fr-FR" sz="1100" b="1" i="0">
                <a:solidFill>
                  <a:srgbClr val="002060"/>
                </a:solidFill>
              </a:rPr>
              <a:t>Encaissements mensuels prévisionnels (K€)</a:t>
            </a:r>
          </a:p>
        </c:rich>
      </c:tx>
      <c:overlay val="0"/>
      <c:spPr>
        <a:noFill/>
        <a:ln>
          <a:noFill/>
        </a:ln>
        <a:effectLst/>
      </c:spPr>
      <c:txPr>
        <a:bodyPr rot="0" spcFirstLastPara="1" vertOverflow="ellipsis" vert="horz" wrap="square" anchor="ctr" anchorCtr="1"/>
        <a:lstStyle/>
        <a:p>
          <a:pPr>
            <a:defRPr sz="1100" b="0" i="1"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'Encaissement des ventes 1°année'!$T$6:$T$22</c:f>
              <c:strCache>
                <c:ptCount val="17"/>
                <c:pt idx="0">
                  <c:v>M 1</c:v>
                </c:pt>
                <c:pt idx="1">
                  <c:v>M 2</c:v>
                </c:pt>
                <c:pt idx="2">
                  <c:v>M 3</c:v>
                </c:pt>
                <c:pt idx="3">
                  <c:v>M 4</c:v>
                </c:pt>
                <c:pt idx="4">
                  <c:v>M 5</c:v>
                </c:pt>
                <c:pt idx="5">
                  <c:v>M 6</c:v>
                </c:pt>
                <c:pt idx="6">
                  <c:v>M 7</c:v>
                </c:pt>
                <c:pt idx="7">
                  <c:v>M 8</c:v>
                </c:pt>
                <c:pt idx="8">
                  <c:v>M 9</c:v>
                </c:pt>
                <c:pt idx="9">
                  <c:v>M 10</c:v>
                </c:pt>
                <c:pt idx="10">
                  <c:v>M 11</c:v>
                </c:pt>
                <c:pt idx="11">
                  <c:v>M 12</c:v>
                </c:pt>
                <c:pt idx="12">
                  <c:v> </c:v>
                </c:pt>
                <c:pt idx="13">
                  <c:v> </c:v>
                </c:pt>
                <c:pt idx="14">
                  <c:v> </c:v>
                </c:pt>
                <c:pt idx="15">
                  <c:v> </c:v>
                </c:pt>
                <c:pt idx="16">
                  <c:v> </c:v>
                </c:pt>
              </c:strCache>
            </c:strRef>
          </c:cat>
          <c:val>
            <c:numRef>
              <c:f>'Encaissement des ventes 1°année'!$S$6:$S$22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FD2A-4C4D-9F6D-25C9B366EBF4}"/>
            </c:ext>
          </c:extLst>
        </c:ser>
        <c:dLbls>
          <c:showLegendKey val="0"/>
          <c:showVal val="0"/>
          <c:showCatName val="0"/>
          <c:showSerName val="0"/>
          <c:showPercent val="0"/>
          <c:showBubbleSize val="0"/>
        </c:dLbls>
        <c:gapWidth val="219"/>
        <c:overlap val="-27"/>
        <c:axId val="174409832"/>
        <c:axId val="173780744"/>
      </c:barChart>
      <c:catAx>
        <c:axId val="174409832"/>
        <c:scaling>
          <c:orientation val="minMax"/>
        </c:scaling>
        <c:delete val="0"/>
        <c:axPos val="b"/>
        <c:numFmt formatCode="&quot;M&quot;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173780744"/>
        <c:crosses val="autoZero"/>
        <c:auto val="1"/>
        <c:lblAlgn val="ctr"/>
        <c:lblOffset val="100"/>
        <c:noMultiLvlLbl val="1"/>
      </c:catAx>
      <c:valAx>
        <c:axId val="17378074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440983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r>
              <a:rPr lang="fr-FR" sz="1100" b="1">
                <a:solidFill>
                  <a:srgbClr val="002060"/>
                </a:solidFill>
              </a:rPr>
              <a:t>Chiffres d'affaires mensuels TTC (K€)</a:t>
            </a:r>
          </a:p>
        </c:rich>
      </c:tx>
      <c:overlay val="0"/>
      <c:spPr>
        <a:noFill/>
        <a:ln>
          <a:noFill/>
        </a:ln>
        <a:effectLst/>
      </c:spPr>
      <c:txPr>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'Encaissement des ventes 1°année'!$B$6:$B$17</c:f>
              <c:numCache>
                <c:formatCode>0"° mois"</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'Encaissement des ventes 1°année'!$J$6:$J$17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B8-40A1-B49A-9C276794AFA0}"/>
            </c:ext>
          </c:extLst>
        </c:ser>
        <c:dLbls>
          <c:showLegendKey val="0"/>
          <c:showVal val="0"/>
          <c:showCatName val="0"/>
          <c:showSerName val="0"/>
          <c:showPercent val="0"/>
          <c:showBubbleSize val="0"/>
        </c:dLbls>
        <c:gapWidth val="219"/>
        <c:overlap val="-27"/>
        <c:axId val="174422256"/>
        <c:axId val="174484656"/>
      </c:barChart>
      <c:catAx>
        <c:axId val="174422256"/>
        <c:scaling>
          <c:orientation val="minMax"/>
        </c:scaling>
        <c:delete val="0"/>
        <c:axPos val="b"/>
        <c:numFmt formatCode="&quot;M&quot;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174484656"/>
        <c:crosses val="autoZero"/>
        <c:auto val="1"/>
        <c:lblAlgn val="ctr"/>
        <c:lblOffset val="100"/>
        <c:noMultiLvlLbl val="1"/>
      </c:catAx>
      <c:valAx>
        <c:axId val="17448465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442225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fr-FR" sz="1100" baseline="0"/>
              <a:t>Paiements mensuels prévisionnels (K€)</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6">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'Décaissement des achats 1°année'!$U$6:$U$22</c:f>
              <c:strCache>
                <c:ptCount val="17"/>
                <c:pt idx="0">
                  <c:v>M 1</c:v>
                </c:pt>
                <c:pt idx="1">
                  <c:v>M 2</c:v>
                </c:pt>
                <c:pt idx="2">
                  <c:v>M 3</c:v>
                </c:pt>
                <c:pt idx="3">
                  <c:v>M 4</c:v>
                </c:pt>
                <c:pt idx="4">
                  <c:v>M 5</c:v>
                </c:pt>
                <c:pt idx="5">
                  <c:v>M 6</c:v>
                </c:pt>
                <c:pt idx="6">
                  <c:v>M 7</c:v>
                </c:pt>
                <c:pt idx="7">
                  <c:v>M 8</c:v>
                </c:pt>
                <c:pt idx="8">
                  <c:v>M 9</c:v>
                </c:pt>
                <c:pt idx="9">
                  <c:v>M 10</c:v>
                </c:pt>
                <c:pt idx="10">
                  <c:v>M 11</c:v>
                </c:pt>
                <c:pt idx="11">
                  <c:v>M 12</c:v>
                </c:pt>
                <c:pt idx="12">
                  <c:v> </c:v>
                </c:pt>
                <c:pt idx="13">
                  <c:v> </c:v>
                </c:pt>
                <c:pt idx="14">
                  <c:v> </c:v>
                </c:pt>
                <c:pt idx="15">
                  <c:v> </c:v>
                </c:pt>
                <c:pt idx="16">
                  <c:v> </c:v>
                </c:pt>
              </c:strCache>
            </c:strRef>
          </c:cat>
          <c:val>
            <c:numRef>
              <c:f>'Décaissement des achats 1°année'!$T$6:$T$22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18B2-4FA4-A270-BE494B2A4321}"/>
            </c:ext>
          </c:extLst>
        </c:ser>
        <c:dLbls>
          <c:showLegendKey val="0"/>
          <c:showVal val="0"/>
          <c:showCatName val="0"/>
          <c:showSerName val="0"/>
          <c:showPercent val="0"/>
          <c:showBubbleSize val="0"/>
        </c:dLbls>
        <c:gapWidth val="219"/>
        <c:overlap val="-27"/>
        <c:axId val="174451200"/>
        <c:axId val="174451592"/>
      </c:barChart>
      <c:catAx>
        <c:axId val="1744512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174451592"/>
        <c:crosses val="autoZero"/>
        <c:auto val="1"/>
        <c:lblAlgn val="ctr"/>
        <c:lblOffset val="100"/>
        <c:noMultiLvlLbl val="1"/>
      </c:catAx>
      <c:valAx>
        <c:axId val="174451592"/>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4451200"/>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b="1"/>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r>
              <a:rPr lang="fr-FR" sz="1100" b="1">
                <a:solidFill>
                  <a:srgbClr val="002060"/>
                </a:solidFill>
              </a:rPr>
              <a:t>Achats mensuels TTC (K€)</a:t>
            </a:r>
          </a:p>
        </c:rich>
      </c:tx>
      <c:overlay val="0"/>
      <c:spPr>
        <a:noFill/>
        <a:ln>
          <a:noFill/>
        </a:ln>
        <a:effectLst/>
      </c:spPr>
      <c:txPr>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spPr>
            <a:solidFill>
              <a:srgbClr val="FF993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'Décaissement des achats 1°année'!$B$6:$B$17</c:f>
              <c:numCache>
                <c:formatCode>0"° mois"</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'Décaissement des achats 1°année'!$K$6:$K$17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859-49B9-B346-BE59017F67DE}"/>
            </c:ext>
          </c:extLst>
        </c:ser>
        <c:dLbls>
          <c:showLegendKey val="0"/>
          <c:showVal val="0"/>
          <c:showCatName val="0"/>
          <c:showSerName val="0"/>
          <c:showPercent val="0"/>
          <c:showBubbleSize val="0"/>
        </c:dLbls>
        <c:gapWidth val="221"/>
        <c:overlap val="-27"/>
        <c:axId val="174450808"/>
        <c:axId val="174450416"/>
      </c:barChart>
      <c:catAx>
        <c:axId val="174450808"/>
        <c:scaling>
          <c:orientation val="minMax"/>
        </c:scaling>
        <c:delete val="0"/>
        <c:axPos val="b"/>
        <c:numFmt formatCode="&quot;M&quot;\ 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174450416"/>
        <c:crosses val="autoZero"/>
        <c:auto val="1"/>
        <c:lblAlgn val="ctr"/>
        <c:lblOffset val="100"/>
        <c:noMultiLvlLbl val="1"/>
      </c:catAx>
      <c:valAx>
        <c:axId val="17445041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4450808"/>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rgbClr val="002060"/>
                </a:solidFill>
                <a:latin typeface="+mn-lt"/>
                <a:ea typeface="+mn-ea"/>
                <a:cs typeface="+mn-cs"/>
              </a:defRPr>
            </a:pPr>
            <a:r>
              <a:rPr lang="fr-FR" sz="1200" b="1" i="1">
                <a:solidFill>
                  <a:srgbClr val="002060"/>
                </a:solidFill>
              </a:rPr>
              <a:t>Trésorerie prévisionnelle fin de mois </a:t>
            </a:r>
            <a:r>
              <a:rPr lang="fr-FR" sz="1000" b="1" i="1">
                <a:solidFill>
                  <a:srgbClr val="002060"/>
                </a:solidFill>
              </a:rPr>
              <a:t>(K€)</a:t>
            </a:r>
            <a:endParaRPr lang="fr-FR" sz="1200" b="1" i="1">
              <a:solidFill>
                <a:srgbClr val="002060"/>
              </a:solidFill>
            </a:endParaRPr>
          </a:p>
        </c:rich>
      </c:tx>
      <c:overlay val="0"/>
      <c:spPr>
        <a:noFill/>
        <a:ln>
          <a:noFill/>
        </a:ln>
        <a:effectLst/>
      </c:spPr>
      <c:txPr>
        <a:bodyPr rot="0" spcFirstLastPara="1" vertOverflow="ellipsis" vert="horz" wrap="square" anchor="ctr" anchorCtr="1"/>
        <a:lstStyle/>
        <a:p>
          <a:pPr>
            <a:defRPr sz="1400" b="0" i="1"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spPr>
            <a:solidFill>
              <a:srgbClr val="00B050"/>
            </a:solidFill>
            <a:ln>
              <a:noFill/>
            </a:ln>
            <a:effectLst/>
          </c:spPr>
          <c:invertIfNegative val="0"/>
          <c:dLbls>
            <c:numFmt formatCode="#\ ##0&quot; &quot;" sourceLinked="0"/>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rgbClr val="00206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de trésorerie'!$D$4:$U$4</c:f>
              <c:numCache>
                <c:formatCode>0"° mois"</c:formatCod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numCache>
            </c:numRef>
          </c:cat>
          <c:val>
            <c:numRef>
              <c:f>'Plan de trésorerie'!$D$42:$U$42</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4DFE-4A99-AA55-459677885EFB}"/>
            </c:ext>
          </c:extLst>
        </c:ser>
        <c:dLbls>
          <c:showLegendKey val="0"/>
          <c:showVal val="0"/>
          <c:showCatName val="0"/>
          <c:showSerName val="0"/>
          <c:showPercent val="0"/>
          <c:showBubbleSize val="0"/>
        </c:dLbls>
        <c:gapWidth val="150"/>
        <c:overlap val="3"/>
        <c:axId val="174452768"/>
        <c:axId val="174453160"/>
      </c:barChart>
      <c:catAx>
        <c:axId val="174452768"/>
        <c:scaling>
          <c:orientation val="minMax"/>
        </c:scaling>
        <c:delete val="1"/>
        <c:axPos val="b"/>
        <c:numFmt formatCode="mmmm" sourceLinked="0"/>
        <c:majorTickMark val="out"/>
        <c:minorTickMark val="none"/>
        <c:tickLblPos val="nextTo"/>
        <c:crossAx val="174453160"/>
        <c:crosses val="autoZero"/>
        <c:auto val="1"/>
        <c:lblAlgn val="ctr"/>
        <c:lblOffset val="100"/>
        <c:noMultiLvlLbl val="1"/>
      </c:catAx>
      <c:valAx>
        <c:axId val="174453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452768"/>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70</xdr:row>
          <xdr:rowOff>0</xdr:rowOff>
        </xdr:from>
        <xdr:to>
          <xdr:col>12</xdr:col>
          <xdr:colOff>0</xdr:colOff>
          <xdr:row>70</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70</xdr:row>
          <xdr:rowOff>0</xdr:rowOff>
        </xdr:from>
        <xdr:to>
          <xdr:col>12</xdr:col>
          <xdr:colOff>0</xdr:colOff>
          <xdr:row>70</xdr:row>
          <xdr:rowOff>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70</xdr:row>
          <xdr:rowOff>0</xdr:rowOff>
        </xdr:from>
        <xdr:to>
          <xdr:col>12</xdr:col>
          <xdr:colOff>0</xdr:colOff>
          <xdr:row>70</xdr:row>
          <xdr:rowOff>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70</xdr:row>
          <xdr:rowOff>0</xdr:rowOff>
        </xdr:from>
        <xdr:to>
          <xdr:col>12</xdr:col>
          <xdr:colOff>0</xdr:colOff>
          <xdr:row>70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xdr:twoCellAnchor>
    <xdr:from>
      <xdr:col>2</xdr:col>
      <xdr:colOff>704850</xdr:colOff>
      <xdr:row>3</xdr:row>
      <xdr:rowOff>76200</xdr:rowOff>
    </xdr:from>
    <xdr:to>
      <xdr:col>2</xdr:col>
      <xdr:colOff>750569</xdr:colOff>
      <xdr:row>3</xdr:row>
      <xdr:rowOff>190500</xdr:rowOff>
    </xdr:to>
    <xdr:sp macro="" textlink="">
      <xdr:nvSpPr>
        <xdr:cNvPr id="2" name="Flèche vers le bas 1">
          <a:extLst>
            <a:ext uri="{FF2B5EF4-FFF2-40B4-BE49-F238E27FC236}">
              <a16:creationId xmlns:a16="http://schemas.microsoft.com/office/drawing/2014/main" id="{00000000-0008-0000-0000-000002000000}"/>
            </a:ext>
          </a:extLst>
        </xdr:cNvPr>
        <xdr:cNvSpPr/>
      </xdr:nvSpPr>
      <xdr:spPr>
        <a:xfrm>
          <a:off x="3419475" y="342900"/>
          <a:ext cx="45719" cy="114300"/>
        </a:xfrm>
        <a:prstGeom prst="downArrow">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xdr:from>
          <xdr:col>18</xdr:col>
          <xdr:colOff>0</xdr:colOff>
          <xdr:row>70</xdr:row>
          <xdr:rowOff>0</xdr:rowOff>
        </xdr:from>
        <xdr:to>
          <xdr:col>18</xdr:col>
          <xdr:colOff>0</xdr:colOff>
          <xdr:row>70</xdr:row>
          <xdr:rowOff>0</xdr:rowOff>
        </xdr:to>
        <xdr:sp macro="" textlink="">
          <xdr:nvSpPr>
            <xdr:cNvPr id="2054" name="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0</xdr:colOff>
          <xdr:row>70</xdr:row>
          <xdr:rowOff>0</xdr:rowOff>
        </xdr:from>
        <xdr:to>
          <xdr:col>18</xdr:col>
          <xdr:colOff>0</xdr:colOff>
          <xdr:row>70</xdr:row>
          <xdr:rowOff>0</xdr:rowOff>
        </xdr:to>
        <xdr:sp macro="" textlink="">
          <xdr:nvSpPr>
            <xdr:cNvPr id="2055" name="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0</xdr:colOff>
          <xdr:row>70</xdr:row>
          <xdr:rowOff>0</xdr:rowOff>
        </xdr:from>
        <xdr:to>
          <xdr:col>18</xdr:col>
          <xdr:colOff>0</xdr:colOff>
          <xdr:row>70</xdr:row>
          <xdr:rowOff>0</xdr:rowOff>
        </xdr:to>
        <xdr:sp macro="" textlink="">
          <xdr:nvSpPr>
            <xdr:cNvPr id="2056" name="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0</xdr:colOff>
          <xdr:row>70</xdr:row>
          <xdr:rowOff>0</xdr:rowOff>
        </xdr:from>
        <xdr:to>
          <xdr:col>18</xdr:col>
          <xdr:colOff>0</xdr:colOff>
          <xdr:row>70</xdr:row>
          <xdr:rowOff>0</xdr:rowOff>
        </xdr:to>
        <xdr:sp macro="" textlink="">
          <xdr:nvSpPr>
            <xdr:cNvPr id="2057" name="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12</xdr:col>
      <xdr:colOff>28576</xdr:colOff>
      <xdr:row>39</xdr:row>
      <xdr:rowOff>8574</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19</xdr:row>
      <xdr:rowOff>0</xdr:rowOff>
    </xdr:from>
    <xdr:to>
      <xdr:col>25</xdr:col>
      <xdr:colOff>255272</xdr:colOff>
      <xdr:row>39</xdr:row>
      <xdr:rowOff>2858</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409576</xdr:colOff>
      <xdr:row>24</xdr:row>
      <xdr:rowOff>0</xdr:rowOff>
    </xdr:from>
    <xdr:to>
      <xdr:col>16</xdr:col>
      <xdr:colOff>742951</xdr:colOff>
      <xdr:row>42</xdr:row>
      <xdr:rowOff>28575</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23</xdr:row>
      <xdr:rowOff>66675</xdr:rowOff>
    </xdr:from>
    <xdr:to>
      <xdr:col>8</xdr:col>
      <xdr:colOff>304800</xdr:colOff>
      <xdr:row>42</xdr:row>
      <xdr:rowOff>19050</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304800</xdr:colOff>
      <xdr:row>24</xdr:row>
      <xdr:rowOff>19050</xdr:rowOff>
    </xdr:from>
    <xdr:to>
      <xdr:col>17</xdr:col>
      <xdr:colOff>762001</xdr:colOff>
      <xdr:row>42</xdr:row>
      <xdr:rowOff>28575</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24</xdr:row>
      <xdr:rowOff>9525</xdr:rowOff>
    </xdr:from>
    <xdr:to>
      <xdr:col>8</xdr:col>
      <xdr:colOff>209550</xdr:colOff>
      <xdr:row>42</xdr:row>
      <xdr:rowOff>19050</xdr:rowOff>
    </xdr:to>
    <xdr:graphicFrame macro="">
      <xdr:nvGraphicFramePr>
        <xdr:cNvPr id="5" name="Graphique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42</xdr:row>
      <xdr:rowOff>0</xdr:rowOff>
    </xdr:from>
    <xdr:to>
      <xdr:col>16</xdr:col>
      <xdr:colOff>342902</xdr:colOff>
      <xdr:row>63</xdr:row>
      <xdr:rowOff>57150</xdr:rowOff>
    </xdr:to>
    <xdr:graphicFrame macro="">
      <xdr:nvGraphicFramePr>
        <xdr:cNvPr id="3" name="Graphique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X129"/>
  <sheetViews>
    <sheetView showGridLines="0" showRowColHeaders="0" tabSelected="1" workbookViewId="0">
      <pane ySplit="5" topLeftCell="A9" activePane="bottomLeft" state="frozenSplit"/>
      <selection pane="bottomLeft" activeCell="B2" sqref="B2"/>
    </sheetView>
  </sheetViews>
  <sheetFormatPr baseColWidth="10" defaultColWidth="9.33203125" defaultRowHeight="14.4"/>
  <cols>
    <col min="1" max="1" width="1.6640625" style="288" customWidth="1"/>
    <col min="2" max="2" width="35.6640625" style="18" customWidth="1"/>
    <col min="3" max="3" width="12.6640625" style="18" customWidth="1"/>
    <col min="4" max="4" width="8.6640625" style="18" customWidth="1"/>
    <col min="5" max="5" width="0.88671875" style="10" customWidth="1"/>
    <col min="6" max="6" width="11.88671875" style="18" customWidth="1"/>
    <col min="7" max="7" width="10.88671875" style="18" customWidth="1"/>
    <col min="8" max="8" width="0.88671875" style="61" customWidth="1"/>
    <col min="9" max="9" width="11.88671875" style="62" customWidth="1"/>
    <col min="10" max="10" width="10.88671875" style="18" customWidth="1"/>
    <col min="11" max="11" width="0.88671875" style="18" customWidth="1"/>
    <col min="12" max="12" width="11.88671875" style="18" customWidth="1"/>
    <col min="13" max="13" width="10.88671875" style="18" customWidth="1"/>
    <col min="14" max="14" width="0.88671875" style="18" customWidth="1"/>
    <col min="15" max="15" width="11.88671875" style="62" customWidth="1"/>
    <col min="16" max="16" width="10.88671875" style="18" customWidth="1"/>
    <col min="17" max="17" width="0.88671875" style="18" customWidth="1"/>
    <col min="18" max="18" width="11.88671875" style="18" customWidth="1"/>
    <col min="19" max="19" width="10.88671875" style="18" customWidth="1"/>
    <col min="20" max="20" width="0.88671875" style="18" customWidth="1"/>
    <col min="21" max="21" width="40.44140625" style="18" customWidth="1"/>
    <col min="22" max="16384" width="9.33203125" style="18"/>
  </cols>
  <sheetData>
    <row r="1" spans="1:24" ht="3" customHeight="1"/>
    <row r="2" spans="1:24" s="492" customFormat="1" ht="15" customHeight="1">
      <c r="A2" s="288"/>
      <c r="B2" s="491" t="str">
        <f>IF(ISBLANK(entreprise),"Ci-dessous : renseigner le nom de l'entreprise"," ")</f>
        <v>Ci-dessous : renseigner le nom de l'entreprise</v>
      </c>
      <c r="C2" s="871" t="str">
        <f>IF(T5=1," Ci-dessous : renseigner l'activité principale de l'entreprise"," ")</f>
        <v xml:space="preserve"> </v>
      </c>
      <c r="D2" s="871"/>
      <c r="E2" s="871"/>
      <c r="F2" s="871"/>
      <c r="G2" s="871"/>
      <c r="H2" s="521"/>
      <c r="I2" s="521"/>
      <c r="J2" s="849"/>
      <c r="K2" s="849"/>
      <c r="L2" s="849"/>
      <c r="M2" s="849"/>
      <c r="N2" s="615"/>
      <c r="O2" s="521"/>
      <c r="P2" s="849" t="s">
        <v>240</v>
      </c>
      <c r="Q2" s="849"/>
      <c r="R2" s="849"/>
      <c r="S2" s="849"/>
      <c r="U2" s="615"/>
      <c r="V2" s="615"/>
      <c r="W2" s="615"/>
      <c r="X2" s="615"/>
    </row>
    <row r="3" spans="1:24" s="492" customFormat="1" ht="3" customHeight="1">
      <c r="A3" s="288"/>
      <c r="B3" s="491"/>
      <c r="C3" s="491"/>
      <c r="E3" s="5"/>
      <c r="F3" s="6"/>
      <c r="G3" s="6"/>
      <c r="H3" s="7"/>
      <c r="I3" s="6"/>
      <c r="J3" s="6"/>
      <c r="K3" s="6"/>
      <c r="L3" s="6"/>
      <c r="M3" s="6"/>
      <c r="N3" s="6"/>
      <c r="O3" s="6"/>
      <c r="P3" s="6"/>
      <c r="Q3" s="6"/>
      <c r="R3" s="6"/>
      <c r="S3" s="6"/>
    </row>
    <row r="4" spans="1:24" s="10" customFormat="1" ht="18" customHeight="1">
      <c r="A4" s="288" t="str">
        <f>IF(AND(ISBLANK(entreprise),ca_1&gt;0),1," ")</f>
        <v xml:space="preserve"> </v>
      </c>
      <c r="B4" s="264"/>
      <c r="C4" s="527" t="str">
        <f>IF(ISBLANK(activité),"APE ?","APE :")</f>
        <v>APE ?</v>
      </c>
      <c r="D4" s="522" t="s">
        <v>136</v>
      </c>
      <c r="E4" s="5"/>
      <c r="F4" s="867"/>
      <c r="G4" s="868"/>
      <c r="H4" s="8"/>
      <c r="I4" s="869" t="str">
        <f>IF(ISBLANK(An)," ",An+1)</f>
        <v xml:space="preserve"> </v>
      </c>
      <c r="J4" s="870"/>
      <c r="K4" s="9"/>
      <c r="L4" s="869" t="str">
        <f>IF(ISBLANK(An)," ",An+2)</f>
        <v xml:space="preserve"> </v>
      </c>
      <c r="M4" s="870"/>
      <c r="N4" s="508"/>
      <c r="O4" s="869" t="str">
        <f>IF(ISBLANK(An)," ",An+3)</f>
        <v xml:space="preserve"> </v>
      </c>
      <c r="P4" s="870"/>
      <c r="Q4" s="9"/>
      <c r="R4" s="869" t="str">
        <f>IF(ISBLANK(An)," ",An+4)</f>
        <v xml:space="preserve"> </v>
      </c>
      <c r="S4" s="870"/>
      <c r="U4" s="505" t="str">
        <f>IF(A4=1,"renseigner le nom de la société"," ")</f>
        <v xml:space="preserve"> </v>
      </c>
    </row>
    <row r="5" spans="1:24" s="10" customFormat="1" ht="18" customHeight="1">
      <c r="B5" s="490" t="s">
        <v>84</v>
      </c>
      <c r="C5" s="506"/>
      <c r="D5" s="523" t="s">
        <v>137</v>
      </c>
      <c r="E5" s="11"/>
      <c r="F5" s="850"/>
      <c r="G5" s="851"/>
      <c r="H5" s="12"/>
      <c r="I5" s="850"/>
      <c r="J5" s="851"/>
      <c r="K5" s="13"/>
      <c r="L5" s="850"/>
      <c r="M5" s="851"/>
      <c r="O5" s="850"/>
      <c r="P5" s="851"/>
      <c r="Q5" s="13"/>
      <c r="R5" s="850"/>
      <c r="S5" s="851"/>
      <c r="T5" s="288" t="str">
        <f>IF(AND(ISBLANK(activité),ca_1&gt;0),1," ")</f>
        <v xml:space="preserve"> </v>
      </c>
      <c r="U5" s="525" t="str">
        <f>IF(AND(ISBLANK(activité),ca_1&gt;0),"renseigner l'activité principale exercée (APE)"," ")</f>
        <v xml:space="preserve"> </v>
      </c>
      <c r="V5" s="524"/>
    </row>
    <row r="6" spans="1:24" s="17" customFormat="1" ht="3" customHeight="1">
      <c r="A6" s="493"/>
      <c r="B6" s="14"/>
      <c r="C6" s="14"/>
      <c r="D6" s="15"/>
      <c r="E6" s="16"/>
      <c r="N6" s="18"/>
      <c r="R6" s="17">
        <v>12</v>
      </c>
      <c r="U6" s="526"/>
    </row>
    <row r="7" spans="1:24" s="10" customFormat="1" ht="20.100000000000001" customHeight="1">
      <c r="A7" s="288"/>
      <c r="B7" s="855" t="s">
        <v>23</v>
      </c>
      <c r="C7" s="856"/>
      <c r="D7" s="857"/>
      <c r="E7" s="16"/>
      <c r="F7" s="132"/>
      <c r="G7" s="190" t="str">
        <f>IF(ISBLANK(F7)," ",F7/$F$11)</f>
        <v xml:space="preserve"> </v>
      </c>
      <c r="H7" s="20"/>
      <c r="I7" s="132"/>
      <c r="J7" s="190" t="str">
        <f>IF(ISBLANK(I7)," ",I7/$I$11)</f>
        <v xml:space="preserve"> </v>
      </c>
      <c r="K7" s="20"/>
      <c r="L7" s="132"/>
      <c r="M7" s="190" t="str">
        <f>IF(ISBLANK(L7)," ",L7/$L$11)</f>
        <v xml:space="preserve"> </v>
      </c>
      <c r="O7" s="132"/>
      <c r="P7" s="190" t="str">
        <f>IF(ISBLANK(O7)," ",O7/$O$11)</f>
        <v xml:space="preserve"> </v>
      </c>
      <c r="Q7" s="20"/>
      <c r="R7" s="132"/>
      <c r="S7" s="190" t="str">
        <f>IF(ISBLANK(R7)," ",R7/$R$11)</f>
        <v xml:space="preserve"> </v>
      </c>
      <c r="T7" s="288" t="str">
        <f>IF(AND(ISBLANK(durée_1),ca_1&gt;0),1," ")</f>
        <v xml:space="preserve"> </v>
      </c>
      <c r="U7" s="525" t="str">
        <f>IF(AND(ISBLANK(durée_1),ca_1&gt;0),"renseigner la durée du 1er exercice"," ")</f>
        <v xml:space="preserve"> </v>
      </c>
      <c r="V7" s="524"/>
    </row>
    <row r="8" spans="1:24" s="10" customFormat="1" ht="20.100000000000001" customHeight="1">
      <c r="A8" s="288"/>
      <c r="B8" s="858" t="s">
        <v>24</v>
      </c>
      <c r="C8" s="859"/>
      <c r="D8" s="860"/>
      <c r="E8" s="16"/>
      <c r="F8" s="133"/>
      <c r="G8" s="520" t="str">
        <f>IF(ISBLANK(F8)," ",F8/$F$11)</f>
        <v xml:space="preserve"> </v>
      </c>
      <c r="H8" s="21"/>
      <c r="I8" s="133"/>
      <c r="J8" s="520" t="str">
        <f>IF(ISBLANK(I8)," ",I8/$I$11)</f>
        <v xml:space="preserve"> </v>
      </c>
      <c r="K8" s="21"/>
      <c r="L8" s="133"/>
      <c r="M8" s="520" t="str">
        <f>IF(ISBLANK(L8)," ",L8/$L$11)</f>
        <v xml:space="preserve"> </v>
      </c>
      <c r="O8" s="133"/>
      <c r="P8" s="520" t="str">
        <f>IF(ISBLANK(O8)," ",O8/$O$11)</f>
        <v xml:space="preserve"> </v>
      </c>
      <c r="Q8" s="21"/>
      <c r="R8" s="133"/>
      <c r="S8" s="520" t="str">
        <f t="shared" ref="S8:S10" si="0">IF(ISBLANK(R8)," ",R8/$R$11)</f>
        <v xml:space="preserve"> </v>
      </c>
      <c r="T8" s="288" t="str">
        <f>IF(AND(ISBLANK(durée_2),ca_2&gt;0),1," ")</f>
        <v xml:space="preserve"> </v>
      </c>
      <c r="U8" s="525" t="str">
        <f>IF(AND(ISBLANK(durée_2),ca_2&gt;0),"renseigner la durée du 2ème exercice"," ")</f>
        <v xml:space="preserve"> </v>
      </c>
      <c r="V8" s="524"/>
    </row>
    <row r="9" spans="1:24" s="10" customFormat="1" ht="20.100000000000001" customHeight="1">
      <c r="A9" s="288"/>
      <c r="B9" s="858" t="s">
        <v>25</v>
      </c>
      <c r="C9" s="859"/>
      <c r="D9" s="860"/>
      <c r="E9" s="16"/>
      <c r="F9" s="133"/>
      <c r="G9" s="520" t="str">
        <f>IF(ISBLANK(F9)," ",F9/$F$11)</f>
        <v xml:space="preserve"> </v>
      </c>
      <c r="H9" s="21"/>
      <c r="I9" s="133"/>
      <c r="J9" s="520" t="str">
        <f>IF(ISBLANK(I9)," ",I9/$I$11)</f>
        <v xml:space="preserve"> </v>
      </c>
      <c r="K9" s="21"/>
      <c r="L9" s="133"/>
      <c r="M9" s="520" t="str">
        <f>IF(ISBLANK(L9)," ",L9/$L$11)</f>
        <v xml:space="preserve"> </v>
      </c>
      <c r="O9" s="133"/>
      <c r="P9" s="520" t="str">
        <f>IF(ISBLANK(O9)," ",O9/$O$11)</f>
        <v xml:space="preserve"> </v>
      </c>
      <c r="Q9" s="21"/>
      <c r="R9" s="133"/>
      <c r="S9" s="520" t="str">
        <f t="shared" si="0"/>
        <v xml:space="preserve"> </v>
      </c>
      <c r="T9" s="288" t="str">
        <f>IF(AND(ISBLANK(durée_3),ca_3&gt;0),1," ")</f>
        <v xml:space="preserve"> </v>
      </c>
      <c r="U9" s="525" t="str">
        <f>IF(AND(ISBLANK(durée_3),ca_3&gt;0),"renseigner la durée du 3ème exercice"," ")</f>
        <v xml:space="preserve"> </v>
      </c>
      <c r="V9" s="524"/>
    </row>
    <row r="10" spans="1:24" s="10" customFormat="1" ht="20.100000000000001" customHeight="1">
      <c r="A10" s="288"/>
      <c r="B10" s="852" t="s">
        <v>141</v>
      </c>
      <c r="C10" s="861"/>
      <c r="D10" s="854"/>
      <c r="E10" s="16"/>
      <c r="F10" s="134"/>
      <c r="G10" s="191" t="str">
        <f>IF(ISBLANK(F10)," ",F10/$F$11)</f>
        <v xml:space="preserve"> </v>
      </c>
      <c r="H10" s="22"/>
      <c r="I10" s="134"/>
      <c r="J10" s="191" t="str">
        <f>IF(ISBLANK(I10)," ",I10/$I$11)</f>
        <v xml:space="preserve"> </v>
      </c>
      <c r="K10" s="22"/>
      <c r="L10" s="134"/>
      <c r="M10" s="191" t="str">
        <f>IF(ISBLANK(L10)," ",L10/$L$11)</f>
        <v xml:space="preserve"> </v>
      </c>
      <c r="O10" s="134"/>
      <c r="P10" s="191" t="str">
        <f>IF(ISBLANK(O10)," ",O10/$O$11)</f>
        <v xml:space="preserve"> </v>
      </c>
      <c r="Q10" s="22"/>
      <c r="R10" s="134"/>
      <c r="S10" s="191" t="str">
        <f t="shared" si="0"/>
        <v xml:space="preserve"> </v>
      </c>
      <c r="T10" s="288" t="str">
        <f>IF(AND(ISBLANK(durée_4),ca_4&gt;0),1," ")</f>
        <v xml:space="preserve"> </v>
      </c>
      <c r="U10" s="525" t="str">
        <f>IF(AND(ISBLANK(durée_4),ca_4&gt;0),"renseigner la durée du 4ème exercice"," ")</f>
        <v xml:space="preserve"> </v>
      </c>
    </row>
    <row r="11" spans="1:24" s="10" customFormat="1" ht="18" customHeight="1">
      <c r="A11" s="288"/>
      <c r="B11" s="865" t="s">
        <v>26</v>
      </c>
      <c r="C11" s="273"/>
      <c r="D11" s="274" t="s">
        <v>160</v>
      </c>
      <c r="E11" s="99"/>
      <c r="F11" s="277">
        <f>SUM(F7:F10)</f>
        <v>0</v>
      </c>
      <c r="G11" s="278" t="str">
        <f>IF(ISERROR(ca_1/pr_1)," ",ca_1/pr_1)</f>
        <v xml:space="preserve"> </v>
      </c>
      <c r="H11" s="275"/>
      <c r="I11" s="277">
        <f>SUM(I7:I10)</f>
        <v>0</v>
      </c>
      <c r="J11" s="278" t="str">
        <f>IF(ISERROR(ca_2/pr_2)," ",ca_2/pr_2)</f>
        <v xml:space="preserve"> </v>
      </c>
      <c r="K11" s="275"/>
      <c r="L11" s="277">
        <f>SUM(L7:L10)</f>
        <v>0</v>
      </c>
      <c r="M11" s="278" t="str">
        <f>IF(ISERROR(ca_3/pr_3)," ",ca_3/pr_3)</f>
        <v xml:space="preserve"> </v>
      </c>
      <c r="N11" s="509"/>
      <c r="O11" s="277">
        <f>SUM(O7:O10)</f>
        <v>0</v>
      </c>
      <c r="P11" s="278" t="str">
        <f>IF(ISERROR(ca_4/pr_4)," ",ca_4/pr_4)</f>
        <v xml:space="preserve"> </v>
      </c>
      <c r="Q11" s="275"/>
      <c r="R11" s="277">
        <f>SUM(R7:R10)</f>
        <v>0</v>
      </c>
      <c r="S11" s="278" t="str">
        <f>IF(ISERROR(ca_5/pr_5)," ",ca_5/pr_5)</f>
        <v xml:space="preserve"> </v>
      </c>
      <c r="T11" s="288" t="str">
        <f>IF(AND(ISBLANK(durée_5),ca_5&gt;0),1," ")</f>
        <v xml:space="preserve"> </v>
      </c>
      <c r="U11" s="525" t="str">
        <f>IF(AND(ISBLANK(durée_5),ca_5&gt;0),"renseigner la durée du 5ème exercice"," ")</f>
        <v xml:space="preserve"> </v>
      </c>
    </row>
    <row r="12" spans="1:24" s="10" customFormat="1" ht="18" customHeight="1">
      <c r="A12" s="288"/>
      <c r="B12" s="866"/>
      <c r="C12" s="279"/>
      <c r="D12" s="280" t="s">
        <v>65</v>
      </c>
      <c r="E12" s="99"/>
      <c r="F12" s="282" t="str">
        <f>IF(ISERROR(IF(AND(ca_1=0,ISBLANK(ca_0))," ",(ca_1/ca_0)-1))," ",IF(AND(ca_1=0,ISBLANK(ca_0))," ",(ca_1/ca_0)-1))</f>
        <v xml:space="preserve"> </v>
      </c>
      <c r="G12" s="281"/>
      <c r="H12" s="276"/>
      <c r="I12" s="282" t="str">
        <f>IF(ISERROR(IF(ca_2=0," ",(ca_2/ca_1)-1))," ",IF(ca_2=0," ",(ca_2/ca_1)-1))</f>
        <v xml:space="preserve"> </v>
      </c>
      <c r="J12" s="281"/>
      <c r="K12" s="276"/>
      <c r="L12" s="282" t="str">
        <f>IF(ISERROR(IF(ca_3=0," ",(ca_3/ca_2)-1))," ",IF(ca_3=0," ",(ca_3/ca_2)-1))</f>
        <v xml:space="preserve"> </v>
      </c>
      <c r="M12" s="281"/>
      <c r="N12" s="510"/>
      <c r="O12" s="282" t="str">
        <f>IF(ISERROR(IF(ca_4=0," ",(ca_4/ca_3)-1))," ",IF(ca_4=0," ",(ca_4/ca_3)-1))</f>
        <v xml:space="preserve"> </v>
      </c>
      <c r="P12" s="281"/>
      <c r="Q12" s="276"/>
      <c r="R12" s="282" t="str">
        <f>IF(ISERROR(IF(ca_5=0," ",(ca_5/ca_4)-1))," ",IF(ca_5=0," ",(ca_5/ca_4)-1))</f>
        <v xml:space="preserve"> </v>
      </c>
      <c r="S12" s="281"/>
    </row>
    <row r="13" spans="1:24" ht="20.100000000000001" customHeight="1">
      <c r="B13" s="862" t="s">
        <v>27</v>
      </c>
      <c r="C13" s="863"/>
      <c r="D13" s="864"/>
      <c r="E13" s="16"/>
      <c r="F13" s="135"/>
      <c r="G13" s="192"/>
      <c r="H13" s="21"/>
      <c r="I13" s="135"/>
      <c r="J13" s="192"/>
      <c r="K13" s="21"/>
      <c r="L13" s="135"/>
      <c r="M13" s="192"/>
      <c r="N13" s="4"/>
      <c r="O13" s="135"/>
      <c r="P13" s="192"/>
      <c r="Q13" s="21"/>
      <c r="R13" s="135"/>
      <c r="S13" s="192"/>
    </row>
    <row r="14" spans="1:24" s="10" customFormat="1" ht="20.100000000000001" customHeight="1">
      <c r="A14" s="288"/>
      <c r="B14" s="852" t="s">
        <v>5</v>
      </c>
      <c r="C14" s="853"/>
      <c r="D14" s="854"/>
      <c r="E14" s="16"/>
      <c r="F14" s="134"/>
      <c r="G14" s="193"/>
      <c r="H14" s="21"/>
      <c r="I14" s="134"/>
      <c r="J14" s="193"/>
      <c r="K14" s="21"/>
      <c r="L14" s="134"/>
      <c r="M14" s="193"/>
      <c r="N14" s="4"/>
      <c r="O14" s="134"/>
      <c r="P14" s="193"/>
      <c r="Q14" s="21"/>
      <c r="R14" s="134"/>
      <c r="S14" s="193"/>
    </row>
    <row r="15" spans="1:24" s="25" customFormat="1" ht="21.9" customHeight="1">
      <c r="A15" s="288"/>
      <c r="B15" s="872" t="s">
        <v>28</v>
      </c>
      <c r="C15" s="873"/>
      <c r="D15" s="874"/>
      <c r="E15" s="99"/>
      <c r="F15" s="226">
        <f>F11+F13+F14</f>
        <v>0</v>
      </c>
      <c r="G15" s="227" t="str">
        <f>IF(ISERROR(pr_1/pr_1)," ",pr_1/pr_1)</f>
        <v xml:space="preserve"> </v>
      </c>
      <c r="H15" s="24"/>
      <c r="I15" s="226">
        <f>I11+I13+I14</f>
        <v>0</v>
      </c>
      <c r="J15" s="227" t="str">
        <f>IF(ISERROR(pr_2/pr_2)," ",pr_2/pr_2)</f>
        <v xml:space="preserve"> </v>
      </c>
      <c r="K15" s="24"/>
      <c r="L15" s="226">
        <f>L11+L13+L14</f>
        <v>0</v>
      </c>
      <c r="M15" s="227" t="str">
        <f>IF(ISERROR(pr_3/pr_3)," ",pr_3/pr_3)</f>
        <v xml:space="preserve"> </v>
      </c>
      <c r="N15" s="511"/>
      <c r="O15" s="226">
        <f>O11+O13+O14</f>
        <v>0</v>
      </c>
      <c r="P15" s="227" t="str">
        <f>IF(ISERROR(pr_4/pr_4)," ",pr_4/pr_4)</f>
        <v xml:space="preserve"> </v>
      </c>
      <c r="Q15" s="24"/>
      <c r="R15" s="226">
        <f>R11+R13+R14</f>
        <v>0</v>
      </c>
      <c r="S15" s="227" t="str">
        <f>IF(ISERROR(pr_5/pr_5)," ",pr_5/pr_5)</f>
        <v xml:space="preserve"> </v>
      </c>
    </row>
    <row r="16" spans="1:24" s="17" customFormat="1" ht="20.100000000000001" customHeight="1">
      <c r="A16" s="493"/>
      <c r="B16" s="862" t="s">
        <v>7</v>
      </c>
      <c r="C16" s="863"/>
      <c r="D16" s="864"/>
      <c r="E16" s="16"/>
      <c r="F16" s="135"/>
      <c r="G16" s="192"/>
      <c r="H16" s="21"/>
      <c r="I16" s="135"/>
      <c r="J16" s="192"/>
      <c r="K16" s="21"/>
      <c r="L16" s="135"/>
      <c r="M16" s="192"/>
      <c r="N16" s="4"/>
      <c r="O16" s="135"/>
      <c r="P16" s="192"/>
      <c r="Q16" s="21"/>
      <c r="R16" s="135"/>
      <c r="S16" s="192"/>
    </row>
    <row r="17" spans="1:22" ht="20.100000000000001" customHeight="1">
      <c r="B17" s="858" t="s">
        <v>29</v>
      </c>
      <c r="C17" s="859"/>
      <c r="D17" s="860"/>
      <c r="E17" s="16"/>
      <c r="F17" s="133"/>
      <c r="G17" s="194"/>
      <c r="H17" s="21"/>
      <c r="I17" s="133"/>
      <c r="J17" s="194"/>
      <c r="K17" s="21"/>
      <c r="L17" s="133"/>
      <c r="M17" s="194"/>
      <c r="N17" s="4"/>
      <c r="O17" s="133"/>
      <c r="P17" s="194"/>
      <c r="Q17" s="21"/>
      <c r="R17" s="133"/>
      <c r="S17" s="194"/>
    </row>
    <row r="18" spans="1:22" ht="20.100000000000001" customHeight="1">
      <c r="B18" s="858" t="s">
        <v>30</v>
      </c>
      <c r="C18" s="859"/>
      <c r="D18" s="860"/>
      <c r="E18" s="16"/>
      <c r="F18" s="133"/>
      <c r="G18" s="194"/>
      <c r="H18" s="21"/>
      <c r="I18" s="133"/>
      <c r="J18" s="194"/>
      <c r="K18" s="21"/>
      <c r="L18" s="133"/>
      <c r="M18" s="194"/>
      <c r="N18" s="4"/>
      <c r="O18" s="133"/>
      <c r="P18" s="194"/>
      <c r="Q18" s="21"/>
      <c r="R18" s="133"/>
      <c r="S18" s="194"/>
    </row>
    <row r="19" spans="1:22" s="10" customFormat="1" ht="20.100000000000001" customHeight="1">
      <c r="A19" s="288"/>
      <c r="B19" s="852" t="s">
        <v>31</v>
      </c>
      <c r="C19" s="853"/>
      <c r="D19" s="854"/>
      <c r="E19" s="16"/>
      <c r="F19" s="135"/>
      <c r="G19" s="192"/>
      <c r="H19" s="21"/>
      <c r="I19" s="135"/>
      <c r="J19" s="192"/>
      <c r="K19" s="21"/>
      <c r="L19" s="135"/>
      <c r="M19" s="192"/>
      <c r="N19" s="4"/>
      <c r="O19" s="135"/>
      <c r="P19" s="192"/>
      <c r="Q19" s="21"/>
      <c r="R19" s="135"/>
      <c r="S19" s="192"/>
    </row>
    <row r="20" spans="1:22" s="10" customFormat="1" ht="21.9" customHeight="1">
      <c r="A20" s="288" t="s">
        <v>32</v>
      </c>
      <c r="B20" s="875" t="s">
        <v>8</v>
      </c>
      <c r="C20" s="876"/>
      <c r="D20" s="877"/>
      <c r="E20" s="16"/>
      <c r="F20" s="532">
        <f>SUM(F16:F19)</f>
        <v>0</v>
      </c>
      <c r="G20" s="534" t="str">
        <f>IF(ISERROR(F20/F7)," ",F20/F7)</f>
        <v xml:space="preserve"> </v>
      </c>
      <c r="H20" s="21"/>
      <c r="I20" s="532">
        <f>SUM(I16:I19)</f>
        <v>0</v>
      </c>
      <c r="J20" s="533" t="str">
        <f>IF(ISERROR(I20/I7)," ",I20/I7)</f>
        <v xml:space="preserve"> </v>
      </c>
      <c r="K20" s="21"/>
      <c r="L20" s="532">
        <f>SUM(L16:L19)</f>
        <v>0</v>
      </c>
      <c r="M20" s="533" t="str">
        <f>IF(ISERROR(L20/L7)," ",L20/L7)</f>
        <v xml:space="preserve"> </v>
      </c>
      <c r="N20" s="512"/>
      <c r="O20" s="532">
        <f>SUM(O16:O19)</f>
        <v>0</v>
      </c>
      <c r="P20" s="533" t="str">
        <f>IF(ISERROR(O20/O7)," ",O20/O7)</f>
        <v xml:space="preserve"> </v>
      </c>
      <c r="Q20" s="21"/>
      <c r="R20" s="532">
        <f>SUM(R16:R19)</f>
        <v>0</v>
      </c>
      <c r="S20" s="533" t="str">
        <f>IF(ISERROR(R20/R7)," ",R20/R7)</f>
        <v xml:space="preserve"> </v>
      </c>
    </row>
    <row r="21" spans="1:22" s="10" customFormat="1" ht="21.9" customHeight="1">
      <c r="A21" s="288"/>
      <c r="B21" s="878" t="s">
        <v>9</v>
      </c>
      <c r="C21" s="879"/>
      <c r="D21" s="880"/>
      <c r="E21" s="99"/>
      <c r="F21" s="530" t="str">
        <f>IF(F7=0," ",F7-F20)</f>
        <v xml:space="preserve"> </v>
      </c>
      <c r="G21" s="531" t="str">
        <f>IF(ISERROR(F21/F7)," ",F21/F7)</f>
        <v xml:space="preserve"> </v>
      </c>
      <c r="H21" s="24"/>
      <c r="I21" s="530" t="str">
        <f>IF(I7=0," ",I7-I20)</f>
        <v xml:space="preserve"> </v>
      </c>
      <c r="J21" s="531" t="str">
        <f>IF(ISERROR(I21/I7)," ",I21/I7)</f>
        <v xml:space="preserve"> </v>
      </c>
      <c r="K21" s="24"/>
      <c r="L21" s="530" t="str">
        <f>IF(L7=0," ",L7-L20)</f>
        <v xml:space="preserve"> </v>
      </c>
      <c r="M21" s="531" t="str">
        <f>IF(ISERROR(L21/L7)," ",L21/L7)</f>
        <v xml:space="preserve"> </v>
      </c>
      <c r="N21" s="513"/>
      <c r="O21" s="530" t="str">
        <f>IF(O7=0," ",O7-O20)</f>
        <v xml:space="preserve"> </v>
      </c>
      <c r="P21" s="531" t="str">
        <f>IF(ISERROR(O21/O7)," ",O21/O7)</f>
        <v xml:space="preserve"> </v>
      </c>
      <c r="Q21" s="24"/>
      <c r="R21" s="530" t="str">
        <f>IF(R7=0," ",R7-R20)</f>
        <v xml:space="preserve"> </v>
      </c>
      <c r="S21" s="531" t="str">
        <f>IF(ISERROR(R21/R7)," ",R21/R7)</f>
        <v xml:space="preserve"> </v>
      </c>
      <c r="V21" s="26"/>
    </row>
    <row r="22" spans="1:22" s="10" customFormat="1" ht="20.100000000000001" customHeight="1">
      <c r="A22" s="288"/>
      <c r="B22" s="862" t="s">
        <v>33</v>
      </c>
      <c r="C22" s="863"/>
      <c r="D22" s="864"/>
      <c r="E22" s="16"/>
      <c r="F22" s="135"/>
      <c r="G22" s="192"/>
      <c r="H22" s="21"/>
      <c r="I22" s="135"/>
      <c r="J22" s="192"/>
      <c r="K22" s="27"/>
      <c r="L22" s="135"/>
      <c r="M22" s="192"/>
      <c r="N22" s="4"/>
      <c r="O22" s="135"/>
      <c r="P22" s="192"/>
      <c r="Q22" s="27"/>
      <c r="R22" s="135"/>
      <c r="S22" s="192"/>
    </row>
    <row r="23" spans="1:22" s="10" customFormat="1" ht="20.100000000000001" customHeight="1">
      <c r="A23" s="288"/>
      <c r="B23" s="858" t="s">
        <v>34</v>
      </c>
      <c r="C23" s="859"/>
      <c r="D23" s="860"/>
      <c r="E23" s="16"/>
      <c r="F23" s="133"/>
      <c r="G23" s="194"/>
      <c r="H23" s="21"/>
      <c r="I23" s="133"/>
      <c r="J23" s="194"/>
      <c r="K23" s="27"/>
      <c r="L23" s="133"/>
      <c r="M23" s="194"/>
      <c r="N23" s="4"/>
      <c r="O23" s="133"/>
      <c r="P23" s="194"/>
      <c r="Q23" s="27"/>
      <c r="R23" s="133"/>
      <c r="S23" s="194"/>
    </row>
    <row r="24" spans="1:22" s="10" customFormat="1" ht="20.100000000000001" customHeight="1">
      <c r="A24" s="288"/>
      <c r="B24" s="858" t="s">
        <v>35</v>
      </c>
      <c r="C24" s="859"/>
      <c r="D24" s="860"/>
      <c r="E24" s="16"/>
      <c r="F24" s="133"/>
      <c r="G24" s="194"/>
      <c r="H24" s="21"/>
      <c r="I24" s="133"/>
      <c r="J24" s="194"/>
      <c r="K24" s="27"/>
      <c r="L24" s="133"/>
      <c r="M24" s="194"/>
      <c r="N24" s="4"/>
      <c r="O24" s="133"/>
      <c r="P24" s="194"/>
      <c r="Q24" s="27"/>
      <c r="R24" s="133"/>
      <c r="S24" s="194"/>
    </row>
    <row r="25" spans="1:22" s="10" customFormat="1" ht="20.100000000000001" customHeight="1">
      <c r="A25" s="288"/>
      <c r="B25" s="858" t="s">
        <v>30</v>
      </c>
      <c r="C25" s="859"/>
      <c r="D25" s="860"/>
      <c r="E25" s="16"/>
      <c r="F25" s="133"/>
      <c r="G25" s="194"/>
      <c r="H25" s="21"/>
      <c r="I25" s="133"/>
      <c r="J25" s="194"/>
      <c r="K25" s="27"/>
      <c r="L25" s="133"/>
      <c r="M25" s="194"/>
      <c r="N25" s="4"/>
      <c r="O25" s="133"/>
      <c r="P25" s="194"/>
      <c r="Q25" s="27"/>
      <c r="R25" s="133"/>
      <c r="S25" s="194"/>
    </row>
    <row r="26" spans="1:22" s="10" customFormat="1" ht="20.100000000000001" customHeight="1">
      <c r="A26" s="288"/>
      <c r="B26" s="852" t="s">
        <v>31</v>
      </c>
      <c r="C26" s="853"/>
      <c r="D26" s="854"/>
      <c r="E26" s="16"/>
      <c r="F26" s="135"/>
      <c r="G26" s="192"/>
      <c r="H26" s="21"/>
      <c r="I26" s="135"/>
      <c r="J26" s="192"/>
      <c r="K26" s="27"/>
      <c r="L26" s="135"/>
      <c r="M26" s="192"/>
      <c r="N26" s="4"/>
      <c r="O26" s="135"/>
      <c r="P26" s="192"/>
      <c r="Q26" s="27"/>
      <c r="R26" s="135"/>
      <c r="S26" s="192"/>
    </row>
    <row r="27" spans="1:22" s="10" customFormat="1" ht="21.9" customHeight="1">
      <c r="A27" s="288" t="s">
        <v>32</v>
      </c>
      <c r="B27" s="875" t="s">
        <v>10</v>
      </c>
      <c r="C27" s="876"/>
      <c r="D27" s="877"/>
      <c r="E27" s="16"/>
      <c r="F27" s="532">
        <f>SUM(F22:F26)</f>
        <v>0</v>
      </c>
      <c r="G27" s="533" t="str">
        <f>IF(ISERROR(IF(activité="PB",F27/(F8+F13+F14),IF(activité="Ps",F27/(F9+F13+F14)," ")))," ",IF(activité="PB",F27/(F8+F13+F14),IF(activité="Ps",F27/(F9+F13+F14)," ")))</f>
        <v xml:space="preserve"> </v>
      </c>
      <c r="H27" s="21"/>
      <c r="I27" s="532">
        <f>SUM(I22:I26)</f>
        <v>0</v>
      </c>
      <c r="J27" s="533" t="str">
        <f>IF(ISERROR(IF(activité="PB",I27/(I8+I13+I14),IF(activité="Ps",I27/(I9+I13+I14)," ")))," ",IF(activité="PB",I27/(I8+I13+I14),IF(activité="Ps",I27/(I9+I13+I14)," ")))</f>
        <v xml:space="preserve"> </v>
      </c>
      <c r="K27" s="21"/>
      <c r="L27" s="532">
        <f>SUM(L22:L26)</f>
        <v>0</v>
      </c>
      <c r="M27" s="533" t="str">
        <f>IF(ISERROR(IF(activité="PB",L27/(L8+L13+L14),IF(activité="Ps",L27/(L9+L13+L14)," ")))," ",IF(activité="PB",L27/(L8+L13+L14),IF(activité="Ps",L27/(L9+L13+L14)," ")))</f>
        <v xml:space="preserve"> </v>
      </c>
      <c r="N27" s="512"/>
      <c r="O27" s="532">
        <f>SUM(O22:O26)</f>
        <v>0</v>
      </c>
      <c r="P27" s="533" t="str">
        <f>IF(ISERROR(IF(activité="PB",O27/(O8+O13+O14),IF(activité="Ps",O27/(O9+O13+O14)," ")))," ",IF(activité="PB",O27/(O8+O13+O14),IF(activité="Ps",O27/(O9+O13+O14)," ")))</f>
        <v xml:space="preserve"> </v>
      </c>
      <c r="Q27" s="21"/>
      <c r="R27" s="532">
        <f>SUM(R22:R26)</f>
        <v>0</v>
      </c>
      <c r="S27" s="533" t="str">
        <f>IF(ISERROR(IF(activité="PB",R27/(R8+R13+R14),IF(activité="Ps",R27/(R9+R13+R14)," ")))," ",IF(activité="PB",R27/(R8+R13+R14),IF(activité="Ps",R27/(R9+R13+R14)," ")))</f>
        <v xml:space="preserve"> </v>
      </c>
    </row>
    <row r="28" spans="1:22" s="10" customFormat="1" ht="21.9" customHeight="1">
      <c r="A28" s="288"/>
      <c r="B28" s="878" t="s">
        <v>36</v>
      </c>
      <c r="C28" s="879"/>
      <c r="D28" s="880"/>
      <c r="E28" s="99"/>
      <c r="F28" s="530">
        <f>F8+F9+F13+F14-F27</f>
        <v>0</v>
      </c>
      <c r="G28" s="531" t="str">
        <f>IF(ISERROR(IF(activité="PB",F28/(F8+F13+F14),IF(activité="Ps",F28/(F9+F13+F14)," ")))," ",IF(activité="PB",F28/(F8+F13+F14),IF(activité="Ps",F28/(F9+F13+F14)," ")))</f>
        <v xml:space="preserve"> </v>
      </c>
      <c r="H28" s="24"/>
      <c r="I28" s="530">
        <f>I8+I9+I13+I14-I27</f>
        <v>0</v>
      </c>
      <c r="J28" s="531" t="str">
        <f>IF(ISERROR(IF(activité="PB",I28/(I8+I13+I14),IF(activité="Ps",I28/(I9+I13+I14)," ")))," ",IF(activité="PB",I28/(I8+I13+I14),IF(activité="Ps",I28/(I9+I13+I14)," ")))</f>
        <v xml:space="preserve"> </v>
      </c>
      <c r="K28" s="24"/>
      <c r="L28" s="530">
        <f>L8+L9+L13+L14-L27</f>
        <v>0</v>
      </c>
      <c r="M28" s="531" t="str">
        <f>IF(ISERROR(IF(activité="PB",L28/(L8+L13+L14),IF(activité="Ps",L28/(L9+L13+L14)," ")))," ",IF(activité="PB",L28/(L8+L13+L14),IF(activité="Ps",L28/(L9+L13+L14)," ")))</f>
        <v xml:space="preserve"> </v>
      </c>
      <c r="N28" s="513"/>
      <c r="O28" s="530">
        <f>O8+O9+O13+O14-O27</f>
        <v>0</v>
      </c>
      <c r="P28" s="531" t="str">
        <f>IF(ISERROR(IF(activité="PB",O28/(O8+O13+O14),IF(activité="Ps",O28/(O9+O13+O14)," ")))," ",IF(activité="PB",O28/(O8+O13+O14),IF(activité="Ps",O28/(O9+O13+O14)," ")))</f>
        <v xml:space="preserve"> </v>
      </c>
      <c r="Q28" s="24"/>
      <c r="R28" s="530">
        <f>R8+R9+R13+R14-R27</f>
        <v>0</v>
      </c>
      <c r="S28" s="531" t="str">
        <f>IF(ISERROR(IF(activité="PB",R28/(R8+R13+R14),IF(activité="Ps",R28/(R9+R13+R14)," ")))," ",IF(activité="PB",R28/(R8+R13+R14),IF(activité="Ps",R28/(R9+R13+R14)," ")))</f>
        <v xml:space="preserve"> </v>
      </c>
    </row>
    <row r="29" spans="1:22" s="10" customFormat="1" ht="21.9" customHeight="1">
      <c r="A29" s="288"/>
      <c r="B29" s="884" t="s">
        <v>37</v>
      </c>
      <c r="C29" s="885"/>
      <c r="D29" s="886"/>
      <c r="E29" s="99"/>
      <c r="F29" s="140">
        <f>pr_1-F20-F27</f>
        <v>0</v>
      </c>
      <c r="G29" s="198" t="str">
        <f>IF(ISERROR(F29/pr_1)," ",F29/pr_1)</f>
        <v xml:space="preserve"> </v>
      </c>
      <c r="H29" s="24"/>
      <c r="I29" s="140">
        <f>pr_2-I20-I27</f>
        <v>0</v>
      </c>
      <c r="J29" s="198" t="str">
        <f>IF(ISERROR(I29/pr_2)," ",I29/pr_2)</f>
        <v xml:space="preserve"> </v>
      </c>
      <c r="K29" s="24"/>
      <c r="L29" s="140">
        <f>pr_3-L20-L27</f>
        <v>0</v>
      </c>
      <c r="M29" s="198" t="str">
        <f>IF(ISERROR(L29/pr_3)," ",L29/pr_3)</f>
        <v xml:space="preserve"> </v>
      </c>
      <c r="N29" s="513"/>
      <c r="O29" s="140">
        <f>pr_4-O20-O27</f>
        <v>0</v>
      </c>
      <c r="P29" s="198" t="str">
        <f>IF(ISERROR(O29/pr_4)," ",O29/pr_4)</f>
        <v xml:space="preserve"> </v>
      </c>
      <c r="Q29" s="24"/>
      <c r="R29" s="140">
        <f>pr_5-R20-R27</f>
        <v>0</v>
      </c>
      <c r="S29" s="198" t="str">
        <f>IF(ISERROR(R29/pr_5)," ",R29/pr_5)</f>
        <v xml:space="preserve"> </v>
      </c>
    </row>
    <row r="30" spans="1:22" s="10" customFormat="1" ht="30" customHeight="1">
      <c r="A30" s="288"/>
      <c r="B30" s="887" t="s">
        <v>38</v>
      </c>
      <c r="C30" s="888"/>
      <c r="D30" s="889"/>
      <c r="E30" s="16"/>
      <c r="F30" s="136"/>
      <c r="G30" s="195"/>
      <c r="H30" s="21"/>
      <c r="I30" s="136"/>
      <c r="J30" s="195"/>
      <c r="K30" s="27"/>
      <c r="L30" s="136"/>
      <c r="M30" s="195"/>
      <c r="N30" s="514"/>
      <c r="O30" s="136"/>
      <c r="P30" s="195"/>
      <c r="Q30" s="27"/>
      <c r="R30" s="136"/>
      <c r="S30" s="195"/>
    </row>
    <row r="31" spans="1:22" s="10" customFormat="1" ht="20.100000000000001" customHeight="1">
      <c r="A31" s="288" t="s">
        <v>32</v>
      </c>
      <c r="B31" s="890" t="s">
        <v>39</v>
      </c>
      <c r="C31" s="891"/>
      <c r="D31" s="892"/>
      <c r="E31" s="16"/>
      <c r="F31" s="137"/>
      <c r="G31" s="196"/>
      <c r="H31" s="28"/>
      <c r="I31" s="137"/>
      <c r="J31" s="196"/>
      <c r="K31" s="29"/>
      <c r="L31" s="137"/>
      <c r="M31" s="196"/>
      <c r="N31" s="507"/>
      <c r="O31" s="137"/>
      <c r="P31" s="196"/>
      <c r="Q31" s="29"/>
      <c r="R31" s="137"/>
      <c r="S31" s="196"/>
    </row>
    <row r="32" spans="1:22" s="10" customFormat="1" ht="20.100000000000001" customHeight="1">
      <c r="A32" s="288"/>
      <c r="B32" s="894" t="s">
        <v>40</v>
      </c>
      <c r="C32" s="895"/>
      <c r="D32" s="854"/>
      <c r="E32" s="100"/>
      <c r="F32" s="139"/>
      <c r="G32" s="197"/>
      <c r="H32" s="28"/>
      <c r="I32" s="139"/>
      <c r="J32" s="197"/>
      <c r="K32" s="29"/>
      <c r="L32" s="139"/>
      <c r="M32" s="197"/>
      <c r="N32" s="507"/>
      <c r="O32" s="139"/>
      <c r="P32" s="197"/>
      <c r="Q32" s="29"/>
      <c r="R32" s="139"/>
      <c r="S32" s="197"/>
    </row>
    <row r="33" spans="1:23" s="10" customFormat="1" ht="21.9" customHeight="1">
      <c r="A33" s="288"/>
      <c r="B33" s="875" t="s">
        <v>85</v>
      </c>
      <c r="C33" s="876"/>
      <c r="D33" s="877"/>
      <c r="E33" s="16"/>
      <c r="F33" s="532">
        <f>fw_1-F32</f>
        <v>0</v>
      </c>
      <c r="G33" s="533" t="str">
        <f>IF(ISERROR(F33/pr_1)," ",F33/pr_1)</f>
        <v xml:space="preserve"> </v>
      </c>
      <c r="H33" s="21"/>
      <c r="I33" s="532">
        <f>fw_2-I32</f>
        <v>0</v>
      </c>
      <c r="J33" s="533" t="str">
        <f>IF(ISERROR(I33/pr_2)," ",I33/pr_2)</f>
        <v xml:space="preserve"> </v>
      </c>
      <c r="K33" s="21"/>
      <c r="L33" s="532">
        <f>fw_3-L32</f>
        <v>0</v>
      </c>
      <c r="M33" s="533" t="str">
        <f>IF(ISERROR(L33/pr_3)," ",L33/pr_3)</f>
        <v xml:space="preserve"> </v>
      </c>
      <c r="N33" s="512"/>
      <c r="O33" s="532">
        <f>fw_4-O32</f>
        <v>0</v>
      </c>
      <c r="P33" s="533" t="str">
        <f>IF(ISERROR(O33/pr_4)," ",O33/pr_4)</f>
        <v xml:space="preserve"> </v>
      </c>
      <c r="Q33" s="21"/>
      <c r="R33" s="532">
        <f>fw_5-R32</f>
        <v>0</v>
      </c>
      <c r="S33" s="533" t="str">
        <f>IF(ISERROR(R33/pr_5)," ",R33/pr_5)</f>
        <v xml:space="preserve"> </v>
      </c>
    </row>
    <row r="34" spans="1:23" ht="21.9" customHeight="1">
      <c r="B34" s="896" t="s">
        <v>41</v>
      </c>
      <c r="C34" s="897"/>
      <c r="D34" s="898"/>
      <c r="E34" s="99"/>
      <c r="F34" s="530">
        <f>pr_1-F20-F27-F33</f>
        <v>0</v>
      </c>
      <c r="G34" s="531" t="str">
        <f>IF(ISERROR(F34/pr_1)," ",F34/pr_1)</f>
        <v xml:space="preserve"> </v>
      </c>
      <c r="H34" s="24"/>
      <c r="I34" s="530">
        <f>pr_2-I20-I27-I33</f>
        <v>0</v>
      </c>
      <c r="J34" s="531" t="str">
        <f>IF(ISERROR(I34/pr_2)," ",I34/pr_2)</f>
        <v xml:space="preserve"> </v>
      </c>
      <c r="K34" s="24"/>
      <c r="L34" s="530">
        <f>pr_3-L20-L27-L33</f>
        <v>0</v>
      </c>
      <c r="M34" s="531" t="str">
        <f>IF(ISERROR(L34/pr_3)," ",L34/pr_3)</f>
        <v xml:space="preserve"> </v>
      </c>
      <c r="N34" s="513"/>
      <c r="O34" s="530">
        <f>pr_4-O20-O27-O33</f>
        <v>0</v>
      </c>
      <c r="P34" s="531" t="str">
        <f>IF(ISERROR(O34/pr_4)," ",O34/pr_4)</f>
        <v xml:space="preserve"> </v>
      </c>
      <c r="Q34" s="24"/>
      <c r="R34" s="530">
        <f>pr_5-R20-R27-R33</f>
        <v>0</v>
      </c>
      <c r="S34" s="531" t="str">
        <f>IF(ISERROR(R34/pr_5)," ",R34/pr_5)</f>
        <v xml:space="preserve"> </v>
      </c>
    </row>
    <row r="35" spans="1:23" s="10" customFormat="1" ht="26.25" hidden="1" customHeight="1">
      <c r="A35" s="494" t="s">
        <v>42</v>
      </c>
      <c r="B35" s="30"/>
      <c r="C35" s="30"/>
      <c r="D35" s="30"/>
      <c r="E35" s="16"/>
      <c r="F35" s="31">
        <f>F33-F31</f>
        <v>0</v>
      </c>
      <c r="G35" s="31"/>
      <c r="H35" s="32"/>
      <c r="I35" s="31">
        <f>I33-I31</f>
        <v>0</v>
      </c>
      <c r="J35" s="31"/>
      <c r="K35" s="33"/>
      <c r="L35" s="31">
        <f>L33-L31</f>
        <v>0</v>
      </c>
      <c r="M35" s="4"/>
      <c r="N35" s="4"/>
      <c r="O35" s="31">
        <f>O33-O31</f>
        <v>0</v>
      </c>
      <c r="P35" s="31"/>
      <c r="Q35" s="33"/>
      <c r="R35" s="31">
        <f>R33-R31</f>
        <v>0</v>
      </c>
      <c r="S35" s="4"/>
    </row>
    <row r="36" spans="1:23" ht="20.100000000000001" customHeight="1">
      <c r="B36" s="899" t="s">
        <v>6</v>
      </c>
      <c r="C36" s="900"/>
      <c r="D36" s="901"/>
      <c r="E36" s="16"/>
      <c r="F36" s="147"/>
      <c r="G36" s="202"/>
      <c r="H36" s="21"/>
      <c r="I36" s="147"/>
      <c r="J36" s="202"/>
      <c r="K36" s="27"/>
      <c r="L36" s="147"/>
      <c r="M36" s="202"/>
      <c r="N36" s="4"/>
      <c r="O36" s="147"/>
      <c r="P36" s="202"/>
      <c r="Q36" s="27"/>
      <c r="R36" s="147"/>
      <c r="S36" s="202"/>
    </row>
    <row r="37" spans="1:23" s="17" customFormat="1" ht="20.100000000000001" customHeight="1">
      <c r="A37" s="494" t="s">
        <v>42</v>
      </c>
      <c r="B37" s="858" t="s">
        <v>43</v>
      </c>
      <c r="C37" s="859"/>
      <c r="D37" s="860"/>
      <c r="E37" s="16"/>
      <c r="F37" s="133"/>
      <c r="G37" s="194"/>
      <c r="H37" s="21"/>
      <c r="I37" s="133"/>
      <c r="J37" s="194"/>
      <c r="K37" s="27"/>
      <c r="L37" s="133"/>
      <c r="M37" s="194"/>
      <c r="N37" s="4"/>
      <c r="O37" s="133"/>
      <c r="P37" s="194"/>
      <c r="Q37" s="27"/>
      <c r="R37" s="133"/>
      <c r="S37" s="194"/>
    </row>
    <row r="38" spans="1:23" s="10" customFormat="1" ht="20.100000000000001" customHeight="1">
      <c r="A38" s="494" t="s">
        <v>42</v>
      </c>
      <c r="B38" s="858" t="s">
        <v>44</v>
      </c>
      <c r="C38" s="859"/>
      <c r="D38" s="860"/>
      <c r="E38" s="16"/>
      <c r="F38" s="133"/>
      <c r="G38" s="194"/>
      <c r="H38" s="21"/>
      <c r="I38" s="133"/>
      <c r="J38" s="194"/>
      <c r="K38" s="27"/>
      <c r="L38" s="133"/>
      <c r="M38" s="194"/>
      <c r="N38" s="4"/>
      <c r="O38" s="133"/>
      <c r="P38" s="194"/>
      <c r="Q38" s="27"/>
      <c r="R38" s="133"/>
      <c r="S38" s="194"/>
      <c r="U38" s="23"/>
      <c r="V38" s="17"/>
    </row>
    <row r="39" spans="1:23" s="36" customFormat="1" ht="20.100000000000001" customHeight="1">
      <c r="A39" s="494" t="s">
        <v>32</v>
      </c>
      <c r="B39" s="904" t="s">
        <v>11</v>
      </c>
      <c r="C39" s="905"/>
      <c r="D39" s="906"/>
      <c r="E39" s="144"/>
      <c r="F39" s="141">
        <f>F32</f>
        <v>0</v>
      </c>
      <c r="G39" s="199"/>
      <c r="H39" s="34"/>
      <c r="I39" s="141">
        <f>I32</f>
        <v>0</v>
      </c>
      <c r="J39" s="199"/>
      <c r="K39" s="35"/>
      <c r="L39" s="141">
        <f>L32</f>
        <v>0</v>
      </c>
      <c r="M39" s="199"/>
      <c r="N39" s="515"/>
      <c r="O39" s="141">
        <f>O32</f>
        <v>0</v>
      </c>
      <c r="P39" s="199"/>
      <c r="Q39" s="35"/>
      <c r="R39" s="141">
        <f>R32</f>
        <v>0</v>
      </c>
      <c r="S39" s="199"/>
    </row>
    <row r="40" spans="1:23" s="10" customFormat="1" ht="20.100000000000001" customHeight="1">
      <c r="A40" s="288"/>
      <c r="B40" s="881" t="s">
        <v>45</v>
      </c>
      <c r="C40" s="882"/>
      <c r="D40" s="883"/>
      <c r="E40" s="145"/>
      <c r="F40" s="142">
        <f>SUM(F38:F39)</f>
        <v>0</v>
      </c>
      <c r="G40" s="499" t="str">
        <f>IF(ISERROR(F40/pr_1)," ",F40/pr_1)</f>
        <v xml:space="preserve"> </v>
      </c>
      <c r="H40" s="21"/>
      <c r="I40" s="142">
        <f>SUM(I38:I39)</f>
        <v>0</v>
      </c>
      <c r="J40" s="200" t="str">
        <f>IF(ISERROR(I40/pr_2)," ",I40/pr_2)</f>
        <v xml:space="preserve"> </v>
      </c>
      <c r="K40" s="21"/>
      <c r="L40" s="142">
        <f>SUM(L38:L39)</f>
        <v>0</v>
      </c>
      <c r="M40" s="200" t="str">
        <f>IF(ISERROR(L40/pr_3)," ",L40/pr_3)</f>
        <v xml:space="preserve"> </v>
      </c>
      <c r="N40" s="512"/>
      <c r="O40" s="142">
        <f>SUM(O38:O39)</f>
        <v>0</v>
      </c>
      <c r="P40" s="200" t="str">
        <f>IF(ISERROR(O40/pr_4)," ",O40/pr_4)</f>
        <v xml:space="preserve"> </v>
      </c>
      <c r="Q40" s="21"/>
      <c r="R40" s="142">
        <f>SUM(R38:R39)</f>
        <v>0</v>
      </c>
      <c r="S40" s="200" t="str">
        <f>IF(ISERROR(R40/pr_5)," ",R40/pr_5)</f>
        <v xml:space="preserve"> </v>
      </c>
      <c r="U40" s="37"/>
      <c r="V40" s="37"/>
      <c r="W40" s="37"/>
    </row>
    <row r="41" spans="1:23" s="10" customFormat="1" ht="20.100000000000001" customHeight="1">
      <c r="A41" s="288"/>
      <c r="B41" s="862" t="s">
        <v>46</v>
      </c>
      <c r="C41" s="863"/>
      <c r="D41" s="864"/>
      <c r="E41" s="16"/>
      <c r="F41" s="143"/>
      <c r="G41" s="201"/>
      <c r="H41" s="21"/>
      <c r="I41" s="143"/>
      <c r="J41" s="201"/>
      <c r="K41" s="27"/>
      <c r="L41" s="143"/>
      <c r="M41" s="201"/>
      <c r="N41" s="4"/>
      <c r="O41" s="143"/>
      <c r="P41" s="201"/>
      <c r="Q41" s="27"/>
      <c r="R41" s="143"/>
      <c r="S41" s="201"/>
    </row>
    <row r="42" spans="1:23" ht="20.100000000000001" customHeight="1">
      <c r="B42" s="852" t="s">
        <v>17</v>
      </c>
      <c r="C42" s="853"/>
      <c r="D42" s="854"/>
      <c r="E42" s="16"/>
      <c r="F42" s="134"/>
      <c r="G42" s="193"/>
      <c r="H42" s="21"/>
      <c r="I42" s="134"/>
      <c r="J42" s="193"/>
      <c r="K42" s="27"/>
      <c r="L42" s="134"/>
      <c r="M42" s="193"/>
      <c r="N42" s="4"/>
      <c r="O42" s="134"/>
      <c r="P42" s="193"/>
      <c r="Q42" s="27"/>
      <c r="R42" s="134"/>
      <c r="S42" s="193"/>
    </row>
    <row r="43" spans="1:23" ht="20.100000000000001" customHeight="1">
      <c r="B43" s="852" t="s">
        <v>1</v>
      </c>
      <c r="C43" s="853"/>
      <c r="D43" s="854"/>
      <c r="E43" s="16"/>
      <c r="F43" s="134"/>
      <c r="G43" s="193"/>
      <c r="H43" s="21"/>
      <c r="I43" s="134"/>
      <c r="J43" s="193"/>
      <c r="K43" s="27"/>
      <c r="L43" s="134"/>
      <c r="M43" s="193"/>
      <c r="N43" s="4"/>
      <c r="O43" s="134"/>
      <c r="P43" s="193"/>
      <c r="Q43" s="27"/>
      <c r="R43" s="134"/>
      <c r="S43" s="193"/>
    </row>
    <row r="44" spans="1:23" ht="20.100000000000001" customHeight="1">
      <c r="B44" s="899" t="s">
        <v>47</v>
      </c>
      <c r="C44" s="900"/>
      <c r="D44" s="901"/>
      <c r="E44" s="16"/>
      <c r="F44" s="147"/>
      <c r="G44" s="202"/>
      <c r="H44" s="21"/>
      <c r="I44" s="147"/>
      <c r="J44" s="202"/>
      <c r="K44" s="27"/>
      <c r="L44" s="147"/>
      <c r="M44" s="202"/>
      <c r="N44" s="4"/>
      <c r="O44" s="147"/>
      <c r="P44" s="202"/>
      <c r="Q44" s="27"/>
      <c r="R44" s="147"/>
      <c r="S44" s="202"/>
    </row>
    <row r="45" spans="1:23" ht="20.100000000000001" customHeight="1">
      <c r="B45" s="902" t="s">
        <v>48</v>
      </c>
      <c r="C45" s="903"/>
      <c r="D45" s="860"/>
      <c r="E45" s="16"/>
      <c r="F45" s="138"/>
      <c r="G45" s="203"/>
      <c r="H45" s="28"/>
      <c r="I45" s="138"/>
      <c r="J45" s="203"/>
      <c r="K45" s="29"/>
      <c r="L45" s="138"/>
      <c r="M45" s="203"/>
      <c r="N45" s="507"/>
      <c r="O45" s="138"/>
      <c r="P45" s="203"/>
      <c r="Q45" s="29"/>
      <c r="R45" s="138"/>
      <c r="S45" s="203"/>
    </row>
    <row r="46" spans="1:23" s="25" customFormat="1" ht="20.100000000000001" customHeight="1">
      <c r="A46" s="288"/>
      <c r="B46" s="852" t="s">
        <v>2</v>
      </c>
      <c r="C46" s="853"/>
      <c r="D46" s="854"/>
      <c r="E46" s="16"/>
      <c r="F46" s="135"/>
      <c r="G46" s="192"/>
      <c r="H46" s="21"/>
      <c r="I46" s="135"/>
      <c r="J46" s="192"/>
      <c r="K46" s="27"/>
      <c r="L46" s="135"/>
      <c r="M46" s="192"/>
      <c r="N46" s="4"/>
      <c r="O46" s="135"/>
      <c r="P46" s="192"/>
      <c r="Q46" s="27"/>
      <c r="R46" s="135"/>
      <c r="S46" s="192"/>
    </row>
    <row r="47" spans="1:23" s="10" customFormat="1" ht="21.9" customHeight="1">
      <c r="A47" s="288"/>
      <c r="B47" s="878" t="s">
        <v>49</v>
      </c>
      <c r="C47" s="879"/>
      <c r="D47" s="880"/>
      <c r="E47" s="99"/>
      <c r="F47" s="530">
        <f>F34+F36-F37-F40+F41+F42+F43-F44+F45-F46</f>
        <v>0</v>
      </c>
      <c r="G47" s="531" t="str">
        <f>IF(ISERROR(F47/pr_1)," ",F47/pr_1)</f>
        <v xml:space="preserve"> </v>
      </c>
      <c r="H47" s="24"/>
      <c r="I47" s="530">
        <f>I34+I36-I37-I40+I41+I42+I43-I44+I45-I46</f>
        <v>0</v>
      </c>
      <c r="J47" s="531" t="str">
        <f>IF(ISERROR(I47/pr_2)," ",I47/pr_2)</f>
        <v xml:space="preserve"> </v>
      </c>
      <c r="K47" s="24"/>
      <c r="L47" s="530">
        <f>L34+L36-L37-L40+L41+L42+L43-L44+L45-L46</f>
        <v>0</v>
      </c>
      <c r="M47" s="531" t="str">
        <f>IF(ISERROR(L47/pr_3)," ",L47/pr_3)</f>
        <v xml:space="preserve"> </v>
      </c>
      <c r="N47" s="513"/>
      <c r="O47" s="530">
        <f>O34+O36-O37-O40+O41+O42+O43-O44+O45-O46</f>
        <v>0</v>
      </c>
      <c r="P47" s="531" t="str">
        <f>IF(ISERROR(O47/pr_4)," ",O47/pr_4)</f>
        <v xml:space="preserve"> </v>
      </c>
      <c r="Q47" s="24"/>
      <c r="R47" s="530">
        <f>R34+R36-R37-R40+R41+R42+R43-R44+R45-R46</f>
        <v>0</v>
      </c>
      <c r="S47" s="531" t="str">
        <f>IF(ISERROR(R47/pr_5)," ",R47/pr_5)</f>
        <v xml:space="preserve"> </v>
      </c>
    </row>
    <row r="48" spans="1:23" s="25" customFormat="1" ht="20.100000000000001" customHeight="1">
      <c r="A48" s="288"/>
      <c r="B48" s="862" t="s">
        <v>50</v>
      </c>
      <c r="C48" s="863"/>
      <c r="D48" s="864"/>
      <c r="E48" s="16"/>
      <c r="F48" s="143"/>
      <c r="G48" s="201"/>
      <c r="H48" s="21"/>
      <c r="I48" s="143"/>
      <c r="J48" s="201"/>
      <c r="K48" s="27"/>
      <c r="L48" s="143"/>
      <c r="M48" s="201"/>
      <c r="N48" s="4"/>
      <c r="O48" s="143"/>
      <c r="P48" s="201"/>
      <c r="Q48" s="27"/>
      <c r="R48" s="143"/>
      <c r="S48" s="201"/>
    </row>
    <row r="49" spans="1:22" s="25" customFormat="1" ht="20.100000000000001" customHeight="1">
      <c r="A49" s="288"/>
      <c r="B49" s="893" t="s">
        <v>51</v>
      </c>
      <c r="C49" s="861"/>
      <c r="D49" s="854"/>
      <c r="E49" s="16"/>
      <c r="F49" s="528">
        <f>F45</f>
        <v>0</v>
      </c>
      <c r="G49" s="529"/>
      <c r="H49" s="38"/>
      <c r="I49" s="528">
        <f>I45</f>
        <v>0</v>
      </c>
      <c r="J49" s="529"/>
      <c r="K49" s="38"/>
      <c r="L49" s="528">
        <f>L45</f>
        <v>0</v>
      </c>
      <c r="M49" s="529"/>
      <c r="N49" s="34"/>
      <c r="O49" s="528">
        <f>O45</f>
        <v>0</v>
      </c>
      <c r="P49" s="529"/>
      <c r="Q49" s="38"/>
      <c r="R49" s="528">
        <f>R45</f>
        <v>0</v>
      </c>
      <c r="S49" s="529"/>
    </row>
    <row r="50" spans="1:22" s="10" customFormat="1" ht="21.9" customHeight="1">
      <c r="A50" s="288"/>
      <c r="B50" s="878" t="s">
        <v>12</v>
      </c>
      <c r="C50" s="879"/>
      <c r="D50" s="880"/>
      <c r="E50" s="99"/>
      <c r="F50" s="530">
        <f>F47-F48-F49</f>
        <v>0</v>
      </c>
      <c r="G50" s="531" t="str">
        <f>IF(ISERROR(F50/pr_1)," ",F50/pr_1)</f>
        <v xml:space="preserve"> </v>
      </c>
      <c r="H50" s="24"/>
      <c r="I50" s="530">
        <f>I47-I48-I49</f>
        <v>0</v>
      </c>
      <c r="J50" s="531" t="str">
        <f>IF(ISERROR(I50/pr_2)," ",I50/pr_2)</f>
        <v xml:space="preserve"> </v>
      </c>
      <c r="K50" s="24"/>
      <c r="L50" s="530">
        <f>L47-L48-L49</f>
        <v>0</v>
      </c>
      <c r="M50" s="531" t="str">
        <f>IF(ISERROR(L50/pr_3)," ",L50/pr_3)</f>
        <v xml:space="preserve"> </v>
      </c>
      <c r="N50" s="513"/>
      <c r="O50" s="530">
        <f>O47-O48-O49</f>
        <v>0</v>
      </c>
      <c r="P50" s="531" t="str">
        <f>IF(ISERROR(O50/pr_4)," ",O50/pr_4)</f>
        <v xml:space="preserve"> </v>
      </c>
      <c r="Q50" s="24"/>
      <c r="R50" s="530">
        <f>R47-R48-R49</f>
        <v>0</v>
      </c>
      <c r="S50" s="531" t="str">
        <f>IF(ISERROR(R50/pr_5)," ",R50/pr_5)</f>
        <v xml:space="preserve"> </v>
      </c>
      <c r="V50" s="23"/>
    </row>
    <row r="51" spans="1:22" s="40" customFormat="1" ht="20.25" hidden="1" customHeight="1">
      <c r="A51" s="494" t="s">
        <v>42</v>
      </c>
      <c r="B51" s="206"/>
      <c r="C51" s="206"/>
      <c r="D51" s="146"/>
      <c r="E51" s="39"/>
      <c r="F51" s="44">
        <f>ga_1+F44+F46-F41-F42-F43</f>
        <v>0</v>
      </c>
      <c r="G51" s="31"/>
      <c r="H51" s="32"/>
      <c r="I51" s="44">
        <f>ga_2+I44+I46-I41-I42-I43</f>
        <v>0</v>
      </c>
      <c r="J51" s="31"/>
      <c r="K51" s="33"/>
      <c r="L51" s="44">
        <f>ga_3+L44+L46-L41-L42-L43</f>
        <v>0</v>
      </c>
      <c r="M51" s="31"/>
      <c r="N51" s="31"/>
      <c r="O51" s="44">
        <f>ga_4+O44+O46-O41-O42-O43</f>
        <v>0</v>
      </c>
      <c r="P51" s="31"/>
      <c r="Q51" s="33"/>
      <c r="R51" s="44">
        <f>ga_5+R44+R46-R41-R42-R43</f>
        <v>0</v>
      </c>
      <c r="S51" s="31"/>
    </row>
    <row r="52" spans="1:22" ht="20.100000000000001" customHeight="1">
      <c r="B52" s="899" t="s">
        <v>52</v>
      </c>
      <c r="C52" s="900"/>
      <c r="D52" s="928"/>
      <c r="E52" s="16"/>
      <c r="F52" s="147"/>
      <c r="G52" s="202"/>
      <c r="H52" s="21"/>
      <c r="I52" s="147"/>
      <c r="J52" s="202"/>
      <c r="K52" s="27"/>
      <c r="L52" s="147"/>
      <c r="M52" s="202"/>
      <c r="N52" s="4"/>
      <c r="O52" s="147"/>
      <c r="P52" s="202"/>
      <c r="Q52" s="27"/>
      <c r="R52" s="147"/>
      <c r="S52" s="202"/>
    </row>
    <row r="53" spans="1:22" ht="20.100000000000001" customHeight="1">
      <c r="B53" s="858" t="s">
        <v>53</v>
      </c>
      <c r="C53" s="859"/>
      <c r="D53" s="860"/>
      <c r="E53" s="16"/>
      <c r="F53" s="133"/>
      <c r="G53" s="194"/>
      <c r="H53" s="21"/>
      <c r="I53" s="133"/>
      <c r="J53" s="194"/>
      <c r="K53" s="27"/>
      <c r="L53" s="133"/>
      <c r="M53" s="194"/>
      <c r="N53" s="4"/>
      <c r="O53" s="133"/>
      <c r="P53" s="194"/>
      <c r="Q53" s="27"/>
      <c r="R53" s="133"/>
      <c r="S53" s="194"/>
    </row>
    <row r="54" spans="1:22" s="10" customFormat="1" ht="20.100000000000001" customHeight="1">
      <c r="A54" s="288"/>
      <c r="B54" s="852" t="s">
        <v>54</v>
      </c>
      <c r="C54" s="853"/>
      <c r="D54" s="924"/>
      <c r="E54" s="16"/>
      <c r="F54" s="134"/>
      <c r="G54" s="193"/>
      <c r="H54" s="21"/>
      <c r="I54" s="134"/>
      <c r="J54" s="193"/>
      <c r="K54" s="27"/>
      <c r="L54" s="134"/>
      <c r="M54" s="193"/>
      <c r="N54" s="4"/>
      <c r="O54" s="134"/>
      <c r="P54" s="193"/>
      <c r="Q54" s="27"/>
      <c r="R54" s="134"/>
      <c r="S54" s="193"/>
    </row>
    <row r="55" spans="1:22" s="25" customFormat="1" ht="20.100000000000001" customHeight="1">
      <c r="A55" s="288"/>
      <c r="B55" s="929" t="s">
        <v>13</v>
      </c>
      <c r="C55" s="930"/>
      <c r="D55" s="931"/>
      <c r="E55" s="16"/>
      <c r="F55" s="148"/>
      <c r="G55" s="204"/>
      <c r="H55" s="21"/>
      <c r="I55" s="148"/>
      <c r="J55" s="204"/>
      <c r="K55" s="27"/>
      <c r="L55" s="148"/>
      <c r="M55" s="204"/>
      <c r="N55" s="4"/>
      <c r="O55" s="148"/>
      <c r="P55" s="204"/>
      <c r="Q55" s="27"/>
      <c r="R55" s="148"/>
      <c r="S55" s="204"/>
    </row>
    <row r="56" spans="1:22" s="25" customFormat="1" ht="20.100000000000001" customHeight="1">
      <c r="A56" s="288"/>
      <c r="B56" s="933" t="s">
        <v>14</v>
      </c>
      <c r="C56" s="934"/>
      <c r="D56" s="935"/>
      <c r="E56" s="16"/>
      <c r="F56" s="497">
        <f>F55-F53</f>
        <v>0</v>
      </c>
      <c r="G56" s="498"/>
      <c r="H56" s="41"/>
      <c r="I56" s="497">
        <f>I55-I53</f>
        <v>0</v>
      </c>
      <c r="J56" s="498"/>
      <c r="K56" s="4"/>
      <c r="L56" s="497">
        <f>L55-L53</f>
        <v>0</v>
      </c>
      <c r="M56" s="498"/>
      <c r="N56" s="516"/>
      <c r="O56" s="497">
        <f>O55-O53</f>
        <v>0</v>
      </c>
      <c r="P56" s="498"/>
      <c r="Q56" s="4"/>
      <c r="R56" s="497">
        <f>R55-R53</f>
        <v>0</v>
      </c>
      <c r="S56" s="498"/>
    </row>
    <row r="57" spans="1:22" ht="20.100000000000001" customHeight="1">
      <c r="B57" s="936" t="s">
        <v>55</v>
      </c>
      <c r="C57" s="937"/>
      <c r="D57" s="938"/>
      <c r="E57" s="16"/>
      <c r="F57" s="135"/>
      <c r="G57" s="192"/>
      <c r="H57" s="21"/>
      <c r="I57" s="135"/>
      <c r="J57" s="192"/>
      <c r="K57" s="27"/>
      <c r="L57" s="135"/>
      <c r="M57" s="192"/>
      <c r="N57" s="4"/>
      <c r="O57" s="135"/>
      <c r="P57" s="192"/>
      <c r="Q57" s="27"/>
      <c r="R57" s="135"/>
      <c r="S57" s="192"/>
    </row>
    <row r="58" spans="1:22" ht="21.9" customHeight="1">
      <c r="B58" s="939" t="s">
        <v>15</v>
      </c>
      <c r="C58" s="940"/>
      <c r="D58" s="941"/>
      <c r="E58" s="16"/>
      <c r="F58" s="619">
        <f>F52+F53+F54-F55-F57</f>
        <v>0</v>
      </c>
      <c r="G58" s="500" t="str">
        <f>IF(ISERROR(F58/pr_1)," ",F58/pr_1)</f>
        <v xml:space="preserve"> </v>
      </c>
      <c r="H58" s="24"/>
      <c r="I58" s="501">
        <f>I52+I53+I54-I55-I57</f>
        <v>0</v>
      </c>
      <c r="J58" s="500" t="str">
        <f>IF(ISERROR(I58/pr_2)," ",I58/pr_2)</f>
        <v xml:space="preserve"> </v>
      </c>
      <c r="K58" s="24"/>
      <c r="L58" s="501">
        <f>L52+L53+L54-L55-L57</f>
        <v>0</v>
      </c>
      <c r="M58" s="500" t="str">
        <f>IF(ISERROR(L58/pr_3)," ",L58/pr_3)</f>
        <v xml:space="preserve"> </v>
      </c>
      <c r="N58" s="517"/>
      <c r="O58" s="501">
        <f>O52+O53+O54-O55-O57</f>
        <v>0</v>
      </c>
      <c r="P58" s="500" t="str">
        <f>IF(ISERROR(O58/pr_4)," ",O58/pr_4)</f>
        <v xml:space="preserve"> </v>
      </c>
      <c r="Q58" s="24"/>
      <c r="R58" s="501">
        <f>R52+R53+R54-R55-R57</f>
        <v>0</v>
      </c>
      <c r="S58" s="500" t="str">
        <f>IF(ISERROR(R58/pr_3)," ",R58/pr_3)</f>
        <v xml:space="preserve"> </v>
      </c>
    </row>
    <row r="59" spans="1:22" s="40" customFormat="1" ht="15.75" hidden="1" customHeight="1">
      <c r="A59" s="494" t="s">
        <v>42</v>
      </c>
      <c r="B59" s="42"/>
      <c r="C59" s="42"/>
      <c r="D59" s="43"/>
      <c r="E59" s="39"/>
      <c r="F59" s="44">
        <f>F58/-1</f>
        <v>0</v>
      </c>
      <c r="G59" s="502"/>
      <c r="H59" s="32"/>
      <c r="I59" s="44">
        <f>I58/-1</f>
        <v>0</v>
      </c>
      <c r="J59" s="31"/>
      <c r="K59" s="33"/>
      <c r="L59" s="44">
        <f>L58/-1</f>
        <v>0</v>
      </c>
      <c r="M59" s="31"/>
      <c r="N59" s="31"/>
      <c r="O59" s="44">
        <f>O58/-1</f>
        <v>0</v>
      </c>
      <c r="P59" s="31"/>
      <c r="Q59" s="33"/>
      <c r="R59" s="44">
        <f>R58/-1</f>
        <v>0</v>
      </c>
      <c r="S59" s="31"/>
    </row>
    <row r="60" spans="1:22" s="10" customFormat="1" ht="21.9" customHeight="1">
      <c r="A60" s="288"/>
      <c r="B60" s="896" t="s">
        <v>16</v>
      </c>
      <c r="C60" s="897"/>
      <c r="D60" s="898"/>
      <c r="E60" s="99"/>
      <c r="F60" s="530">
        <f>F50+F58</f>
        <v>0</v>
      </c>
      <c r="G60" s="531" t="str">
        <f>IF(ISERROR(F60/pr_1)," ",F60/pr_1)</f>
        <v xml:space="preserve"> </v>
      </c>
      <c r="H60" s="24"/>
      <c r="I60" s="530">
        <f>I50+I58</f>
        <v>0</v>
      </c>
      <c r="J60" s="531" t="str">
        <f>IF(ISERROR(I60/pr_2)," ",I60/pr_2)</f>
        <v xml:space="preserve"> </v>
      </c>
      <c r="K60" s="24"/>
      <c r="L60" s="530">
        <f>L50+L58</f>
        <v>0</v>
      </c>
      <c r="M60" s="531" t="str">
        <f>IF(ISERROR(L60/pr_3)," ",L60/pr_3)</f>
        <v xml:space="preserve"> </v>
      </c>
      <c r="N60" s="513"/>
      <c r="O60" s="530">
        <f>O50+O58</f>
        <v>0</v>
      </c>
      <c r="P60" s="531" t="str">
        <f>IF(ISERROR(O60/pr_4)," ",O60/pr_4)</f>
        <v xml:space="preserve"> </v>
      </c>
      <c r="Q60" s="24"/>
      <c r="R60" s="530">
        <f>R50+R58</f>
        <v>0</v>
      </c>
      <c r="S60" s="531" t="str">
        <f>IF(ISERROR(R60/pr_5)," ",R60/pr_5)</f>
        <v xml:space="preserve"> </v>
      </c>
    </row>
    <row r="61" spans="1:22" ht="20.100000000000001" customHeight="1">
      <c r="B61" s="862" t="s">
        <v>56</v>
      </c>
      <c r="C61" s="863"/>
      <c r="D61" s="942"/>
      <c r="E61" s="16"/>
      <c r="F61" s="135"/>
      <c r="G61" s="192"/>
      <c r="H61" s="21"/>
      <c r="I61" s="135"/>
      <c r="J61" s="192"/>
      <c r="K61" s="27"/>
      <c r="L61" s="135"/>
      <c r="M61" s="192"/>
      <c r="N61" s="4"/>
      <c r="O61" s="135"/>
      <c r="P61" s="192"/>
      <c r="Q61" s="27"/>
      <c r="R61" s="135"/>
      <c r="S61" s="192"/>
    </row>
    <row r="62" spans="1:22" s="10" customFormat="1" ht="20.100000000000001" customHeight="1">
      <c r="A62" s="288"/>
      <c r="B62" s="858" t="s">
        <v>57</v>
      </c>
      <c r="C62" s="859"/>
      <c r="D62" s="932"/>
      <c r="E62" s="16"/>
      <c r="F62" s="133"/>
      <c r="G62" s="194"/>
      <c r="H62" s="21"/>
      <c r="I62" s="133"/>
      <c r="J62" s="194"/>
      <c r="K62" s="27"/>
      <c r="L62" s="133"/>
      <c r="M62" s="194"/>
      <c r="N62" s="4"/>
      <c r="O62" s="133"/>
      <c r="P62" s="194"/>
      <c r="Q62" s="27"/>
      <c r="R62" s="133"/>
      <c r="S62" s="194"/>
      <c r="V62" s="23"/>
    </row>
    <row r="63" spans="1:22" s="10" customFormat="1" ht="20.100000000000001" customHeight="1">
      <c r="A63" s="288"/>
      <c r="B63" s="902" t="s">
        <v>159</v>
      </c>
      <c r="C63" s="903"/>
      <c r="D63" s="932"/>
      <c r="E63" s="16"/>
      <c r="F63" s="138"/>
      <c r="G63" s="194"/>
      <c r="H63" s="21"/>
      <c r="I63" s="138"/>
      <c r="J63" s="194"/>
      <c r="K63" s="27"/>
      <c r="L63" s="138"/>
      <c r="M63" s="194"/>
      <c r="N63" s="4"/>
      <c r="O63" s="138"/>
      <c r="P63" s="194"/>
      <c r="Q63" s="27"/>
      <c r="R63" s="138"/>
      <c r="S63" s="194"/>
      <c r="U63" s="45"/>
      <c r="V63" s="23"/>
    </row>
    <row r="64" spans="1:22" s="10" customFormat="1" ht="20.100000000000001" customHeight="1">
      <c r="A64" s="288"/>
      <c r="B64" s="902" t="s">
        <v>58</v>
      </c>
      <c r="C64" s="903"/>
      <c r="D64" s="932"/>
      <c r="E64" s="16"/>
      <c r="F64" s="138"/>
      <c r="G64" s="194"/>
      <c r="H64" s="21"/>
      <c r="I64" s="138"/>
      <c r="J64" s="194"/>
      <c r="K64" s="27"/>
      <c r="L64" s="138"/>
      <c r="M64" s="194"/>
      <c r="N64" s="4"/>
      <c r="O64" s="138"/>
      <c r="P64" s="194"/>
      <c r="Q64" s="27"/>
      <c r="R64" s="138"/>
      <c r="S64" s="194"/>
      <c r="U64" s="45"/>
    </row>
    <row r="65" spans="1:23" s="10" customFormat="1" ht="20.100000000000001" customHeight="1">
      <c r="A65" s="288"/>
      <c r="B65" s="902" t="s">
        <v>161</v>
      </c>
      <c r="C65" s="903"/>
      <c r="D65" s="932"/>
      <c r="E65" s="16"/>
      <c r="F65" s="138"/>
      <c r="G65" s="194"/>
      <c r="H65" s="21"/>
      <c r="I65" s="138"/>
      <c r="J65" s="194"/>
      <c r="K65" s="27"/>
      <c r="L65" s="138"/>
      <c r="M65" s="194"/>
      <c r="N65" s="4"/>
      <c r="O65" s="138"/>
      <c r="P65" s="194"/>
      <c r="Q65" s="27"/>
      <c r="R65" s="138"/>
      <c r="S65" s="194"/>
      <c r="U65" s="45"/>
    </row>
    <row r="66" spans="1:23" s="10" customFormat="1" ht="20.100000000000001" customHeight="1">
      <c r="A66" s="288"/>
      <c r="B66" s="902" t="s">
        <v>59</v>
      </c>
      <c r="C66" s="903"/>
      <c r="D66" s="932"/>
      <c r="E66" s="16"/>
      <c r="F66" s="138"/>
      <c r="G66" s="194"/>
      <c r="H66" s="21"/>
      <c r="I66" s="138"/>
      <c r="J66" s="194"/>
      <c r="K66" s="27"/>
      <c r="L66" s="138"/>
      <c r="M66" s="194"/>
      <c r="N66" s="4"/>
      <c r="O66" s="138"/>
      <c r="P66" s="194"/>
      <c r="Q66" s="27"/>
      <c r="R66" s="138"/>
      <c r="S66" s="194"/>
      <c r="U66" s="45"/>
    </row>
    <row r="67" spans="1:23" s="10" customFormat="1" ht="20.100000000000001" customHeight="1">
      <c r="A67" s="288"/>
      <c r="B67" s="858" t="s">
        <v>18</v>
      </c>
      <c r="C67" s="859"/>
      <c r="D67" s="932"/>
      <c r="E67" s="16"/>
      <c r="F67" s="133"/>
      <c r="G67" s="194"/>
      <c r="H67" s="21"/>
      <c r="I67" s="133"/>
      <c r="J67" s="194"/>
      <c r="K67" s="27"/>
      <c r="L67" s="133"/>
      <c r="M67" s="194"/>
      <c r="N67" s="4"/>
      <c r="O67" s="133"/>
      <c r="P67" s="194"/>
      <c r="Q67" s="27"/>
      <c r="R67" s="133"/>
      <c r="S67" s="194"/>
    </row>
    <row r="68" spans="1:23" s="10" customFormat="1" ht="20.100000000000001" customHeight="1">
      <c r="A68" s="288"/>
      <c r="B68" s="852" t="s">
        <v>19</v>
      </c>
      <c r="C68" s="853"/>
      <c r="D68" s="854"/>
      <c r="E68" s="16"/>
      <c r="F68" s="135"/>
      <c r="G68" s="192"/>
      <c r="H68" s="21"/>
      <c r="I68" s="135"/>
      <c r="J68" s="192"/>
      <c r="K68" s="27"/>
      <c r="L68" s="135"/>
      <c r="M68" s="192"/>
      <c r="N68" s="4"/>
      <c r="O68" s="135"/>
      <c r="P68" s="192"/>
      <c r="Q68" s="27"/>
      <c r="R68" s="135"/>
      <c r="S68" s="192"/>
    </row>
    <row r="69" spans="1:23" ht="21.9" customHeight="1">
      <c r="B69" s="910" t="s">
        <v>60</v>
      </c>
      <c r="C69" s="911"/>
      <c r="D69" s="912"/>
      <c r="E69" s="99"/>
      <c r="F69" s="535">
        <f>F60+F61+F62-F67-F68</f>
        <v>0</v>
      </c>
      <c r="G69" s="536" t="str">
        <f>IF(ISERROR(F69/pr_1)," ",F69/pr_1)</f>
        <v xml:space="preserve"> </v>
      </c>
      <c r="H69" s="24"/>
      <c r="I69" s="535">
        <f>I60+I61+I62-I67-I68</f>
        <v>0</v>
      </c>
      <c r="J69" s="536" t="str">
        <f>IF(ISERROR(I69/pr_2)," ",I69/pr_2)</f>
        <v xml:space="preserve"> </v>
      </c>
      <c r="K69" s="24"/>
      <c r="L69" s="535">
        <f>L60+L61+L62-L67-L68</f>
        <v>0</v>
      </c>
      <c r="M69" s="536" t="str">
        <f>IF(ISERROR(L69/pr_3)," ",L69/pr_3)</f>
        <v xml:space="preserve"> </v>
      </c>
      <c r="N69" s="513"/>
      <c r="O69" s="535">
        <f>O60+O61+O62-O67-O68</f>
        <v>0</v>
      </c>
      <c r="P69" s="536" t="str">
        <f>IF(ISERROR(O69/pr_4)," ",O69/pr_4)</f>
        <v xml:space="preserve"> </v>
      </c>
      <c r="Q69" s="24"/>
      <c r="R69" s="535">
        <f>R60+R61+R62-R67-R68</f>
        <v>0</v>
      </c>
      <c r="S69" s="536" t="str">
        <f>IF(ISERROR(R69/pr_5)," ",R69/pr_5)</f>
        <v xml:space="preserve"> </v>
      </c>
      <c r="V69" s="59"/>
    </row>
    <row r="70" spans="1:23" ht="21.9" customHeight="1">
      <c r="B70" s="913" t="s">
        <v>61</v>
      </c>
      <c r="C70" s="914"/>
      <c r="D70" s="915"/>
      <c r="E70" s="149"/>
      <c r="F70" s="150">
        <f>F69+F48+F44-F41-F54+F57-F62+F64+F66</f>
        <v>0</v>
      </c>
      <c r="G70" s="205" t="str">
        <f>IF(ISERROR(F70/pr_1)," ",F70/pr_1)</f>
        <v xml:space="preserve"> </v>
      </c>
      <c r="H70" s="46"/>
      <c r="I70" s="151">
        <f>I69+I48+I44-I41-I54+I57-I62+I64+I66</f>
        <v>0</v>
      </c>
      <c r="J70" s="205" t="str">
        <f>IF(ISERROR(I70/pr_2)," ",I70/pr_2)</f>
        <v xml:space="preserve"> </v>
      </c>
      <c r="K70" s="46"/>
      <c r="L70" s="151">
        <f>L69+L48+L44-L41-L54+L57-L62+L64+L66</f>
        <v>0</v>
      </c>
      <c r="M70" s="205" t="str">
        <f>IF(ISERROR(L70/pr_3)," ",L70/pr_3)</f>
        <v xml:space="preserve"> </v>
      </c>
      <c r="N70" s="513"/>
      <c r="O70" s="151">
        <f>O69+O48+O44-O41-O54+O57-O62+O64+O66</f>
        <v>0</v>
      </c>
      <c r="P70" s="205" t="str">
        <f>IF(ISERROR(O70/pr_4)," ",O70/pr_4)</f>
        <v xml:space="preserve"> </v>
      </c>
      <c r="Q70" s="46"/>
      <c r="R70" s="151">
        <f>R69+R48+R44-R41-R54+R57-R62+R64+R66</f>
        <v>0</v>
      </c>
      <c r="S70" s="205" t="str">
        <f>IF(ISERROR(R70/pr_5)," ",R70/pr_5)</f>
        <v xml:space="preserve"> </v>
      </c>
    </row>
    <row r="71" spans="1:23" ht="9.9" customHeight="1">
      <c r="B71" s="48"/>
      <c r="C71" s="48"/>
      <c r="D71" s="48"/>
      <c r="F71" s="23"/>
      <c r="G71" s="23"/>
      <c r="H71" s="47"/>
      <c r="I71" s="23"/>
      <c r="J71" s="23"/>
      <c r="K71" s="10"/>
      <c r="L71" s="23"/>
      <c r="M71" s="23"/>
      <c r="N71" s="23"/>
      <c r="O71" s="23"/>
      <c r="P71" s="23"/>
      <c r="Q71" s="10"/>
      <c r="R71" s="23"/>
      <c r="S71" s="23"/>
    </row>
    <row r="72" spans="1:23" s="10" customFormat="1" ht="20.100000000000001" customHeight="1">
      <c r="A72" s="288"/>
      <c r="B72" s="916" t="s">
        <v>20</v>
      </c>
      <c r="C72" s="917"/>
      <c r="D72" s="918"/>
      <c r="F72" s="152">
        <f>SUMIF($A$7:$A$68,"CF",$F$7:$F$68)</f>
        <v>0</v>
      </c>
      <c r="G72" s="153" t="str">
        <f>IF(ISERROR(F72/pr_1)," ",F72/pr_1)</f>
        <v xml:space="preserve"> </v>
      </c>
      <c r="H72" s="49"/>
      <c r="I72" s="152">
        <f>SUMIF($A$7:$A$68,"CF",$I$7:$I$68)</f>
        <v>0</v>
      </c>
      <c r="J72" s="153" t="str">
        <f>IF(ISERROR(I72/pr_2)," ",I72/pr_2)</f>
        <v xml:space="preserve"> </v>
      </c>
      <c r="K72" s="41"/>
      <c r="L72" s="152">
        <f>SUMIF($A$7:$A$68,"CF",$L$7:$L$68)</f>
        <v>0</v>
      </c>
      <c r="M72" s="153" t="str">
        <f>IF(ISERROR(L72/pr_3)," ",L72/pr_3)</f>
        <v xml:space="preserve"> </v>
      </c>
      <c r="N72" s="518"/>
      <c r="O72" s="152">
        <f>SUMIF($A$7:$A$68,"CF",$O$7:$O$68)</f>
        <v>0</v>
      </c>
      <c r="P72" s="153" t="str">
        <f>IF(ISERROR(O72/pr_4)," ",O72/pr_4)</f>
        <v xml:space="preserve"> </v>
      </c>
      <c r="Q72" s="41"/>
      <c r="R72" s="152">
        <f>SUMIF($A$7:$A$68,"CF",$R$7:$R$68)</f>
        <v>0</v>
      </c>
      <c r="S72" s="153" t="str">
        <f>IF(ISERROR(R72/pr_5)," ",R72/pr_5)</f>
        <v xml:space="preserve"> </v>
      </c>
    </row>
    <row r="73" spans="1:23" s="10" customFormat="1" ht="20.100000000000001" customHeight="1">
      <c r="A73" s="288"/>
      <c r="B73" s="919" t="s">
        <v>21</v>
      </c>
      <c r="C73" s="920"/>
      <c r="D73" s="921"/>
      <c r="F73" s="154">
        <f>SUMIF($A$7:$A$68,"CV",$F$7:$F$68)</f>
        <v>0</v>
      </c>
      <c r="G73" s="155" t="str">
        <f>IF(ISERROR(F73/pr_1)," ",F73/pr_1)</f>
        <v xml:space="preserve"> </v>
      </c>
      <c r="H73" s="49"/>
      <c r="I73" s="154">
        <f>SUMIF($A$7:$A$68,"CV",$I$7:$I$68)</f>
        <v>0</v>
      </c>
      <c r="J73" s="155" t="str">
        <f>IF(ISERROR(I73/pr_2)," ",I73/pr_2)</f>
        <v xml:space="preserve"> </v>
      </c>
      <c r="K73" s="41"/>
      <c r="L73" s="154">
        <f>SUMIF($A$7:$A$68,"CV",$L$7:$L$68)</f>
        <v>0</v>
      </c>
      <c r="M73" s="155" t="str">
        <f>IF(ISERROR(L73/pr_3)," ",L73/pr_3)</f>
        <v xml:space="preserve"> </v>
      </c>
      <c r="N73" s="518"/>
      <c r="O73" s="154">
        <f>SUMIF($A$7:$A$68,"CV",$O$7:$O$68)</f>
        <v>0</v>
      </c>
      <c r="P73" s="155" t="str">
        <f>IF(ISERROR(O73/pr_4)," ",O73/pr_4)</f>
        <v xml:space="preserve"> </v>
      </c>
      <c r="Q73" s="41"/>
      <c r="R73" s="154">
        <f>SUMIF($A$7:$A$68,"CV",$R$7:$R$68)</f>
        <v>0</v>
      </c>
      <c r="S73" s="155" t="str">
        <f>IF(ISERROR(R73/pr_5)," ",R73/pr_5)</f>
        <v xml:space="preserve"> </v>
      </c>
    </row>
    <row r="74" spans="1:23" s="10" customFormat="1" ht="3" customHeight="1">
      <c r="A74" s="288"/>
      <c r="B74" s="50"/>
      <c r="C74" s="50"/>
      <c r="D74" s="51"/>
      <c r="F74" s="4"/>
      <c r="G74" s="52"/>
      <c r="H74" s="49"/>
      <c r="I74" s="4"/>
      <c r="J74" s="52"/>
      <c r="K74" s="41"/>
      <c r="L74" s="4"/>
      <c r="M74" s="52"/>
      <c r="N74" s="52"/>
      <c r="O74" s="4"/>
      <c r="P74" s="52"/>
      <c r="Q74" s="41"/>
      <c r="R74" s="4"/>
      <c r="S74" s="52"/>
    </row>
    <row r="75" spans="1:23" s="10" customFormat="1" ht="20.100000000000001" customHeight="1">
      <c r="A75" s="288"/>
      <c r="B75" s="916" t="s">
        <v>62</v>
      </c>
      <c r="C75" s="917"/>
      <c r="D75" s="918"/>
      <c r="F75" s="152">
        <f>pr_1-F72-F73</f>
        <v>0</v>
      </c>
      <c r="G75" s="153" t="str">
        <f>IF(ISERROR(F75/pr_1)," ",F75/pr_1)</f>
        <v xml:space="preserve"> </v>
      </c>
      <c r="H75" s="49"/>
      <c r="I75" s="152">
        <f>pr_2-I72-I73</f>
        <v>0</v>
      </c>
      <c r="J75" s="153" t="str">
        <f>IF(ISERROR(I75/pr_2)," ",I75/pr_2)</f>
        <v xml:space="preserve"> </v>
      </c>
      <c r="K75" s="41"/>
      <c r="L75" s="152">
        <f>pr_3-L72-L73</f>
        <v>0</v>
      </c>
      <c r="M75" s="153" t="str">
        <f>IF(ISERROR(L75/pr_3)," ",L75/pr_3)</f>
        <v xml:space="preserve"> </v>
      </c>
      <c r="N75" s="518"/>
      <c r="O75" s="152">
        <f>pr_4-O72-O73</f>
        <v>0</v>
      </c>
      <c r="P75" s="153" t="str">
        <f>IF(ISERROR(O75/pr_4)," ",O75/pr_4)</f>
        <v xml:space="preserve"> </v>
      </c>
      <c r="Q75" s="41"/>
      <c r="R75" s="152">
        <f>pr_5-R72-R73</f>
        <v>0</v>
      </c>
      <c r="S75" s="153" t="str">
        <f>IF(ISERROR(R75/pr_5)," ",R75/pr_5)</f>
        <v xml:space="preserve"> </v>
      </c>
    </row>
    <row r="76" spans="1:23" s="10" customFormat="1" ht="20.100000000000001" customHeight="1">
      <c r="A76" s="288"/>
      <c r="B76" s="922" t="s">
        <v>6</v>
      </c>
      <c r="C76" s="923"/>
      <c r="D76" s="924"/>
      <c r="F76" s="156">
        <f>F36</f>
        <v>0</v>
      </c>
      <c r="G76" s="157"/>
      <c r="H76" s="49"/>
      <c r="I76" s="156">
        <f>I36</f>
        <v>0</v>
      </c>
      <c r="J76" s="157"/>
      <c r="K76" s="41"/>
      <c r="L76" s="156">
        <f>L36</f>
        <v>0</v>
      </c>
      <c r="M76" s="157"/>
      <c r="N76" s="518"/>
      <c r="O76" s="156">
        <f>O36</f>
        <v>0</v>
      </c>
      <c r="P76" s="157"/>
      <c r="Q76" s="41"/>
      <c r="R76" s="156">
        <f>R36</f>
        <v>0</v>
      </c>
      <c r="S76" s="157"/>
    </row>
    <row r="77" spans="1:23" s="10" customFormat="1" ht="21.9" customHeight="1">
      <c r="A77" s="288"/>
      <c r="B77" s="925" t="s">
        <v>16</v>
      </c>
      <c r="C77" s="926"/>
      <c r="D77" s="927"/>
      <c r="F77" s="537">
        <f>F76+F75</f>
        <v>0</v>
      </c>
      <c r="G77" s="538" t="str">
        <f>IF(ISERROR(F77/pr_1)," ",F77/pr_1)</f>
        <v xml:space="preserve"> </v>
      </c>
      <c r="H77" s="24"/>
      <c r="I77" s="537">
        <f>I76+I75</f>
        <v>0</v>
      </c>
      <c r="J77" s="538" t="str">
        <f>IF(ISERROR(I77/pr_2)," ",I77/pr_2)</f>
        <v xml:space="preserve"> </v>
      </c>
      <c r="K77" s="24"/>
      <c r="L77" s="537">
        <f>L76+L75</f>
        <v>0</v>
      </c>
      <c r="M77" s="538" t="str">
        <f>IF(ISERROR(L77/pr_3)," ",L77/pr_3)</f>
        <v xml:space="preserve"> </v>
      </c>
      <c r="N77" s="513"/>
      <c r="O77" s="537">
        <f>O76+O75</f>
        <v>0</v>
      </c>
      <c r="P77" s="538" t="str">
        <f>IF(ISERROR(O77/pr_4)," ",O77/pr_4)</f>
        <v xml:space="preserve"> </v>
      </c>
      <c r="Q77" s="24"/>
      <c r="R77" s="537">
        <f>R76+R75</f>
        <v>0</v>
      </c>
      <c r="S77" s="538" t="str">
        <f>IF(ISERROR(R77/pr_5)," ",R77/pr_5)</f>
        <v xml:space="preserve"> </v>
      </c>
      <c r="U77" s="23"/>
      <c r="V77" s="23"/>
      <c r="W77" s="23"/>
    </row>
    <row r="78" spans="1:23" s="10" customFormat="1" ht="6" customHeight="1">
      <c r="A78" s="288"/>
      <c r="B78" s="50"/>
      <c r="C78" s="50"/>
      <c r="D78" s="51"/>
      <c r="F78" s="4"/>
      <c r="G78" s="52"/>
      <c r="H78" s="49"/>
      <c r="I78" s="4"/>
      <c r="J78" s="52"/>
      <c r="K78" s="41"/>
      <c r="L78" s="4"/>
      <c r="M78" s="52"/>
      <c r="N78" s="52"/>
      <c r="O78" s="4"/>
      <c r="P78" s="52"/>
      <c r="Q78" s="41"/>
      <c r="R78" s="4"/>
      <c r="S78" s="52"/>
    </row>
    <row r="79" spans="1:23" s="10" customFormat="1" ht="21.9" customHeight="1">
      <c r="A79" s="288"/>
      <c r="B79" s="907" t="s">
        <v>22</v>
      </c>
      <c r="C79" s="908"/>
      <c r="D79" s="909"/>
      <c r="F79" s="503">
        <f>pr_1-F73</f>
        <v>0</v>
      </c>
      <c r="G79" s="504" t="str">
        <f>IF(ISERROR(F79/pr_1)," ",F79/pr_1)</f>
        <v xml:space="preserve"> </v>
      </c>
      <c r="H79" s="49"/>
      <c r="I79" s="503">
        <f>pr_2-I73</f>
        <v>0</v>
      </c>
      <c r="J79" s="504" t="str">
        <f>IF(ISERROR(I79/pr_2)," ",I79/pr_2)</f>
        <v xml:space="preserve"> </v>
      </c>
      <c r="K79" s="41"/>
      <c r="L79" s="503">
        <f>pr_3-L73</f>
        <v>0</v>
      </c>
      <c r="M79" s="504" t="str">
        <f>IF(ISERROR(L79/pr_3)," ",L79/pr_3)</f>
        <v xml:space="preserve"> </v>
      </c>
      <c r="N79" s="518"/>
      <c r="O79" s="503">
        <f>pr_4-O73</f>
        <v>0</v>
      </c>
      <c r="P79" s="504" t="str">
        <f>IF(ISERROR(O79/pr_4)," ",O79/pr_4)</f>
        <v xml:space="preserve"> </v>
      </c>
      <c r="Q79" s="41"/>
      <c r="R79" s="503">
        <f>pr_5-R73</f>
        <v>0</v>
      </c>
      <c r="S79" s="504" t="str">
        <f>IF(ISERROR(R79/pr_5)," ",R79/pr_5)</f>
        <v xml:space="preserve"> </v>
      </c>
    </row>
    <row r="80" spans="1:23" s="10" customFormat="1" ht="21.9" customHeight="1">
      <c r="A80" s="288"/>
      <c r="B80" s="158" t="s">
        <v>63</v>
      </c>
      <c r="C80" s="207"/>
      <c r="D80" s="159" t="s">
        <v>64</v>
      </c>
      <c r="F80" s="160" t="str">
        <f>IF(pr_1=0," ",F72/G79)</f>
        <v xml:space="preserve"> </v>
      </c>
      <c r="G80" s="161" t="str">
        <f>IF(ISERROR(F80/pr_1)," ",F80/pr_1)</f>
        <v xml:space="preserve"> </v>
      </c>
      <c r="H80" s="49"/>
      <c r="I80" s="160" t="str">
        <f>IF(pr_2=0," ",I72/J79)</f>
        <v xml:space="preserve"> </v>
      </c>
      <c r="J80" s="161" t="str">
        <f>IF(ISERROR(I80/pr_2)," ",I80/pr_2)</f>
        <v xml:space="preserve"> </v>
      </c>
      <c r="K80" s="41"/>
      <c r="L80" s="160" t="str">
        <f>IF(pr_3=0," ",L72/M79)</f>
        <v xml:space="preserve"> </v>
      </c>
      <c r="M80" s="161" t="str">
        <f>IF(ISERROR(L80/pr_3)," ",L80/pr_3)</f>
        <v xml:space="preserve"> </v>
      </c>
      <c r="N80" s="519"/>
      <c r="O80" s="160" t="str">
        <f>IF(pr_4=0," ",O72/P79)</f>
        <v xml:space="preserve"> </v>
      </c>
      <c r="P80" s="161" t="str">
        <f>IF(ISERROR(O80/pr_4)," ",O80/pr_4)</f>
        <v xml:space="preserve"> </v>
      </c>
      <c r="Q80" s="41"/>
      <c r="R80" s="160" t="str">
        <f>IF(pr_5=0," ",R72/S79)</f>
        <v xml:space="preserve"> </v>
      </c>
      <c r="S80" s="161" t="str">
        <f>IF(ISERROR(R80/pr_5)," ",R80/pr_5)</f>
        <v xml:space="preserve"> </v>
      </c>
    </row>
    <row r="81" spans="2:19" ht="15" customHeight="1">
      <c r="B81" s="48"/>
      <c r="C81" s="48"/>
      <c r="D81" s="48"/>
      <c r="E81" s="53"/>
      <c r="F81" s="23"/>
      <c r="G81" s="23"/>
      <c r="H81" s="47"/>
      <c r="I81" s="23"/>
      <c r="J81" s="23"/>
      <c r="K81" s="10"/>
      <c r="L81" s="23"/>
      <c r="M81" s="23"/>
      <c r="N81" s="23"/>
      <c r="O81" s="23"/>
      <c r="P81" s="23"/>
      <c r="Q81" s="10"/>
      <c r="R81" s="23"/>
      <c r="S81" s="23"/>
    </row>
    <row r="82" spans="2:19" ht="15" customHeight="1">
      <c r="F82" s="55"/>
      <c r="G82" s="56"/>
      <c r="H82" s="47"/>
      <c r="I82" s="55"/>
      <c r="J82" s="56"/>
      <c r="K82" s="10"/>
      <c r="L82" s="55"/>
      <c r="M82" s="56"/>
      <c r="N82" s="56"/>
      <c r="O82" s="55"/>
      <c r="P82" s="56"/>
      <c r="Q82" s="10"/>
      <c r="R82" s="55"/>
      <c r="S82" s="56"/>
    </row>
    <row r="117" spans="1:19" ht="20.100000000000001" customHeight="1">
      <c r="B117" s="80"/>
      <c r="C117" s="80"/>
      <c r="F117" s="81"/>
      <c r="G117" s="23"/>
      <c r="H117" s="82"/>
      <c r="I117" s="82"/>
      <c r="J117" s="23"/>
      <c r="K117" s="82"/>
      <c r="L117" s="82"/>
      <c r="M117" s="23"/>
      <c r="N117" s="23"/>
      <c r="O117" s="82"/>
      <c r="P117" s="23"/>
      <c r="Q117" s="82"/>
      <c r="R117" s="82"/>
      <c r="S117" s="23"/>
    </row>
    <row r="118" spans="1:19" s="10" customFormat="1" ht="15" customHeight="1">
      <c r="A118" s="288"/>
      <c r="D118" s="84" t="s">
        <v>77</v>
      </c>
      <c r="E118" s="85"/>
      <c r="F118" s="86">
        <f>IF(ISERROR(BFR!G25+BFR!G26+BFR!G29+BFR!G31+BFR!G33),0,BFR!G25+BFR!G26+BFR!G29+BFR!G31+BFR!G33)</f>
        <v>0</v>
      </c>
      <c r="G118" s="86"/>
      <c r="H118" s="87"/>
      <c r="I118" s="86">
        <f>IF(ISERROR(BFR!J25+BFR!J26+BFR!J29+BFR!J31+BFR!J33),0,BFR!J25+BFR!J26+BFR!J29+BFR!J31+BFR!J33)</f>
        <v>0</v>
      </c>
      <c r="J118" s="86"/>
      <c r="K118" s="86"/>
      <c r="L118" s="86">
        <f>IF(ISERROR(BFR!M25+BFR!M26+BFR!M29+BFR!M31+BFR!M33),0,BFR!M25+BFR!M26+BFR!M29+BFR!M31+BFR!M33)</f>
        <v>0</v>
      </c>
      <c r="M118" s="88"/>
      <c r="N118" s="88"/>
      <c r="O118" s="86">
        <f>IF(ISERROR(BFR!P25+BFR!P26+BFR!P29+BFR!P31+BFR!P33),0,BFR!P25+BFR!P26+BFR!P29+BFR!P31+BFR!P33)</f>
        <v>0</v>
      </c>
      <c r="P118" s="86"/>
      <c r="Q118" s="86"/>
      <c r="R118" s="86">
        <f>IF(ISERROR(BFR!S25+BFR!S26+BFR!S29+BFR!S31+BFR!S33),0,BFR!S25+BFR!S26+BFR!S29+BFR!S31+BFR!S33)</f>
        <v>0</v>
      </c>
      <c r="S118" s="88"/>
    </row>
    <row r="119" spans="1:19" s="10" customFormat="1" ht="13.8">
      <c r="A119" s="288"/>
      <c r="D119" s="84" t="s">
        <v>78</v>
      </c>
      <c r="E119" s="85"/>
      <c r="F119" s="86">
        <f>clt_5</f>
        <v>0</v>
      </c>
      <c r="G119" s="86"/>
      <c r="H119" s="87"/>
      <c r="I119" s="89">
        <f>clt_6</f>
        <v>0</v>
      </c>
      <c r="J119" s="86"/>
      <c r="K119" s="86"/>
      <c r="L119" s="89">
        <f>clt_7</f>
        <v>0</v>
      </c>
      <c r="M119" s="88"/>
      <c r="N119" s="88"/>
      <c r="O119" s="89">
        <f>clt_6</f>
        <v>0</v>
      </c>
      <c r="P119" s="86"/>
      <c r="Q119" s="86"/>
      <c r="R119" s="89">
        <f>clt_7</f>
        <v>0</v>
      </c>
      <c r="S119" s="88"/>
    </row>
    <row r="120" spans="1:19" s="10" customFormat="1" ht="13.8">
      <c r="A120" s="288"/>
      <c r="D120" s="19" t="s">
        <v>79</v>
      </c>
      <c r="E120" s="85"/>
      <c r="F120" s="86">
        <f>BFR!G39</f>
        <v>0</v>
      </c>
      <c r="G120" s="86"/>
      <c r="H120" s="87"/>
      <c r="I120" s="86">
        <f>BFR!J39</f>
        <v>0</v>
      </c>
      <c r="J120" s="86"/>
      <c r="K120" s="86"/>
      <c r="L120" s="86">
        <f>BFR!M39</f>
        <v>0</v>
      </c>
      <c r="M120" s="88"/>
      <c r="N120" s="88"/>
      <c r="O120" s="86">
        <f>BFR!P39</f>
        <v>0</v>
      </c>
      <c r="P120" s="86"/>
      <c r="Q120" s="86"/>
      <c r="R120" s="86">
        <f>BFR!S39</f>
        <v>0</v>
      </c>
      <c r="S120" s="88"/>
    </row>
    <row r="121" spans="1:19" s="10" customFormat="1" ht="13.8">
      <c r="A121" s="288"/>
      <c r="D121" s="19" t="s">
        <v>80</v>
      </c>
      <c r="E121" s="85"/>
      <c r="F121" s="86">
        <f>SUM(F118:F120)</f>
        <v>0</v>
      </c>
      <c r="G121" s="86"/>
      <c r="H121" s="87"/>
      <c r="I121" s="86">
        <f>SUM(I118:I120)</f>
        <v>0</v>
      </c>
      <c r="J121" s="86"/>
      <c r="K121" s="86"/>
      <c r="L121" s="86">
        <f>SUM(L118:L120)</f>
        <v>0</v>
      </c>
      <c r="M121" s="88"/>
      <c r="N121" s="88"/>
      <c r="O121" s="86">
        <f>SUM(O118:O120)</f>
        <v>0</v>
      </c>
      <c r="P121" s="86"/>
      <c r="Q121" s="86"/>
      <c r="R121" s="86">
        <f>SUM(R118:R120)</f>
        <v>0</v>
      </c>
      <c r="S121" s="88"/>
    </row>
    <row r="122" spans="1:19" s="10" customFormat="1" ht="13.8">
      <c r="A122" s="288"/>
      <c r="D122" s="19" t="s">
        <v>81</v>
      </c>
      <c r="E122" s="85"/>
      <c r="F122" s="86" t="e">
        <f>F48+#REF!+F66</f>
        <v>#REF!</v>
      </c>
      <c r="G122" s="86"/>
      <c r="H122" s="87"/>
      <c r="I122" s="86" t="e">
        <f>I48+#REF!+I66</f>
        <v>#REF!</v>
      </c>
      <c r="J122" s="86"/>
      <c r="K122" s="86"/>
      <c r="L122" s="86" t="e">
        <f>L48+#REF!+L66</f>
        <v>#REF!</v>
      </c>
      <c r="M122" s="88"/>
      <c r="N122" s="88"/>
      <c r="O122" s="86" t="e">
        <f>O48+#REF!+O66</f>
        <v>#REF!</v>
      </c>
      <c r="P122" s="86"/>
      <c r="Q122" s="86"/>
      <c r="R122" s="86" t="e">
        <f>R48+#REF!+R66</f>
        <v>#REF!</v>
      </c>
      <c r="S122" s="88"/>
    </row>
    <row r="123" spans="1:19" s="10" customFormat="1" ht="13.8">
      <c r="A123" s="288"/>
      <c r="D123" s="19" t="s">
        <v>82</v>
      </c>
      <c r="E123" s="85"/>
      <c r="F123" s="86">
        <f>F44-F41-F54+F57</f>
        <v>0</v>
      </c>
      <c r="G123" s="86"/>
      <c r="H123" s="87"/>
      <c r="I123" s="86">
        <f>I44-I41-I54+I57</f>
        <v>0</v>
      </c>
      <c r="J123" s="86"/>
      <c r="K123" s="86"/>
      <c r="L123" s="86">
        <f>L44-L41-L54+L57</f>
        <v>0</v>
      </c>
      <c r="M123" s="88"/>
      <c r="N123" s="88"/>
      <c r="O123" s="86">
        <f>O44-O41-O54+O57</f>
        <v>0</v>
      </c>
      <c r="P123" s="86"/>
      <c r="Q123" s="86"/>
      <c r="R123" s="86">
        <f>R44-R41-R54+R57</f>
        <v>0</v>
      </c>
      <c r="S123" s="88"/>
    </row>
    <row r="124" spans="1:19" s="10" customFormat="1" ht="13.8">
      <c r="A124" s="288"/>
      <c r="D124" s="19"/>
      <c r="E124" s="85"/>
      <c r="F124" s="86"/>
      <c r="G124" s="86"/>
      <c r="H124" s="87"/>
      <c r="I124" s="86"/>
      <c r="J124" s="86"/>
      <c r="K124" s="86"/>
      <c r="L124" s="86"/>
      <c r="M124" s="88"/>
      <c r="N124" s="88"/>
      <c r="O124" s="86"/>
      <c r="P124" s="86"/>
      <c r="Q124" s="86"/>
      <c r="R124" s="86"/>
      <c r="S124" s="88"/>
    </row>
    <row r="125" spans="1:19" s="10" customFormat="1" ht="13.8">
      <c r="A125" s="288"/>
      <c r="D125" s="58" t="s">
        <v>83</v>
      </c>
      <c r="E125" s="58"/>
      <c r="F125" s="90">
        <f>F61+F62</f>
        <v>0</v>
      </c>
      <c r="G125" s="90"/>
      <c r="H125" s="91"/>
      <c r="I125" s="90">
        <f>I61+I62</f>
        <v>0</v>
      </c>
      <c r="J125" s="90"/>
      <c r="K125" s="90"/>
      <c r="L125" s="90">
        <f>L61+L62</f>
        <v>0</v>
      </c>
      <c r="M125" s="88"/>
      <c r="N125" s="88"/>
      <c r="O125" s="90">
        <f>O61+O62</f>
        <v>0</v>
      </c>
      <c r="P125" s="90"/>
      <c r="Q125" s="90"/>
      <c r="R125" s="90">
        <f>R61+R62</f>
        <v>0</v>
      </c>
      <c r="S125" s="88"/>
    </row>
    <row r="126" spans="1:19" s="10" customFormat="1" ht="13.8">
      <c r="A126" s="288"/>
      <c r="F126" s="88"/>
      <c r="G126" s="88"/>
      <c r="H126" s="92"/>
      <c r="I126" s="92"/>
      <c r="J126" s="88"/>
      <c r="K126" s="88"/>
      <c r="L126" s="88"/>
      <c r="M126" s="88"/>
      <c r="N126" s="88"/>
      <c r="O126" s="92"/>
      <c r="P126" s="88"/>
      <c r="Q126" s="88"/>
      <c r="R126" s="88"/>
      <c r="S126" s="88"/>
    </row>
    <row r="127" spans="1:19" s="10" customFormat="1" ht="13.8">
      <c r="A127" s="288"/>
      <c r="F127" s="88"/>
      <c r="G127" s="88"/>
      <c r="H127" s="92"/>
      <c r="I127" s="92"/>
      <c r="J127" s="88"/>
      <c r="K127" s="88"/>
      <c r="L127" s="88"/>
      <c r="M127" s="88"/>
      <c r="N127" s="88"/>
      <c r="O127" s="92"/>
      <c r="P127" s="88"/>
      <c r="Q127" s="88"/>
      <c r="R127" s="88"/>
      <c r="S127" s="88"/>
    </row>
    <row r="128" spans="1:19" s="10" customFormat="1" ht="13.8">
      <c r="A128" s="288"/>
      <c r="F128" s="88"/>
      <c r="G128" s="88"/>
      <c r="H128" s="92"/>
      <c r="I128" s="92"/>
      <c r="J128" s="88"/>
      <c r="K128" s="88"/>
      <c r="L128" s="88"/>
      <c r="M128" s="88"/>
      <c r="N128" s="88"/>
      <c r="O128" s="92"/>
      <c r="P128" s="88"/>
      <c r="Q128" s="88"/>
      <c r="R128" s="88"/>
      <c r="S128" s="88"/>
    </row>
    <row r="129" spans="6:19">
      <c r="F129" s="93"/>
      <c r="G129" s="93"/>
      <c r="H129" s="94"/>
      <c r="I129" s="94"/>
      <c r="J129" s="93"/>
      <c r="K129" s="93"/>
      <c r="L129" s="93"/>
      <c r="M129" s="93"/>
      <c r="N129" s="93"/>
      <c r="O129" s="94"/>
      <c r="P129" s="93"/>
      <c r="Q129" s="93"/>
      <c r="R129" s="93"/>
      <c r="S129" s="93"/>
    </row>
  </sheetData>
  <sheetProtection algorithmName="SHA-512" hashValue="HJsooWrI+wBv5XWym82ek30KV2jqqJyLJu7mN91PqwCNZnSG97ct1TdtGV2az/eEbZk7prhxHDd5X7jUPHXCDg==" saltValue="iWb3l87UVc1Ny/yo4LEmxg==" spinCount="100000" sheet="1" formatCells="0" formatColumns="0" formatRows="0" insertColumns="0" insertRows="0" insertHyperlinks="0" deleteColumns="0" deleteRows="0" sort="0" autoFilter="0" pivotTables="0"/>
  <mergeCells count="79">
    <mergeCell ref="P2:S2"/>
    <mergeCell ref="O4:P4"/>
    <mergeCell ref="R4:S4"/>
    <mergeCell ref="O5:P5"/>
    <mergeCell ref="R5:S5"/>
    <mergeCell ref="B52:D52"/>
    <mergeCell ref="B53:D53"/>
    <mergeCell ref="B54:D54"/>
    <mergeCell ref="B55:D55"/>
    <mergeCell ref="B67:D67"/>
    <mergeCell ref="B56:D56"/>
    <mergeCell ref="B57:D57"/>
    <mergeCell ref="B58:D58"/>
    <mergeCell ref="B60:D60"/>
    <mergeCell ref="B61:D61"/>
    <mergeCell ref="B62:D62"/>
    <mergeCell ref="B63:D63"/>
    <mergeCell ref="B64:D64"/>
    <mergeCell ref="B65:D65"/>
    <mergeCell ref="B66:D66"/>
    <mergeCell ref="B79:D79"/>
    <mergeCell ref="B68:D68"/>
    <mergeCell ref="B69:D69"/>
    <mergeCell ref="B70:D70"/>
    <mergeCell ref="B72:D72"/>
    <mergeCell ref="B73:D73"/>
    <mergeCell ref="B75:D75"/>
    <mergeCell ref="B76:D76"/>
    <mergeCell ref="B77:D77"/>
    <mergeCell ref="B48:D48"/>
    <mergeCell ref="B49:D49"/>
    <mergeCell ref="B50:D50"/>
    <mergeCell ref="B47:D47"/>
    <mergeCell ref="B32:D32"/>
    <mergeCell ref="B33:D33"/>
    <mergeCell ref="B34:D34"/>
    <mergeCell ref="B36:D36"/>
    <mergeCell ref="B42:D42"/>
    <mergeCell ref="B43:D43"/>
    <mergeCell ref="B44:D44"/>
    <mergeCell ref="B45:D45"/>
    <mergeCell ref="B46:D46"/>
    <mergeCell ref="B37:D37"/>
    <mergeCell ref="B38:D38"/>
    <mergeCell ref="B39:D39"/>
    <mergeCell ref="B40:D40"/>
    <mergeCell ref="B41:D41"/>
    <mergeCell ref="B27:D27"/>
    <mergeCell ref="B28:D28"/>
    <mergeCell ref="B29:D29"/>
    <mergeCell ref="B30:D30"/>
    <mergeCell ref="B31:D31"/>
    <mergeCell ref="B26:D26"/>
    <mergeCell ref="B15:D15"/>
    <mergeCell ref="B16:D16"/>
    <mergeCell ref="B17:D17"/>
    <mergeCell ref="B18:D18"/>
    <mergeCell ref="B19:D19"/>
    <mergeCell ref="B20:D20"/>
    <mergeCell ref="B21:D21"/>
    <mergeCell ref="B22:D22"/>
    <mergeCell ref="B23:D23"/>
    <mergeCell ref="B24:D24"/>
    <mergeCell ref="B25:D25"/>
    <mergeCell ref="J2:M2"/>
    <mergeCell ref="I5:J5"/>
    <mergeCell ref="B14:D14"/>
    <mergeCell ref="L5:M5"/>
    <mergeCell ref="B7:D7"/>
    <mergeCell ref="B8:D8"/>
    <mergeCell ref="B9:D9"/>
    <mergeCell ref="B10:D10"/>
    <mergeCell ref="B13:D13"/>
    <mergeCell ref="B11:B12"/>
    <mergeCell ref="F4:G4"/>
    <mergeCell ref="I4:J4"/>
    <mergeCell ref="L4:M4"/>
    <mergeCell ref="F5:G5"/>
    <mergeCell ref="C2:G2"/>
  </mergeCells>
  <conditionalFormatting sqref="F70:G70 L70:N70 I70:J70">
    <cfRule type="cellIs" dxfId="276" priority="59" stopIfTrue="1" operator="lessThan">
      <formula>0</formula>
    </cfRule>
  </conditionalFormatting>
  <conditionalFormatting sqref="F60:G60 I60:J60 L60:N60 F69:G69 I69:J69 L69:N69 F50:G50 I50:J50 L50:N50 F58:G58 I58:J58 L58:N58 F77:G77 I77:J77 L77:N77 F47 I47 L47">
    <cfRule type="cellIs" dxfId="275" priority="55" stopIfTrue="1" operator="lessThan">
      <formula>0</formula>
    </cfRule>
  </conditionalFormatting>
  <conditionalFormatting sqref="F75:G75 I75:J75 L75:N75">
    <cfRule type="cellIs" dxfId="274" priority="52" stopIfTrue="1" operator="lessThan">
      <formula>0</formula>
    </cfRule>
  </conditionalFormatting>
  <conditionalFormatting sqref="F56 I56 L56">
    <cfRule type="cellIs" dxfId="273" priority="41" stopIfTrue="1" operator="lessThan">
      <formula>0</formula>
    </cfRule>
  </conditionalFormatting>
  <conditionalFormatting sqref="F5:G5">
    <cfRule type="cellIs" dxfId="272" priority="34" stopIfTrue="1" operator="notEqual">
      <formula>12</formula>
    </cfRule>
  </conditionalFormatting>
  <conditionalFormatting sqref="F4:G4">
    <cfRule type="expression" dxfId="271" priority="32">
      <formula>F5&lt;&gt;12</formula>
    </cfRule>
  </conditionalFormatting>
  <conditionalFormatting sqref="I5:J5 L5:M5">
    <cfRule type="cellIs" dxfId="270" priority="30" stopIfTrue="1" operator="notEqual">
      <formula>12</formula>
    </cfRule>
  </conditionalFormatting>
  <conditionalFormatting sqref="I4">
    <cfRule type="expression" dxfId="269" priority="28">
      <formula>I5&lt;&gt;12</formula>
    </cfRule>
  </conditionalFormatting>
  <conditionalFormatting sqref="L4:M4">
    <cfRule type="expression" dxfId="268" priority="27">
      <formula>L5&lt;&gt;12</formula>
    </cfRule>
  </conditionalFormatting>
  <conditionalFormatting sqref="F12 I12 L12">
    <cfRule type="cellIs" dxfId="267" priority="22" operator="lessThan">
      <formula>0</formula>
    </cfRule>
  </conditionalFormatting>
  <conditionalFormatting sqref="F12">
    <cfRule type="cellIs" dxfId="266" priority="21" operator="equal">
      <formula>0</formula>
    </cfRule>
  </conditionalFormatting>
  <conditionalFormatting sqref="C4">
    <cfRule type="expression" dxfId="265" priority="16">
      <formula>$C$5=0</formula>
    </cfRule>
  </conditionalFormatting>
  <conditionalFormatting sqref="B4 U4">
    <cfRule type="expression" dxfId="264" priority="125">
      <formula>$A$4=1</formula>
    </cfRule>
  </conditionalFormatting>
  <conditionalFormatting sqref="C5">
    <cfRule type="cellIs" dxfId="263" priority="9" operator="equal">
      <formula>0</formula>
    </cfRule>
  </conditionalFormatting>
  <conditionalFormatting sqref="R70:S70 O70:P70">
    <cfRule type="cellIs" dxfId="262" priority="8" stopIfTrue="1" operator="lessThan">
      <formula>0</formula>
    </cfRule>
  </conditionalFormatting>
  <conditionalFormatting sqref="O60:P60 R60:S60 O69:P69 R69:S69 O50:P50 R50:S50 O58:P58 R58:S58 O77:P77 R77:S77 O47 R47">
    <cfRule type="cellIs" dxfId="261" priority="7" stopIfTrue="1" operator="lessThan">
      <formula>0</formula>
    </cfRule>
  </conditionalFormatting>
  <conditionalFormatting sqref="O75:P75 R75:S75">
    <cfRule type="cellIs" dxfId="260" priority="6" stopIfTrue="1" operator="lessThan">
      <formula>0</formula>
    </cfRule>
  </conditionalFormatting>
  <conditionalFormatting sqref="O56 R56">
    <cfRule type="cellIs" dxfId="259" priority="5" stopIfTrue="1" operator="lessThan">
      <formula>0</formula>
    </cfRule>
  </conditionalFormatting>
  <conditionalFormatting sqref="O5:P5 R5:S5">
    <cfRule type="cellIs" dxfId="258" priority="4" stopIfTrue="1" operator="notEqual">
      <formula>12</formula>
    </cfRule>
  </conditionalFormatting>
  <conditionalFormatting sqref="O4">
    <cfRule type="expression" dxfId="257" priority="3">
      <formula>O5&lt;&gt;12</formula>
    </cfRule>
  </conditionalFormatting>
  <conditionalFormatting sqref="R4:S4">
    <cfRule type="expression" dxfId="256" priority="2">
      <formula>R5&lt;&gt;12</formula>
    </cfRule>
  </conditionalFormatting>
  <conditionalFormatting sqref="O12 R12">
    <cfRule type="cellIs" dxfId="255" priority="1" operator="lessThan">
      <formula>0</formula>
    </cfRule>
  </conditionalFormatting>
  <conditionalFormatting sqref="U7:U11 U5">
    <cfRule type="expression" dxfId="254" priority="154">
      <formula>T5=1</formula>
    </cfRule>
  </conditionalFormatting>
  <conditionalFormatting sqref="C2">
    <cfRule type="expression" dxfId="253" priority="155">
      <formula>$T$5=1</formula>
    </cfRule>
  </conditionalFormatting>
  <dataValidations xWindow="358" yWindow="313" count="3">
    <dataValidation allowBlank="1" showInputMessage="1" showErrorMessage="1" prompt="Nom de l'entreprise à renseigner" sqref="B4" xr:uid="{00000000-0002-0000-0000-000000000000}"/>
    <dataValidation type="list" allowBlank="1" showInputMessage="1" showErrorMessage="1" prompt="Activité principale exercée" sqref="C5" xr:uid="{00000000-0002-0000-0000-000001000000}">
      <formula1>"Négoce,Production,Service"</formula1>
    </dataValidation>
    <dataValidation allowBlank="1" showInputMessage="1" showErrorMessage="1" prompt="Activité principale exercée" sqref="C4" xr:uid="{00000000-0002-0000-0000-000002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anchor moveWithCells="1" sizeWithCells="1">
                  <from>
                    <xdr:col>12</xdr:col>
                    <xdr:colOff>0</xdr:colOff>
                    <xdr:row>70</xdr:row>
                    <xdr:rowOff>0</xdr:rowOff>
                  </from>
                  <to>
                    <xdr:col>12</xdr:col>
                    <xdr:colOff>0</xdr:colOff>
                    <xdr:row>70</xdr:row>
                    <xdr:rowOff>0</xdr:rowOff>
                  </to>
                </anchor>
              </controlPr>
            </control>
          </mc:Choice>
        </mc:AlternateContent>
        <mc:AlternateContent xmlns:mc="http://schemas.openxmlformats.org/markup-compatibility/2006">
          <mc:Choice Requires="x14">
            <control shapeId="2050" r:id="rId5" name="Button 2">
              <controlPr defaultSize="0" print="0" autoFill="0" autoPict="0">
                <anchor moveWithCells="1" sizeWithCells="1">
                  <from>
                    <xdr:col>12</xdr:col>
                    <xdr:colOff>0</xdr:colOff>
                    <xdr:row>70</xdr:row>
                    <xdr:rowOff>0</xdr:rowOff>
                  </from>
                  <to>
                    <xdr:col>12</xdr:col>
                    <xdr:colOff>0</xdr:colOff>
                    <xdr:row>70</xdr:row>
                    <xdr:rowOff>0</xdr:rowOff>
                  </to>
                </anchor>
              </controlPr>
            </control>
          </mc:Choice>
        </mc:AlternateContent>
        <mc:AlternateContent xmlns:mc="http://schemas.openxmlformats.org/markup-compatibility/2006">
          <mc:Choice Requires="x14">
            <control shapeId="2051" r:id="rId6" name="Button 3">
              <controlPr defaultSize="0" print="0" autoFill="0" autoPict="0">
                <anchor moveWithCells="1" sizeWithCells="1">
                  <from>
                    <xdr:col>12</xdr:col>
                    <xdr:colOff>0</xdr:colOff>
                    <xdr:row>70</xdr:row>
                    <xdr:rowOff>0</xdr:rowOff>
                  </from>
                  <to>
                    <xdr:col>12</xdr:col>
                    <xdr:colOff>0</xdr:colOff>
                    <xdr:row>70</xdr:row>
                    <xdr:rowOff>0</xdr:rowOff>
                  </to>
                </anchor>
              </controlPr>
            </control>
          </mc:Choice>
        </mc:AlternateContent>
        <mc:AlternateContent xmlns:mc="http://schemas.openxmlformats.org/markup-compatibility/2006">
          <mc:Choice Requires="x14">
            <control shapeId="2052" r:id="rId7" name="Button 4">
              <controlPr defaultSize="0" print="0" autoFill="0" autoPict="0">
                <anchor moveWithCells="1" sizeWithCells="1">
                  <from>
                    <xdr:col>12</xdr:col>
                    <xdr:colOff>0</xdr:colOff>
                    <xdr:row>70</xdr:row>
                    <xdr:rowOff>0</xdr:rowOff>
                  </from>
                  <to>
                    <xdr:col>12</xdr:col>
                    <xdr:colOff>0</xdr:colOff>
                    <xdr:row>70</xdr:row>
                    <xdr:rowOff>0</xdr:rowOff>
                  </to>
                </anchor>
              </controlPr>
            </control>
          </mc:Choice>
        </mc:AlternateContent>
        <mc:AlternateContent xmlns:mc="http://schemas.openxmlformats.org/markup-compatibility/2006">
          <mc:Choice Requires="x14">
            <control shapeId="2054" r:id="rId8" name="Button 6">
              <controlPr defaultSize="0" print="0" autoFill="0" autoPict="0">
                <anchor moveWithCells="1" sizeWithCells="1">
                  <from>
                    <xdr:col>18</xdr:col>
                    <xdr:colOff>0</xdr:colOff>
                    <xdr:row>70</xdr:row>
                    <xdr:rowOff>0</xdr:rowOff>
                  </from>
                  <to>
                    <xdr:col>18</xdr:col>
                    <xdr:colOff>0</xdr:colOff>
                    <xdr:row>70</xdr:row>
                    <xdr:rowOff>0</xdr:rowOff>
                  </to>
                </anchor>
              </controlPr>
            </control>
          </mc:Choice>
        </mc:AlternateContent>
        <mc:AlternateContent xmlns:mc="http://schemas.openxmlformats.org/markup-compatibility/2006">
          <mc:Choice Requires="x14">
            <control shapeId="2055" r:id="rId9" name="Button 7">
              <controlPr defaultSize="0" print="0" autoFill="0" autoPict="0">
                <anchor moveWithCells="1" sizeWithCells="1">
                  <from>
                    <xdr:col>18</xdr:col>
                    <xdr:colOff>0</xdr:colOff>
                    <xdr:row>70</xdr:row>
                    <xdr:rowOff>0</xdr:rowOff>
                  </from>
                  <to>
                    <xdr:col>18</xdr:col>
                    <xdr:colOff>0</xdr:colOff>
                    <xdr:row>70</xdr:row>
                    <xdr:rowOff>0</xdr:rowOff>
                  </to>
                </anchor>
              </controlPr>
            </control>
          </mc:Choice>
        </mc:AlternateContent>
        <mc:AlternateContent xmlns:mc="http://schemas.openxmlformats.org/markup-compatibility/2006">
          <mc:Choice Requires="x14">
            <control shapeId="2056" r:id="rId10" name="Button 8">
              <controlPr defaultSize="0" print="0" autoFill="0" autoPict="0">
                <anchor moveWithCells="1" sizeWithCells="1">
                  <from>
                    <xdr:col>18</xdr:col>
                    <xdr:colOff>0</xdr:colOff>
                    <xdr:row>70</xdr:row>
                    <xdr:rowOff>0</xdr:rowOff>
                  </from>
                  <to>
                    <xdr:col>18</xdr:col>
                    <xdr:colOff>0</xdr:colOff>
                    <xdr:row>70</xdr:row>
                    <xdr:rowOff>0</xdr:rowOff>
                  </to>
                </anchor>
              </controlPr>
            </control>
          </mc:Choice>
        </mc:AlternateContent>
        <mc:AlternateContent xmlns:mc="http://schemas.openxmlformats.org/markup-compatibility/2006">
          <mc:Choice Requires="x14">
            <control shapeId="2057" r:id="rId11" name="Button 9">
              <controlPr defaultSize="0" print="0" autoFill="0" autoPict="0">
                <anchor moveWithCells="1" sizeWithCells="1">
                  <from>
                    <xdr:col>18</xdr:col>
                    <xdr:colOff>0</xdr:colOff>
                    <xdr:row>70</xdr:row>
                    <xdr:rowOff>0</xdr:rowOff>
                  </from>
                  <to>
                    <xdr:col>18</xdr:col>
                    <xdr:colOff>0</xdr:colOff>
                    <xdr:row>70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U43"/>
  <sheetViews>
    <sheetView showGridLines="0" showRowColHeaders="0" workbookViewId="0">
      <selection activeCell="L2" sqref="L2:O2"/>
    </sheetView>
  </sheetViews>
  <sheetFormatPr baseColWidth="10" defaultRowHeight="13.8"/>
  <cols>
    <col min="1" max="1" width="1.6640625" customWidth="1"/>
    <col min="11" max="11" width="1.6640625" style="1" customWidth="1"/>
    <col min="19" max="19" width="8.6640625" customWidth="1"/>
    <col min="20" max="20" width="7.6640625" style="1" customWidth="1"/>
    <col min="21" max="21" width="9.109375" style="1" bestFit="1" customWidth="1"/>
  </cols>
  <sheetData>
    <row r="1" spans="2:21" ht="6" customHeight="1">
      <c r="K1" s="2"/>
      <c r="T1" s="2"/>
      <c r="U1" s="2"/>
    </row>
    <row r="2" spans="2:21" s="2" customFormat="1" ht="20.100000000000001" customHeight="1">
      <c r="B2" s="1224" t="s">
        <v>176</v>
      </c>
      <c r="C2" s="1224"/>
      <c r="D2" s="1224"/>
      <c r="E2" s="1224"/>
      <c r="F2" s="1224"/>
      <c r="G2" s="317">
        <f>ca_5/1000</f>
        <v>0</v>
      </c>
      <c r="H2" s="1270" t="s">
        <v>312</v>
      </c>
      <c r="I2" s="1270"/>
      <c r="J2" s="1270"/>
      <c r="L2" s="1271" t="str">
        <f>IF(S5&gt;0," indiquer le % des achats par condition de réglement"," ")</f>
        <v xml:space="preserve"> indiquer le % des achats par condition de réglement</v>
      </c>
      <c r="M2" s="1271"/>
      <c r="N2" s="1271"/>
      <c r="O2" s="1271"/>
      <c r="P2" s="1270" t="s">
        <v>312</v>
      </c>
      <c r="Q2" s="1270"/>
      <c r="R2" s="1270"/>
    </row>
    <row r="3" spans="2:21" s="2" customFormat="1" ht="20.100000000000001" customHeight="1">
      <c r="B3" s="1225" t="s">
        <v>164</v>
      </c>
      <c r="C3" s="1242" t="s">
        <v>243</v>
      </c>
      <c r="D3" s="1245" t="s">
        <v>177</v>
      </c>
      <c r="E3" s="1248" t="s">
        <v>165</v>
      </c>
      <c r="F3" s="1232"/>
      <c r="G3" s="1232"/>
      <c r="H3" s="1233"/>
      <c r="I3" s="1231" t="s">
        <v>244</v>
      </c>
      <c r="J3" s="1239" t="s">
        <v>167</v>
      </c>
      <c r="K3" s="477"/>
      <c r="L3" s="1221" t="s">
        <v>168</v>
      </c>
      <c r="M3" s="1222"/>
      <c r="N3" s="1222"/>
      <c r="O3" s="1222"/>
      <c r="P3" s="1222"/>
      <c r="Q3" s="1222"/>
      <c r="R3" s="1223"/>
      <c r="S3" s="318" t="s">
        <v>169</v>
      </c>
      <c r="T3" s="399"/>
      <c r="U3" s="250"/>
    </row>
    <row r="4" spans="2:21" s="2" customFormat="1" ht="20.100000000000001" customHeight="1">
      <c r="B4" s="1226"/>
      <c r="C4" s="1243"/>
      <c r="D4" s="1246"/>
      <c r="E4" s="1235"/>
      <c r="F4" s="1235"/>
      <c r="G4" s="1235"/>
      <c r="H4" s="1236"/>
      <c r="I4" s="1237"/>
      <c r="J4" s="1240"/>
      <c r="K4" s="477"/>
      <c r="L4" s="469" t="s">
        <v>170</v>
      </c>
      <c r="M4" s="319" t="s">
        <v>171</v>
      </c>
      <c r="N4" s="319" t="s">
        <v>172</v>
      </c>
      <c r="O4" s="319" t="s">
        <v>173</v>
      </c>
      <c r="P4" s="319" t="s">
        <v>174</v>
      </c>
      <c r="Q4" s="319" t="s">
        <v>175</v>
      </c>
      <c r="R4" s="320" t="s">
        <v>0</v>
      </c>
      <c r="S4" s="318"/>
      <c r="T4" s="399"/>
      <c r="U4" s="250"/>
    </row>
    <row r="5" spans="2:21" s="2" customFormat="1" ht="20.100000000000001" customHeight="1">
      <c r="B5" s="1227"/>
      <c r="C5" s="1244"/>
      <c r="D5" s="1247"/>
      <c r="E5" s="846">
        <f>tx_tva_exo</f>
        <v>0</v>
      </c>
      <c r="F5" s="847">
        <f>tx_tva_réduit</f>
        <v>5.5E-2</v>
      </c>
      <c r="G5" s="847">
        <f>tx_tva_intermédiaire</f>
        <v>0.1</v>
      </c>
      <c r="H5" s="848">
        <f>tx_tva_normal</f>
        <v>0.2</v>
      </c>
      <c r="I5" s="1238"/>
      <c r="J5" s="1241"/>
      <c r="K5" s="478"/>
      <c r="L5" s="470"/>
      <c r="M5" s="321"/>
      <c r="N5" s="321"/>
      <c r="O5" s="321"/>
      <c r="P5" s="321"/>
      <c r="Q5" s="321"/>
      <c r="R5" s="322">
        <f t="shared" ref="R5:R23" si="0">SUM(L5:Q5)</f>
        <v>0</v>
      </c>
      <c r="S5" s="323">
        <f>100%-R5</f>
        <v>1</v>
      </c>
      <c r="T5" s="1272" t="str">
        <f>IF(R5&gt;100%,"erreur"," ")</f>
        <v xml:space="preserve"> </v>
      </c>
      <c r="U5" s="250"/>
    </row>
    <row r="6" spans="2:21" s="2" customFormat="1" ht="20.100000000000001" customHeight="1">
      <c r="B6" s="709">
        <v>1</v>
      </c>
      <c r="C6" s="358">
        <f>'Chiffres d''affaires mensuels'!C5</f>
        <v>0</v>
      </c>
      <c r="D6" s="324"/>
      <c r="E6" s="325"/>
      <c r="F6" s="326"/>
      <c r="G6" s="326"/>
      <c r="H6" s="359">
        <f t="shared" ref="H6:H17" si="1">D6-E6-F6-G6</f>
        <v>0</v>
      </c>
      <c r="I6" s="328">
        <f>(E6*$E$5)+(F6*$F$5)+(G6*$G$5)+(H6*$H$5)</f>
        <v>0</v>
      </c>
      <c r="J6" s="331">
        <f>(E6*(1+$E$5))+(F6*(1+$F$5))+(G6*(1+$G$5))+(H6*(1+$H$5))</f>
        <v>0</v>
      </c>
      <c r="K6" s="489">
        <f>J6/1000</f>
        <v>0</v>
      </c>
      <c r="L6" s="471">
        <f t="shared" ref="L6:L17" si="2">J6*$L$5</f>
        <v>0</v>
      </c>
      <c r="M6" s="329"/>
      <c r="N6" s="329"/>
      <c r="O6" s="329"/>
      <c r="P6" s="329"/>
      <c r="Q6" s="330"/>
      <c r="R6" s="331">
        <f t="shared" si="0"/>
        <v>0</v>
      </c>
      <c r="S6" s="332">
        <f t="shared" ref="S6:S17" si="3">(L6+M7+N8+O9+P10+Q11)-J6</f>
        <v>0</v>
      </c>
      <c r="T6" s="489">
        <f>R6/1000</f>
        <v>0</v>
      </c>
      <c r="U6" s="843">
        <f>B6</f>
        <v>1</v>
      </c>
    </row>
    <row r="7" spans="2:21" s="2" customFormat="1" ht="20.100000000000001" customHeight="1">
      <c r="B7" s="709">
        <v>2</v>
      </c>
      <c r="C7" s="360">
        <f>'Chiffres d''affaires mensuels'!C6</f>
        <v>0</v>
      </c>
      <c r="D7" s="333"/>
      <c r="E7" s="334"/>
      <c r="F7" s="335"/>
      <c r="G7" s="335"/>
      <c r="H7" s="361">
        <f t="shared" si="1"/>
        <v>0</v>
      </c>
      <c r="I7" s="337">
        <f t="shared" ref="I7:I17" si="4">(E7*$E$5)+(F7*$F$5)+(G7*$G$5)+(H7*$H$5)</f>
        <v>0</v>
      </c>
      <c r="J7" s="342">
        <f t="shared" ref="J7:J17" si="5">(E7*(1+$E$5))+(F7*(1+$F$5))+(G7*(1+$G$5))+(H7*(1+$H$5))</f>
        <v>0</v>
      </c>
      <c r="K7" s="489">
        <f>J7/1000</f>
        <v>0</v>
      </c>
      <c r="L7" s="472">
        <f t="shared" si="2"/>
        <v>0</v>
      </c>
      <c r="M7" s="339">
        <f t="shared" ref="M7:M18" si="6">J6*$M$5</f>
        <v>0</v>
      </c>
      <c r="N7" s="340"/>
      <c r="O7" s="340"/>
      <c r="P7" s="340"/>
      <c r="Q7" s="341"/>
      <c r="R7" s="342">
        <f t="shared" si="0"/>
        <v>0</v>
      </c>
      <c r="S7" s="332">
        <f t="shared" si="3"/>
        <v>0</v>
      </c>
      <c r="T7" s="489">
        <f t="shared" ref="T7:T22" si="7">R7/1000</f>
        <v>0</v>
      </c>
      <c r="U7" s="843">
        <f t="shared" ref="U7:U17" si="8">B7</f>
        <v>2</v>
      </c>
    </row>
    <row r="8" spans="2:21" s="2" customFormat="1" ht="20.100000000000001" customHeight="1">
      <c r="B8" s="709">
        <v>3</v>
      </c>
      <c r="C8" s="360">
        <f>'Chiffres d''affaires mensuels'!C7</f>
        <v>0</v>
      </c>
      <c r="D8" s="333"/>
      <c r="E8" s="334"/>
      <c r="F8" s="335"/>
      <c r="G8" s="335"/>
      <c r="H8" s="361">
        <f t="shared" si="1"/>
        <v>0</v>
      </c>
      <c r="I8" s="337">
        <f t="shared" si="4"/>
        <v>0</v>
      </c>
      <c r="J8" s="342">
        <f t="shared" si="5"/>
        <v>0</v>
      </c>
      <c r="K8" s="489">
        <f t="shared" ref="K8:K17" si="9">J8/1000</f>
        <v>0</v>
      </c>
      <c r="L8" s="472">
        <f t="shared" si="2"/>
        <v>0</v>
      </c>
      <c r="M8" s="339">
        <f t="shared" si="6"/>
        <v>0</v>
      </c>
      <c r="N8" s="339">
        <f t="shared" ref="N8:N19" si="10">J6*$N$5</f>
        <v>0</v>
      </c>
      <c r="O8" s="340"/>
      <c r="P8" s="340"/>
      <c r="Q8" s="341"/>
      <c r="R8" s="342">
        <f t="shared" si="0"/>
        <v>0</v>
      </c>
      <c r="S8" s="332">
        <f t="shared" si="3"/>
        <v>0</v>
      </c>
      <c r="T8" s="489">
        <f t="shared" si="7"/>
        <v>0</v>
      </c>
      <c r="U8" s="843">
        <f t="shared" si="8"/>
        <v>3</v>
      </c>
    </row>
    <row r="9" spans="2:21" s="2" customFormat="1" ht="20.100000000000001" customHeight="1">
      <c r="B9" s="709">
        <v>4</v>
      </c>
      <c r="C9" s="360">
        <f>'Chiffres d''affaires mensuels'!C8</f>
        <v>0</v>
      </c>
      <c r="D9" s="333"/>
      <c r="E9" s="334"/>
      <c r="F9" s="335"/>
      <c r="G9" s="335"/>
      <c r="H9" s="361">
        <f t="shared" si="1"/>
        <v>0</v>
      </c>
      <c r="I9" s="337">
        <f t="shared" si="4"/>
        <v>0</v>
      </c>
      <c r="J9" s="342">
        <f t="shared" si="5"/>
        <v>0</v>
      </c>
      <c r="K9" s="489">
        <f t="shared" si="9"/>
        <v>0</v>
      </c>
      <c r="L9" s="472">
        <f t="shared" si="2"/>
        <v>0</v>
      </c>
      <c r="M9" s="339">
        <f t="shared" si="6"/>
        <v>0</v>
      </c>
      <c r="N9" s="339">
        <f t="shared" si="10"/>
        <v>0</v>
      </c>
      <c r="O9" s="339">
        <f t="shared" ref="O9:O20" si="11">J6*$O$5</f>
        <v>0</v>
      </c>
      <c r="P9" s="340"/>
      <c r="Q9" s="341"/>
      <c r="R9" s="342">
        <f t="shared" si="0"/>
        <v>0</v>
      </c>
      <c r="S9" s="332">
        <f t="shared" si="3"/>
        <v>0</v>
      </c>
      <c r="T9" s="489">
        <f t="shared" si="7"/>
        <v>0</v>
      </c>
      <c r="U9" s="843">
        <f t="shared" si="8"/>
        <v>4</v>
      </c>
    </row>
    <row r="10" spans="2:21" s="2" customFormat="1" ht="20.100000000000001" customHeight="1">
      <c r="B10" s="709">
        <v>5</v>
      </c>
      <c r="C10" s="360">
        <f>'Chiffres d''affaires mensuels'!C9</f>
        <v>0</v>
      </c>
      <c r="D10" s="333"/>
      <c r="E10" s="334"/>
      <c r="F10" s="335"/>
      <c r="G10" s="335"/>
      <c r="H10" s="361">
        <f t="shared" si="1"/>
        <v>0</v>
      </c>
      <c r="I10" s="337">
        <f t="shared" si="4"/>
        <v>0</v>
      </c>
      <c r="J10" s="342">
        <f t="shared" si="5"/>
        <v>0</v>
      </c>
      <c r="K10" s="489">
        <f t="shared" si="9"/>
        <v>0</v>
      </c>
      <c r="L10" s="472">
        <f t="shared" si="2"/>
        <v>0</v>
      </c>
      <c r="M10" s="339">
        <f t="shared" si="6"/>
        <v>0</v>
      </c>
      <c r="N10" s="339">
        <f t="shared" si="10"/>
        <v>0</v>
      </c>
      <c r="O10" s="339">
        <f t="shared" si="11"/>
        <v>0</v>
      </c>
      <c r="P10" s="339">
        <f t="shared" ref="P10:P21" si="12">J6*$P$5</f>
        <v>0</v>
      </c>
      <c r="Q10" s="341"/>
      <c r="R10" s="342">
        <f t="shared" si="0"/>
        <v>0</v>
      </c>
      <c r="S10" s="332">
        <f t="shared" si="3"/>
        <v>0</v>
      </c>
      <c r="T10" s="489">
        <f t="shared" si="7"/>
        <v>0</v>
      </c>
      <c r="U10" s="843">
        <f t="shared" si="8"/>
        <v>5</v>
      </c>
    </row>
    <row r="11" spans="2:21" s="2" customFormat="1" ht="20.100000000000001" customHeight="1">
      <c r="B11" s="709">
        <v>6</v>
      </c>
      <c r="C11" s="360">
        <f>'Chiffres d''affaires mensuels'!C10</f>
        <v>0</v>
      </c>
      <c r="D11" s="343"/>
      <c r="E11" s="334"/>
      <c r="F11" s="335"/>
      <c r="G11" s="335"/>
      <c r="H11" s="361">
        <f t="shared" si="1"/>
        <v>0</v>
      </c>
      <c r="I11" s="337">
        <f t="shared" si="4"/>
        <v>0</v>
      </c>
      <c r="J11" s="342">
        <f t="shared" si="5"/>
        <v>0</v>
      </c>
      <c r="K11" s="489">
        <f t="shared" si="9"/>
        <v>0</v>
      </c>
      <c r="L11" s="472">
        <f t="shared" si="2"/>
        <v>0</v>
      </c>
      <c r="M11" s="339">
        <f t="shared" si="6"/>
        <v>0</v>
      </c>
      <c r="N11" s="339">
        <f t="shared" si="10"/>
        <v>0</v>
      </c>
      <c r="O11" s="339">
        <f t="shared" si="11"/>
        <v>0</v>
      </c>
      <c r="P11" s="339">
        <f t="shared" si="12"/>
        <v>0</v>
      </c>
      <c r="Q11" s="338">
        <f t="shared" ref="Q11:Q22" si="13">J6*$Q$5</f>
        <v>0</v>
      </c>
      <c r="R11" s="342">
        <f t="shared" si="0"/>
        <v>0</v>
      </c>
      <c r="S11" s="332">
        <f t="shared" si="3"/>
        <v>0</v>
      </c>
      <c r="T11" s="489">
        <f t="shared" si="7"/>
        <v>0</v>
      </c>
      <c r="U11" s="843">
        <f t="shared" si="8"/>
        <v>6</v>
      </c>
    </row>
    <row r="12" spans="2:21" s="2" customFormat="1" ht="20.100000000000001" customHeight="1">
      <c r="B12" s="709">
        <v>7</v>
      </c>
      <c r="C12" s="360">
        <f>'Chiffres d''affaires mensuels'!C11</f>
        <v>0</v>
      </c>
      <c r="D12" s="333"/>
      <c r="E12" s="334"/>
      <c r="F12" s="335"/>
      <c r="G12" s="335"/>
      <c r="H12" s="361">
        <f t="shared" si="1"/>
        <v>0</v>
      </c>
      <c r="I12" s="337">
        <f t="shared" si="4"/>
        <v>0</v>
      </c>
      <c r="J12" s="342">
        <f t="shared" si="5"/>
        <v>0</v>
      </c>
      <c r="K12" s="489">
        <f t="shared" si="9"/>
        <v>0</v>
      </c>
      <c r="L12" s="472">
        <f t="shared" si="2"/>
        <v>0</v>
      </c>
      <c r="M12" s="339">
        <f t="shared" si="6"/>
        <v>0</v>
      </c>
      <c r="N12" s="339">
        <f t="shared" si="10"/>
        <v>0</v>
      </c>
      <c r="O12" s="339">
        <f t="shared" si="11"/>
        <v>0</v>
      </c>
      <c r="P12" s="339">
        <f t="shared" si="12"/>
        <v>0</v>
      </c>
      <c r="Q12" s="338">
        <f t="shared" si="13"/>
        <v>0</v>
      </c>
      <c r="R12" s="342">
        <f t="shared" si="0"/>
        <v>0</v>
      </c>
      <c r="S12" s="332">
        <f t="shared" si="3"/>
        <v>0</v>
      </c>
      <c r="T12" s="489">
        <f t="shared" si="7"/>
        <v>0</v>
      </c>
      <c r="U12" s="843">
        <f t="shared" si="8"/>
        <v>7</v>
      </c>
    </row>
    <row r="13" spans="2:21" s="2" customFormat="1" ht="20.100000000000001" customHeight="1">
      <c r="B13" s="709">
        <v>8</v>
      </c>
      <c r="C13" s="360">
        <f>'Chiffres d''affaires mensuels'!C12</f>
        <v>0</v>
      </c>
      <c r="D13" s="333"/>
      <c r="E13" s="334"/>
      <c r="F13" s="335"/>
      <c r="G13" s="335"/>
      <c r="H13" s="361">
        <f t="shared" si="1"/>
        <v>0</v>
      </c>
      <c r="I13" s="337">
        <f t="shared" si="4"/>
        <v>0</v>
      </c>
      <c r="J13" s="342">
        <f t="shared" si="5"/>
        <v>0</v>
      </c>
      <c r="K13" s="489">
        <f t="shared" si="9"/>
        <v>0</v>
      </c>
      <c r="L13" s="472">
        <f t="shared" si="2"/>
        <v>0</v>
      </c>
      <c r="M13" s="339">
        <f t="shared" si="6"/>
        <v>0</v>
      </c>
      <c r="N13" s="339">
        <f t="shared" si="10"/>
        <v>0</v>
      </c>
      <c r="O13" s="339">
        <f t="shared" si="11"/>
        <v>0</v>
      </c>
      <c r="P13" s="339">
        <f t="shared" si="12"/>
        <v>0</v>
      </c>
      <c r="Q13" s="338">
        <f t="shared" si="13"/>
        <v>0</v>
      </c>
      <c r="R13" s="342">
        <f t="shared" si="0"/>
        <v>0</v>
      </c>
      <c r="S13" s="332">
        <f t="shared" si="3"/>
        <v>0</v>
      </c>
      <c r="T13" s="489">
        <f t="shared" si="7"/>
        <v>0</v>
      </c>
      <c r="U13" s="843">
        <f t="shared" si="8"/>
        <v>8</v>
      </c>
    </row>
    <row r="14" spans="2:21" s="1" customFormat="1" ht="20.100000000000001" customHeight="1">
      <c r="B14" s="709">
        <v>9</v>
      </c>
      <c r="C14" s="360">
        <f>'Chiffres d''affaires mensuels'!C13</f>
        <v>0</v>
      </c>
      <c r="D14" s="333"/>
      <c r="E14" s="334"/>
      <c r="F14" s="335"/>
      <c r="G14" s="335"/>
      <c r="H14" s="361">
        <f t="shared" si="1"/>
        <v>0</v>
      </c>
      <c r="I14" s="337">
        <f t="shared" si="4"/>
        <v>0</v>
      </c>
      <c r="J14" s="342">
        <f t="shared" si="5"/>
        <v>0</v>
      </c>
      <c r="K14" s="489">
        <f t="shared" si="9"/>
        <v>0</v>
      </c>
      <c r="L14" s="472">
        <f t="shared" si="2"/>
        <v>0</v>
      </c>
      <c r="M14" s="339">
        <f t="shared" si="6"/>
        <v>0</v>
      </c>
      <c r="N14" s="339">
        <f t="shared" si="10"/>
        <v>0</v>
      </c>
      <c r="O14" s="339">
        <f t="shared" si="11"/>
        <v>0</v>
      </c>
      <c r="P14" s="339">
        <f t="shared" si="12"/>
        <v>0</v>
      </c>
      <c r="Q14" s="338">
        <f t="shared" si="13"/>
        <v>0</v>
      </c>
      <c r="R14" s="342">
        <f t="shared" si="0"/>
        <v>0</v>
      </c>
      <c r="S14" s="332">
        <f t="shared" si="3"/>
        <v>0</v>
      </c>
      <c r="T14" s="489">
        <f t="shared" si="7"/>
        <v>0</v>
      </c>
      <c r="U14" s="843">
        <f t="shared" si="8"/>
        <v>9</v>
      </c>
    </row>
    <row r="15" spans="2:21" s="1" customFormat="1" ht="20.100000000000001" customHeight="1">
      <c r="B15" s="709">
        <v>10</v>
      </c>
      <c r="C15" s="360">
        <f>'Chiffres d''affaires mensuels'!C14</f>
        <v>0</v>
      </c>
      <c r="D15" s="333"/>
      <c r="E15" s="334"/>
      <c r="F15" s="335"/>
      <c r="G15" s="335"/>
      <c r="H15" s="361">
        <f t="shared" si="1"/>
        <v>0</v>
      </c>
      <c r="I15" s="337">
        <f t="shared" si="4"/>
        <v>0</v>
      </c>
      <c r="J15" s="342">
        <f t="shared" si="5"/>
        <v>0</v>
      </c>
      <c r="K15" s="489">
        <f t="shared" si="9"/>
        <v>0</v>
      </c>
      <c r="L15" s="472">
        <f t="shared" si="2"/>
        <v>0</v>
      </c>
      <c r="M15" s="339">
        <f t="shared" si="6"/>
        <v>0</v>
      </c>
      <c r="N15" s="339">
        <f t="shared" si="10"/>
        <v>0</v>
      </c>
      <c r="O15" s="339">
        <f t="shared" si="11"/>
        <v>0</v>
      </c>
      <c r="P15" s="339">
        <f t="shared" si="12"/>
        <v>0</v>
      </c>
      <c r="Q15" s="338">
        <f t="shared" si="13"/>
        <v>0</v>
      </c>
      <c r="R15" s="342">
        <f t="shared" si="0"/>
        <v>0</v>
      </c>
      <c r="S15" s="332">
        <f t="shared" si="3"/>
        <v>0</v>
      </c>
      <c r="T15" s="489">
        <f t="shared" si="7"/>
        <v>0</v>
      </c>
      <c r="U15" s="843">
        <f t="shared" si="8"/>
        <v>10</v>
      </c>
    </row>
    <row r="16" spans="2:21" s="1" customFormat="1" ht="20.100000000000001" customHeight="1">
      <c r="B16" s="709">
        <v>11</v>
      </c>
      <c r="C16" s="360">
        <f>'Chiffres d''affaires mensuels'!C15</f>
        <v>0</v>
      </c>
      <c r="D16" s="333"/>
      <c r="E16" s="334"/>
      <c r="F16" s="335"/>
      <c r="G16" s="335"/>
      <c r="H16" s="361">
        <f t="shared" si="1"/>
        <v>0</v>
      </c>
      <c r="I16" s="337">
        <f t="shared" si="4"/>
        <v>0</v>
      </c>
      <c r="J16" s="342">
        <f t="shared" si="5"/>
        <v>0</v>
      </c>
      <c r="K16" s="489">
        <f t="shared" si="9"/>
        <v>0</v>
      </c>
      <c r="L16" s="472">
        <f t="shared" si="2"/>
        <v>0</v>
      </c>
      <c r="M16" s="339">
        <f t="shared" si="6"/>
        <v>0</v>
      </c>
      <c r="N16" s="339">
        <f t="shared" si="10"/>
        <v>0</v>
      </c>
      <c r="O16" s="339">
        <f t="shared" si="11"/>
        <v>0</v>
      </c>
      <c r="P16" s="339">
        <f t="shared" si="12"/>
        <v>0</v>
      </c>
      <c r="Q16" s="338">
        <f t="shared" si="13"/>
        <v>0</v>
      </c>
      <c r="R16" s="342">
        <f t="shared" si="0"/>
        <v>0</v>
      </c>
      <c r="S16" s="332">
        <f t="shared" si="3"/>
        <v>0</v>
      </c>
      <c r="T16" s="489">
        <f t="shared" si="7"/>
        <v>0</v>
      </c>
      <c r="U16" s="843">
        <f t="shared" si="8"/>
        <v>11</v>
      </c>
    </row>
    <row r="17" spans="2:21" s="1" customFormat="1" ht="20.100000000000001" customHeight="1">
      <c r="B17" s="709">
        <v>12</v>
      </c>
      <c r="C17" s="358">
        <f>'Chiffres d''affaires mensuels'!C16</f>
        <v>0</v>
      </c>
      <c r="D17" s="324"/>
      <c r="E17" s="325"/>
      <c r="F17" s="326"/>
      <c r="G17" s="326"/>
      <c r="H17" s="359">
        <f t="shared" si="1"/>
        <v>0</v>
      </c>
      <c r="I17" s="328">
        <f t="shared" si="4"/>
        <v>0</v>
      </c>
      <c r="J17" s="331">
        <f t="shared" si="5"/>
        <v>0</v>
      </c>
      <c r="K17" s="489">
        <f t="shared" si="9"/>
        <v>0</v>
      </c>
      <c r="L17" s="471">
        <f t="shared" si="2"/>
        <v>0</v>
      </c>
      <c r="M17" s="344">
        <f t="shared" si="6"/>
        <v>0</v>
      </c>
      <c r="N17" s="344">
        <f t="shared" si="10"/>
        <v>0</v>
      </c>
      <c r="O17" s="344">
        <f t="shared" si="11"/>
        <v>0</v>
      </c>
      <c r="P17" s="344">
        <f t="shared" si="12"/>
        <v>0</v>
      </c>
      <c r="Q17" s="257">
        <f t="shared" si="13"/>
        <v>0</v>
      </c>
      <c r="R17" s="331">
        <f t="shared" si="0"/>
        <v>0</v>
      </c>
      <c r="S17" s="332">
        <f t="shared" si="3"/>
        <v>0</v>
      </c>
      <c r="T17" s="489">
        <f t="shared" si="7"/>
        <v>0</v>
      </c>
      <c r="U17" s="843">
        <f t="shared" si="8"/>
        <v>12</v>
      </c>
    </row>
    <row r="18" spans="2:21" s="1" customFormat="1" ht="20.100000000000001" customHeight="1">
      <c r="B18" s="345" t="s">
        <v>0</v>
      </c>
      <c r="C18" s="346">
        <f t="shared" ref="C18:J18" si="14">SUM(C6:C17)</f>
        <v>0</v>
      </c>
      <c r="D18" s="346">
        <f t="shared" si="14"/>
        <v>0</v>
      </c>
      <c r="E18" s="347">
        <f t="shared" si="14"/>
        <v>0</v>
      </c>
      <c r="F18" s="348">
        <f t="shared" si="14"/>
        <v>0</v>
      </c>
      <c r="G18" s="348">
        <f t="shared" si="14"/>
        <v>0</v>
      </c>
      <c r="H18" s="347">
        <f t="shared" si="14"/>
        <v>0</v>
      </c>
      <c r="I18" s="349">
        <f t="shared" si="14"/>
        <v>0</v>
      </c>
      <c r="J18" s="365">
        <f t="shared" si="14"/>
        <v>0</v>
      </c>
      <c r="K18" s="479"/>
      <c r="L18" s="481"/>
      <c r="M18" s="339">
        <f t="shared" si="6"/>
        <v>0</v>
      </c>
      <c r="N18" s="339">
        <f t="shared" si="10"/>
        <v>0</v>
      </c>
      <c r="O18" s="339">
        <f t="shared" si="11"/>
        <v>0</v>
      </c>
      <c r="P18" s="339">
        <f t="shared" si="12"/>
        <v>0</v>
      </c>
      <c r="Q18" s="362">
        <f t="shared" si="13"/>
        <v>0</v>
      </c>
      <c r="R18" s="342">
        <f t="shared" si="0"/>
        <v>0</v>
      </c>
      <c r="T18" s="489">
        <f t="shared" si="7"/>
        <v>0</v>
      </c>
      <c r="U18" s="843" t="str">
        <f>IF(R18=0," ",U17+1)</f>
        <v xml:space="preserve"> </v>
      </c>
    </row>
    <row r="19" spans="2:21" s="1" customFormat="1" ht="20.100000000000001" customHeight="1">
      <c r="K19" s="2"/>
      <c r="L19" s="482"/>
      <c r="M19" s="350"/>
      <c r="N19" s="339">
        <f t="shared" si="10"/>
        <v>0</v>
      </c>
      <c r="O19" s="339">
        <f t="shared" si="11"/>
        <v>0</v>
      </c>
      <c r="P19" s="339">
        <f t="shared" si="12"/>
        <v>0</v>
      </c>
      <c r="Q19" s="362">
        <f t="shared" si="13"/>
        <v>0</v>
      </c>
      <c r="R19" s="342">
        <f t="shared" si="0"/>
        <v>0</v>
      </c>
      <c r="T19" s="489">
        <f t="shared" si="7"/>
        <v>0</v>
      </c>
      <c r="U19" s="843" t="str">
        <f t="shared" ref="U19:U22" si="15">IF(R19=0," ",U18+1)</f>
        <v xml:space="preserve"> </v>
      </c>
    </row>
    <row r="20" spans="2:21" s="1" customFormat="1" ht="20.100000000000001" customHeight="1">
      <c r="K20" s="2"/>
      <c r="L20" s="482"/>
      <c r="M20" s="350"/>
      <c r="N20" s="340"/>
      <c r="O20" s="339">
        <f t="shared" si="11"/>
        <v>0</v>
      </c>
      <c r="P20" s="339">
        <f t="shared" si="12"/>
        <v>0</v>
      </c>
      <c r="Q20" s="362">
        <f t="shared" si="13"/>
        <v>0</v>
      </c>
      <c r="R20" s="342">
        <f t="shared" si="0"/>
        <v>0</v>
      </c>
      <c r="T20" s="489">
        <f t="shared" si="7"/>
        <v>0</v>
      </c>
      <c r="U20" s="843" t="str">
        <f t="shared" si="15"/>
        <v xml:space="preserve"> </v>
      </c>
    </row>
    <row r="21" spans="2:21" s="1" customFormat="1" ht="20.100000000000001" customHeight="1">
      <c r="K21" s="2"/>
      <c r="L21" s="482"/>
      <c r="M21" s="350"/>
      <c r="N21" s="350"/>
      <c r="O21" s="340"/>
      <c r="P21" s="339">
        <f t="shared" si="12"/>
        <v>0</v>
      </c>
      <c r="Q21" s="362">
        <f t="shared" si="13"/>
        <v>0</v>
      </c>
      <c r="R21" s="342">
        <f t="shared" si="0"/>
        <v>0</v>
      </c>
      <c r="T21" s="489">
        <f t="shared" si="7"/>
        <v>0</v>
      </c>
      <c r="U21" s="843" t="str">
        <f t="shared" si="15"/>
        <v xml:space="preserve"> </v>
      </c>
    </row>
    <row r="22" spans="2:21" s="1" customFormat="1" ht="20.100000000000001" customHeight="1">
      <c r="K22" s="2"/>
      <c r="L22" s="483"/>
      <c r="M22" s="363"/>
      <c r="N22" s="363"/>
      <c r="O22" s="329"/>
      <c r="P22" s="329"/>
      <c r="Q22" s="257">
        <f t="shared" si="13"/>
        <v>0</v>
      </c>
      <c r="R22" s="364">
        <f t="shared" si="0"/>
        <v>0</v>
      </c>
      <c r="T22" s="489">
        <f t="shared" si="7"/>
        <v>0</v>
      </c>
      <c r="U22" s="843" t="str">
        <f t="shared" si="15"/>
        <v xml:space="preserve"> </v>
      </c>
    </row>
    <row r="23" spans="2:21" s="1" customFormat="1" ht="20.100000000000001" customHeight="1">
      <c r="K23" s="2"/>
      <c r="L23" s="484">
        <f t="shared" ref="L23:Q23" si="16">SUM(L6:L22)</f>
        <v>0</v>
      </c>
      <c r="M23" s="348">
        <f t="shared" si="16"/>
        <v>0</v>
      </c>
      <c r="N23" s="348">
        <f t="shared" si="16"/>
        <v>0</v>
      </c>
      <c r="O23" s="348">
        <f t="shared" si="16"/>
        <v>0</v>
      </c>
      <c r="P23" s="348">
        <f t="shared" si="16"/>
        <v>0</v>
      </c>
      <c r="Q23" s="347">
        <f t="shared" si="16"/>
        <v>0</v>
      </c>
      <c r="R23" s="365">
        <f t="shared" si="0"/>
        <v>0</v>
      </c>
      <c r="S23" s="452"/>
      <c r="T23" s="2"/>
      <c r="U23" s="2"/>
    </row>
    <row r="24" spans="2:21" ht="6" customHeight="1"/>
    <row r="43" ht="6" customHeight="1"/>
  </sheetData>
  <sheetProtection algorithmName="SHA-512" hashValue="M11p6RPxlwvG+XsU2BQFlc8h/T/6QVgGZ27GVYJ61hT9S7MWzgt3Z9247ITOTaD82rCaFlw3gdBeT+HEqIeuwg==" saltValue="GQpQxvmml7uFoNRMyjB6+w==" spinCount="100000" sheet="1" formatCells="0" formatColumns="0" formatRows="0" insertColumns="0" insertRows="0" insertHyperlinks="0" deleteColumns="0" deleteRows="0" sort="0" autoFilter="0" pivotTables="0"/>
  <mergeCells count="11">
    <mergeCell ref="J3:J5"/>
    <mergeCell ref="L3:R3"/>
    <mergeCell ref="B2:F2"/>
    <mergeCell ref="B3:B5"/>
    <mergeCell ref="C3:C5"/>
    <mergeCell ref="D3:D5"/>
    <mergeCell ref="E3:H4"/>
    <mergeCell ref="I3:I5"/>
    <mergeCell ref="H2:J2"/>
    <mergeCell ref="P2:R2"/>
    <mergeCell ref="L2:O2"/>
  </mergeCells>
  <conditionalFormatting sqref="S6:S17">
    <cfRule type="cellIs" dxfId="12" priority="6" operator="equal">
      <formula>0</formula>
    </cfRule>
  </conditionalFormatting>
  <conditionalFormatting sqref="B6 B8 B10 B12 B14 B16">
    <cfRule type="cellIs" dxfId="11" priority="5" operator="equal">
      <formula>0</formula>
    </cfRule>
  </conditionalFormatting>
  <conditionalFormatting sqref="B7 B9 B11 B13 B15 B17">
    <cfRule type="cellIs" dxfId="10" priority="4" operator="equal">
      <formula>0</formula>
    </cfRule>
  </conditionalFormatting>
  <conditionalFormatting sqref="S5">
    <cfRule type="cellIs" dxfId="1" priority="1" operator="equal">
      <formula>0</formula>
    </cfRule>
    <cfRule type="cellIs" dxfId="0" priority="2" operator="lessThan">
      <formula>0</formula>
    </cfRule>
  </conditionalFormatting>
  <dataValidations count="1">
    <dataValidation allowBlank="1" showInputMessage="1" showErrorMessage="1" prompt="taux modifiables_x000a_" sqref="L5:Q5" xr:uid="{00000000-0002-0000-0900-000000000000}"/>
  </dataValidations>
  <pageMargins left="0" right="0" top="0" bottom="0" header="0" footer="0"/>
  <pageSetup paperSize="9"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191"/>
  <sheetViews>
    <sheetView showGridLines="0" showRowColHeaders="0" workbookViewId="0">
      <pane ySplit="2" topLeftCell="A3" activePane="bottomLeft" state="frozenSplit"/>
      <selection pane="bottomLeft" activeCell="B2" sqref="B2"/>
    </sheetView>
  </sheetViews>
  <sheetFormatPr baseColWidth="10" defaultColWidth="11.44140625" defaultRowHeight="13.8"/>
  <cols>
    <col min="1" max="1" width="1.6640625" style="366" customWidth="1"/>
    <col min="2" max="2" width="33.44140625" style="366" bestFit="1" customWidth="1"/>
    <col min="3" max="14" width="10.6640625" style="366" customWidth="1"/>
    <col min="15" max="15" width="11.44140625" style="367"/>
    <col min="16" max="16" width="9.6640625" style="366" customWidth="1"/>
    <col min="17" max="17" width="8.6640625" style="366" customWidth="1"/>
    <col min="18" max="16384" width="11.44140625" style="366"/>
  </cols>
  <sheetData>
    <row r="1" spans="2:16" ht="6" customHeight="1"/>
    <row r="2" spans="2:16" s="83" customFormat="1" ht="20.100000000000001" customHeight="1">
      <c r="B2" s="845" t="s">
        <v>178</v>
      </c>
      <c r="C2" s="710">
        <v>1</v>
      </c>
      <c r="D2" s="711">
        <v>2</v>
      </c>
      <c r="E2" s="711">
        <v>3</v>
      </c>
      <c r="F2" s="711">
        <v>3</v>
      </c>
      <c r="G2" s="711">
        <v>5</v>
      </c>
      <c r="H2" s="711">
        <v>7</v>
      </c>
      <c r="I2" s="711">
        <v>9</v>
      </c>
      <c r="J2" s="711">
        <v>11</v>
      </c>
      <c r="K2" s="711">
        <v>13</v>
      </c>
      <c r="L2" s="711">
        <v>15</v>
      </c>
      <c r="M2" s="711">
        <v>17</v>
      </c>
      <c r="N2" s="712">
        <v>12</v>
      </c>
      <c r="O2" s="442" t="s">
        <v>0</v>
      </c>
    </row>
    <row r="3" spans="2:16" s="83" customFormat="1" ht="20.100000000000001" customHeight="1">
      <c r="B3" s="239" t="s">
        <v>179</v>
      </c>
      <c r="C3" s="328">
        <f>'Encaissement des ventes 1°année'!H6</f>
        <v>0</v>
      </c>
      <c r="D3" s="368">
        <f>'Encaissement des ventes 1°année'!H7</f>
        <v>0</v>
      </c>
      <c r="E3" s="368">
        <f>'Encaissement des ventes 1°année'!H8</f>
        <v>0</v>
      </c>
      <c r="F3" s="368">
        <f>'Encaissement des ventes 1°année'!H9</f>
        <v>0</v>
      </c>
      <c r="G3" s="368">
        <f>'Encaissement des ventes 1°année'!H10</f>
        <v>0</v>
      </c>
      <c r="H3" s="368">
        <f>'Encaissement des ventes 1°année'!H11</f>
        <v>0</v>
      </c>
      <c r="I3" s="368">
        <f>'Encaissement des ventes 1°année'!H12</f>
        <v>0</v>
      </c>
      <c r="J3" s="368">
        <f>'Encaissement des ventes 1°année'!H13</f>
        <v>0</v>
      </c>
      <c r="K3" s="368">
        <f>'Encaissement des ventes 1°année'!H14</f>
        <v>0</v>
      </c>
      <c r="L3" s="368">
        <f>'Encaissement des ventes 1°année'!H15</f>
        <v>0</v>
      </c>
      <c r="M3" s="368">
        <f>'Encaissement des ventes 1°année'!H16</f>
        <v>0</v>
      </c>
      <c r="N3" s="257">
        <f>'Encaissement des ventes 1°année'!H17</f>
        <v>0</v>
      </c>
      <c r="O3" s="440">
        <f>SUM(C3:N3)</f>
        <v>0</v>
      </c>
      <c r="P3" s="369" t="str">
        <f>IF(O3=tva_collectée,"ok",O3-tva_collectée)</f>
        <v>ok</v>
      </c>
    </row>
    <row r="4" spans="2:16" s="83" customFormat="1" ht="20.100000000000001" customHeight="1">
      <c r="B4" s="241" t="s">
        <v>180</v>
      </c>
      <c r="C4" s="370"/>
      <c r="D4" s="371"/>
      <c r="E4" s="371"/>
      <c r="F4" s="371"/>
      <c r="G4" s="371"/>
      <c r="H4" s="371"/>
      <c r="I4" s="371"/>
      <c r="J4" s="371"/>
      <c r="K4" s="371"/>
      <c r="L4" s="371"/>
      <c r="M4" s="371"/>
      <c r="N4" s="439"/>
      <c r="O4" s="372">
        <f>SUM(C4:N4)</f>
        <v>0</v>
      </c>
      <c r="P4" s="367"/>
    </row>
    <row r="5" spans="2:16" s="83" customFormat="1" ht="20.100000000000001" customHeight="1">
      <c r="B5" s="239" t="s">
        <v>181</v>
      </c>
      <c r="C5" s="373"/>
      <c r="D5" s="374"/>
      <c r="E5" s="374"/>
      <c r="F5" s="374"/>
      <c r="G5" s="374"/>
      <c r="H5" s="374"/>
      <c r="I5" s="374"/>
      <c r="J5" s="374"/>
      <c r="K5" s="374"/>
      <c r="L5" s="374"/>
      <c r="M5" s="374"/>
      <c r="N5" s="119"/>
      <c r="O5" s="441">
        <f>SUM(C5:N5)</f>
        <v>0</v>
      </c>
      <c r="P5" s="367"/>
    </row>
    <row r="6" spans="2:16" s="83" customFormat="1" ht="20.100000000000001" customHeight="1">
      <c r="B6" s="721" t="s">
        <v>182</v>
      </c>
      <c r="C6" s="722">
        <f>SUM(C3:C5)</f>
        <v>0</v>
      </c>
      <c r="D6" s="723">
        <f t="shared" ref="D6:O6" si="0">SUM(D3:D5)</f>
        <v>0</v>
      </c>
      <c r="E6" s="723">
        <f t="shared" si="0"/>
        <v>0</v>
      </c>
      <c r="F6" s="723">
        <f t="shared" si="0"/>
        <v>0</v>
      </c>
      <c r="G6" s="723">
        <f t="shared" si="0"/>
        <v>0</v>
      </c>
      <c r="H6" s="723">
        <f t="shared" si="0"/>
        <v>0</v>
      </c>
      <c r="I6" s="723">
        <f t="shared" si="0"/>
        <v>0</v>
      </c>
      <c r="J6" s="723">
        <f t="shared" si="0"/>
        <v>0</v>
      </c>
      <c r="K6" s="723">
        <f t="shared" si="0"/>
        <v>0</v>
      </c>
      <c r="L6" s="723">
        <f t="shared" si="0"/>
        <v>0</v>
      </c>
      <c r="M6" s="723">
        <f t="shared" si="0"/>
        <v>0</v>
      </c>
      <c r="N6" s="724">
        <f t="shared" si="0"/>
        <v>0</v>
      </c>
      <c r="O6" s="725">
        <f t="shared" si="0"/>
        <v>0</v>
      </c>
      <c r="P6" s="367"/>
    </row>
    <row r="7" spans="2:16" s="83" customFormat="1" ht="20.100000000000001" customHeight="1">
      <c r="B7" s="239" t="s">
        <v>183</v>
      </c>
      <c r="C7" s="328">
        <f>'Décaissement des achats 1°année'!I6</f>
        <v>0</v>
      </c>
      <c r="D7" s="368">
        <f>'Décaissement des achats 1°année'!I7</f>
        <v>0</v>
      </c>
      <c r="E7" s="368">
        <f>'Décaissement des achats 1°année'!I8</f>
        <v>0</v>
      </c>
      <c r="F7" s="368">
        <f>'Décaissement des achats 1°année'!I9</f>
        <v>0</v>
      </c>
      <c r="G7" s="368">
        <f>'Décaissement des achats 1°année'!I10</f>
        <v>0</v>
      </c>
      <c r="H7" s="368">
        <f>'Décaissement des achats 1°année'!I11</f>
        <v>0</v>
      </c>
      <c r="I7" s="368">
        <f>'Décaissement des achats 1°année'!I12</f>
        <v>0</v>
      </c>
      <c r="J7" s="368">
        <f>'Décaissement des achats 1°année'!I13</f>
        <v>0</v>
      </c>
      <c r="K7" s="368">
        <f>'Décaissement des achats 1°année'!I14</f>
        <v>0</v>
      </c>
      <c r="L7" s="368">
        <f>'Décaissement des achats 1°année'!I15</f>
        <v>0</v>
      </c>
      <c r="M7" s="368">
        <f>'Décaissement des achats 1°année'!I16</f>
        <v>0</v>
      </c>
      <c r="N7" s="257">
        <f>'Décaissement des achats 1°année'!I17</f>
        <v>0</v>
      </c>
      <c r="O7" s="441">
        <f t="shared" ref="O7:O13" si="1">SUM(C7:N7)</f>
        <v>0</v>
      </c>
      <c r="P7" s="369" t="str">
        <f>IF(O7=tva_déductible,"ok",O7-tva_déductible)</f>
        <v>ok</v>
      </c>
    </row>
    <row r="8" spans="2:16" s="83" customFormat="1" ht="20.100000000000001" customHeight="1">
      <c r="B8" s="241" t="s">
        <v>184</v>
      </c>
      <c r="C8" s="370"/>
      <c r="D8" s="370"/>
      <c r="E8" s="370"/>
      <c r="F8" s="370"/>
      <c r="G8" s="371"/>
      <c r="H8" s="371"/>
      <c r="I8" s="371"/>
      <c r="J8" s="371"/>
      <c r="K8" s="371"/>
      <c r="L8" s="371"/>
      <c r="M8" s="371"/>
      <c r="N8" s="439"/>
      <c r="O8" s="372">
        <f t="shared" si="1"/>
        <v>0</v>
      </c>
    </row>
    <row r="9" spans="2:16" s="83" customFormat="1" ht="20.100000000000001" customHeight="1">
      <c r="B9" s="241" t="s">
        <v>185</v>
      </c>
      <c r="C9" s="370"/>
      <c r="D9" s="370"/>
      <c r="E9" s="370"/>
      <c r="F9" s="370"/>
      <c r="G9" s="371"/>
      <c r="H9" s="371"/>
      <c r="I9" s="371"/>
      <c r="J9" s="371"/>
      <c r="K9" s="371"/>
      <c r="L9" s="371"/>
      <c r="M9" s="371"/>
      <c r="N9" s="439"/>
      <c r="O9" s="372">
        <f t="shared" si="1"/>
        <v>0</v>
      </c>
    </row>
    <row r="10" spans="2:16" s="83" customFormat="1" ht="20.100000000000001" customHeight="1">
      <c r="B10" s="239" t="s">
        <v>186</v>
      </c>
      <c r="C10" s="373"/>
      <c r="D10" s="373"/>
      <c r="E10" s="373"/>
      <c r="F10" s="373"/>
      <c r="G10" s="374"/>
      <c r="H10" s="374"/>
      <c r="I10" s="374"/>
      <c r="J10" s="374"/>
      <c r="K10" s="374"/>
      <c r="L10" s="374"/>
      <c r="M10" s="374"/>
      <c r="N10" s="119"/>
      <c r="O10" s="441">
        <f t="shared" si="1"/>
        <v>0</v>
      </c>
    </row>
    <row r="11" spans="2:16" s="83" customFormat="1" ht="20.100000000000001" customHeight="1">
      <c r="B11" s="726" t="s">
        <v>187</v>
      </c>
      <c r="C11" s="727">
        <f>SUM(C7:C10)</f>
        <v>0</v>
      </c>
      <c r="D11" s="728">
        <f t="shared" ref="D11:O11" si="2">SUM(D7:D10)</f>
        <v>0</v>
      </c>
      <c r="E11" s="728">
        <f t="shared" si="2"/>
        <v>0</v>
      </c>
      <c r="F11" s="728">
        <f t="shared" si="2"/>
        <v>0</v>
      </c>
      <c r="G11" s="728">
        <f t="shared" si="2"/>
        <v>0</v>
      </c>
      <c r="H11" s="728">
        <f t="shared" si="2"/>
        <v>0</v>
      </c>
      <c r="I11" s="728">
        <f t="shared" si="2"/>
        <v>0</v>
      </c>
      <c r="J11" s="728">
        <f t="shared" si="2"/>
        <v>0</v>
      </c>
      <c r="K11" s="728">
        <f t="shared" si="2"/>
        <v>0</v>
      </c>
      <c r="L11" s="728">
        <f t="shared" si="2"/>
        <v>0</v>
      </c>
      <c r="M11" s="728">
        <f t="shared" si="2"/>
        <v>0</v>
      </c>
      <c r="N11" s="729">
        <f t="shared" si="2"/>
        <v>0</v>
      </c>
      <c r="O11" s="730">
        <f t="shared" si="2"/>
        <v>0</v>
      </c>
    </row>
    <row r="12" spans="2:16" s="83" customFormat="1" ht="20.100000000000001" customHeight="1">
      <c r="B12" s="239" t="s">
        <v>188</v>
      </c>
      <c r="C12" s="716">
        <f>C6-C11</f>
        <v>0</v>
      </c>
      <c r="D12" s="717">
        <f t="shared" ref="D12:N12" si="3">D6-D11</f>
        <v>0</v>
      </c>
      <c r="E12" s="717">
        <f t="shared" si="3"/>
        <v>0</v>
      </c>
      <c r="F12" s="717">
        <f t="shared" si="3"/>
        <v>0</v>
      </c>
      <c r="G12" s="717">
        <f t="shared" si="3"/>
        <v>0</v>
      </c>
      <c r="H12" s="717">
        <f t="shared" si="3"/>
        <v>0</v>
      </c>
      <c r="I12" s="717">
        <f t="shared" si="3"/>
        <v>0</v>
      </c>
      <c r="J12" s="717">
        <f t="shared" si="3"/>
        <v>0</v>
      </c>
      <c r="K12" s="717">
        <f t="shared" si="3"/>
        <v>0</v>
      </c>
      <c r="L12" s="717">
        <f t="shared" si="3"/>
        <v>0</v>
      </c>
      <c r="M12" s="717">
        <f t="shared" si="3"/>
        <v>0</v>
      </c>
      <c r="N12" s="718">
        <f t="shared" si="3"/>
        <v>0</v>
      </c>
      <c r="O12" s="372">
        <f t="shared" si="1"/>
        <v>0</v>
      </c>
    </row>
    <row r="13" spans="2:16" s="83" customFormat="1" ht="20.100000000000001" customHeight="1">
      <c r="B13" s="375" t="s">
        <v>218</v>
      </c>
      <c r="C13" s="715">
        <f>IF(C12&gt;0,C12,0)</f>
        <v>0</v>
      </c>
      <c r="D13" s="715">
        <f t="shared" ref="D13:N13" si="4">IF(D12&gt;0,D12,0)</f>
        <v>0</v>
      </c>
      <c r="E13" s="715">
        <f t="shared" si="4"/>
        <v>0</v>
      </c>
      <c r="F13" s="715">
        <f t="shared" si="4"/>
        <v>0</v>
      </c>
      <c r="G13" s="715">
        <f t="shared" si="4"/>
        <v>0</v>
      </c>
      <c r="H13" s="715">
        <f t="shared" si="4"/>
        <v>0</v>
      </c>
      <c r="I13" s="715">
        <f t="shared" si="4"/>
        <v>0</v>
      </c>
      <c r="J13" s="715">
        <f t="shared" si="4"/>
        <v>0</v>
      </c>
      <c r="K13" s="715">
        <f t="shared" si="4"/>
        <v>0</v>
      </c>
      <c r="L13" s="715">
        <f t="shared" si="4"/>
        <v>0</v>
      </c>
      <c r="M13" s="715">
        <f t="shared" si="4"/>
        <v>0</v>
      </c>
      <c r="N13" s="720">
        <f t="shared" si="4"/>
        <v>0</v>
      </c>
      <c r="O13" s="719">
        <f t="shared" si="1"/>
        <v>0</v>
      </c>
    </row>
    <row r="14" spans="2:16" s="83" customFormat="1" ht="20.100000000000001" customHeight="1">
      <c r="B14" s="735" t="s">
        <v>219</v>
      </c>
      <c r="C14" s="736">
        <f>IF(C12&lt;0,-C12,0)</f>
        <v>0</v>
      </c>
      <c r="D14" s="736">
        <f t="shared" ref="D14:N14" si="5">IF(D12&lt;0,-D12,0)</f>
        <v>0</v>
      </c>
      <c r="E14" s="736">
        <f t="shared" si="5"/>
        <v>0</v>
      </c>
      <c r="F14" s="736">
        <f t="shared" si="5"/>
        <v>0</v>
      </c>
      <c r="G14" s="736">
        <f t="shared" si="5"/>
        <v>0</v>
      </c>
      <c r="H14" s="736">
        <f t="shared" si="5"/>
        <v>0</v>
      </c>
      <c r="I14" s="736">
        <f t="shared" si="5"/>
        <v>0</v>
      </c>
      <c r="J14" s="736">
        <f t="shared" si="5"/>
        <v>0</v>
      </c>
      <c r="K14" s="736">
        <f t="shared" si="5"/>
        <v>0</v>
      </c>
      <c r="L14" s="736">
        <f t="shared" si="5"/>
        <v>0</v>
      </c>
      <c r="M14" s="736">
        <f t="shared" si="5"/>
        <v>0</v>
      </c>
      <c r="N14" s="736">
        <f t="shared" si="5"/>
        <v>0</v>
      </c>
      <c r="O14" s="737">
        <f>SUM(C14:N14)</f>
        <v>0</v>
      </c>
      <c r="P14" s="435"/>
    </row>
    <row r="15" spans="2:16" ht="6" customHeight="1"/>
    <row r="16" spans="2:16" s="83" customFormat="1" ht="20.100000000000001" customHeight="1">
      <c r="B16" s="436" t="s">
        <v>221</v>
      </c>
      <c r="C16" s="437">
        <f>C14</f>
        <v>0</v>
      </c>
      <c r="D16" s="437">
        <f t="shared" ref="D16:N16" si="6">D14+C16-C18-C17</f>
        <v>0</v>
      </c>
      <c r="E16" s="437">
        <f t="shared" si="6"/>
        <v>0</v>
      </c>
      <c r="F16" s="437">
        <f t="shared" si="6"/>
        <v>0</v>
      </c>
      <c r="G16" s="437">
        <f t="shared" si="6"/>
        <v>0</v>
      </c>
      <c r="H16" s="437">
        <f t="shared" si="6"/>
        <v>0</v>
      </c>
      <c r="I16" s="437">
        <f t="shared" si="6"/>
        <v>0</v>
      </c>
      <c r="J16" s="437">
        <f t="shared" si="6"/>
        <v>0</v>
      </c>
      <c r="K16" s="437">
        <f t="shared" si="6"/>
        <v>0</v>
      </c>
      <c r="L16" s="437">
        <f t="shared" si="6"/>
        <v>0</v>
      </c>
      <c r="M16" s="437">
        <f t="shared" si="6"/>
        <v>0</v>
      </c>
      <c r="N16" s="443">
        <f t="shared" si="6"/>
        <v>0</v>
      </c>
      <c r="O16" s="446"/>
    </row>
    <row r="17" spans="2:17" s="83" customFormat="1" ht="20.100000000000001" customHeight="1">
      <c r="B17" s="241" t="s">
        <v>220</v>
      </c>
      <c r="C17" s="450"/>
      <c r="D17" s="450">
        <f t="shared" ref="D17:N17" si="7">IF(C13&lt;=0,0,IF(C13&gt;C19,C19,C13))</f>
        <v>0</v>
      </c>
      <c r="E17" s="450">
        <f t="shared" si="7"/>
        <v>0</v>
      </c>
      <c r="F17" s="450">
        <f t="shared" si="7"/>
        <v>0</v>
      </c>
      <c r="G17" s="450">
        <f t="shared" si="7"/>
        <v>0</v>
      </c>
      <c r="H17" s="450">
        <f t="shared" si="7"/>
        <v>0</v>
      </c>
      <c r="I17" s="450">
        <f t="shared" si="7"/>
        <v>0</v>
      </c>
      <c r="J17" s="450">
        <f t="shared" si="7"/>
        <v>0</v>
      </c>
      <c r="K17" s="450">
        <f t="shared" si="7"/>
        <v>0</v>
      </c>
      <c r="L17" s="450">
        <f t="shared" si="7"/>
        <v>0</v>
      </c>
      <c r="M17" s="450">
        <f t="shared" si="7"/>
        <v>0</v>
      </c>
      <c r="N17" s="451">
        <f t="shared" si="7"/>
        <v>0</v>
      </c>
      <c r="O17" s="448">
        <f>SUM(C17:N17)</f>
        <v>0</v>
      </c>
    </row>
    <row r="18" spans="2:17" s="83" customFormat="1" ht="20.100000000000001" customHeight="1">
      <c r="B18" s="375" t="s">
        <v>189</v>
      </c>
      <c r="C18" s="438"/>
      <c r="D18" s="438"/>
      <c r="E18" s="438"/>
      <c r="F18" s="438"/>
      <c r="G18" s="438"/>
      <c r="H18" s="438"/>
      <c r="I18" s="438"/>
      <c r="J18" s="438"/>
      <c r="K18" s="438"/>
      <c r="L18" s="438"/>
      <c r="M18" s="438"/>
      <c r="N18" s="444"/>
      <c r="O18" s="447">
        <f>SUM(C18:N18)</f>
        <v>0</v>
      </c>
    </row>
    <row r="19" spans="2:17" s="83" customFormat="1" ht="20.100000000000001" customHeight="1">
      <c r="B19" s="241" t="s">
        <v>190</v>
      </c>
      <c r="C19" s="376">
        <f>C14</f>
        <v>0</v>
      </c>
      <c r="D19" s="376">
        <f t="shared" ref="D19:N19" si="8">D16-D18-D17</f>
        <v>0</v>
      </c>
      <c r="E19" s="376">
        <f t="shared" si="8"/>
        <v>0</v>
      </c>
      <c r="F19" s="376">
        <f t="shared" si="8"/>
        <v>0</v>
      </c>
      <c r="G19" s="376">
        <f t="shared" si="8"/>
        <v>0</v>
      </c>
      <c r="H19" s="376">
        <f t="shared" si="8"/>
        <v>0</v>
      </c>
      <c r="I19" s="376">
        <f t="shared" si="8"/>
        <v>0</v>
      </c>
      <c r="J19" s="376">
        <f t="shared" si="8"/>
        <v>0</v>
      </c>
      <c r="K19" s="376">
        <f t="shared" si="8"/>
        <v>0</v>
      </c>
      <c r="L19" s="376">
        <f t="shared" si="8"/>
        <v>0</v>
      </c>
      <c r="M19" s="376">
        <f t="shared" si="8"/>
        <v>0</v>
      </c>
      <c r="N19" s="445">
        <f t="shared" si="8"/>
        <v>0</v>
      </c>
      <c r="O19" s="449"/>
    </row>
    <row r="20" spans="2:17" s="83" customFormat="1" ht="20.100000000000001" customHeight="1">
      <c r="B20" s="731" t="s">
        <v>191</v>
      </c>
      <c r="C20" s="732"/>
      <c r="D20" s="732">
        <f>IF(C12&gt;0,C12,0)</f>
        <v>0</v>
      </c>
      <c r="E20" s="732">
        <f t="shared" ref="E20:N20" si="9">IF((D13-D19)&lt;0,0,D13-D19)</f>
        <v>0</v>
      </c>
      <c r="F20" s="732">
        <f t="shared" si="9"/>
        <v>0</v>
      </c>
      <c r="G20" s="732">
        <f t="shared" si="9"/>
        <v>0</v>
      </c>
      <c r="H20" s="732">
        <f t="shared" si="9"/>
        <v>0</v>
      </c>
      <c r="I20" s="732">
        <f t="shared" si="9"/>
        <v>0</v>
      </c>
      <c r="J20" s="732">
        <f t="shared" si="9"/>
        <v>0</v>
      </c>
      <c r="K20" s="732">
        <f t="shared" si="9"/>
        <v>0</v>
      </c>
      <c r="L20" s="732">
        <f t="shared" si="9"/>
        <v>0</v>
      </c>
      <c r="M20" s="732">
        <f t="shared" si="9"/>
        <v>0</v>
      </c>
      <c r="N20" s="733">
        <f t="shared" si="9"/>
        <v>0</v>
      </c>
      <c r="O20" s="734">
        <f>SUM(C20:N20)</f>
        <v>0</v>
      </c>
      <c r="P20" s="453" t="str">
        <f>IF((O20-O18)=O12,"ok",O20-O18-O12)</f>
        <v>ok</v>
      </c>
      <c r="Q20" s="369" t="str">
        <f>IF(ISERROR(IF(N12=(P20/-1),"ok",N12-(P20/-1)))," ",IF(N12=(P20/-1),"ok",N12-(P20/-1)))</f>
        <v xml:space="preserve"> </v>
      </c>
    </row>
    <row r="21" spans="2:17" s="454" customFormat="1" ht="20.100000000000001" customHeight="1">
      <c r="O21" s="455"/>
      <c r="P21" s="453">
        <f>IF(ISERROR(O20-P20-O18),0,O20-P20-O18)</f>
        <v>0</v>
      </c>
      <c r="Q21" s="369" t="str">
        <f>IF(P21=0," ",IF(O12=P21,"ok",O12-P21))</f>
        <v xml:space="preserve"> </v>
      </c>
    </row>
    <row r="22" spans="2:17" s="456" customFormat="1" ht="20.100000000000001" customHeight="1">
      <c r="O22" s="457"/>
    </row>
    <row r="23" spans="2:17" s="456" customFormat="1" ht="20.100000000000001" customHeight="1">
      <c r="O23" s="455"/>
    </row>
    <row r="24" spans="2:17" s="456" customFormat="1" ht="20.100000000000001" customHeight="1">
      <c r="O24" s="457"/>
    </row>
    <row r="25" spans="2:17" s="456" customFormat="1" ht="20.100000000000001" customHeight="1">
      <c r="O25" s="457"/>
    </row>
    <row r="26" spans="2:17" s="456" customFormat="1" ht="20.100000000000001" customHeight="1">
      <c r="O26" s="457"/>
    </row>
    <row r="27" spans="2:17" s="456" customFormat="1" ht="20.100000000000001" customHeight="1">
      <c r="O27" s="457"/>
    </row>
    <row r="28" spans="2:17" s="456" customFormat="1" ht="20.100000000000001" customHeight="1">
      <c r="O28" s="457"/>
    </row>
    <row r="29" spans="2:17" s="456" customFormat="1" ht="20.100000000000001" customHeight="1">
      <c r="O29" s="457"/>
    </row>
    <row r="30" spans="2:17" s="456" customFormat="1" ht="20.100000000000001" customHeight="1">
      <c r="O30" s="457"/>
    </row>
    <row r="31" spans="2:17" s="456" customFormat="1" ht="20.100000000000001" customHeight="1">
      <c r="O31" s="457"/>
    </row>
    <row r="32" spans="2:17" s="456" customFormat="1" ht="20.100000000000001" customHeight="1">
      <c r="O32" s="457"/>
    </row>
    <row r="33" spans="15:15" s="456" customFormat="1" ht="20.100000000000001" customHeight="1">
      <c r="O33" s="457"/>
    </row>
    <row r="34" spans="15:15" s="456" customFormat="1" ht="20.100000000000001" customHeight="1">
      <c r="O34" s="457"/>
    </row>
    <row r="35" spans="15:15" s="456" customFormat="1" ht="20.100000000000001" customHeight="1">
      <c r="O35" s="457"/>
    </row>
    <row r="36" spans="15:15" s="456" customFormat="1" ht="20.100000000000001" customHeight="1">
      <c r="O36" s="457"/>
    </row>
    <row r="37" spans="15:15" s="456" customFormat="1" ht="20.100000000000001" customHeight="1">
      <c r="O37" s="457"/>
    </row>
    <row r="38" spans="15:15" s="456" customFormat="1" ht="20.100000000000001" customHeight="1">
      <c r="O38" s="457"/>
    </row>
    <row r="39" spans="15:15" s="456" customFormat="1" ht="20.100000000000001" customHeight="1">
      <c r="O39" s="457"/>
    </row>
    <row r="40" spans="15:15" s="456" customFormat="1" ht="20.100000000000001" customHeight="1">
      <c r="O40" s="457"/>
    </row>
    <row r="41" spans="15:15" s="456" customFormat="1" ht="20.100000000000001" customHeight="1">
      <c r="O41" s="457"/>
    </row>
    <row r="42" spans="15:15" s="456" customFormat="1" ht="20.100000000000001" customHeight="1">
      <c r="O42" s="457"/>
    </row>
    <row r="43" spans="15:15" s="456" customFormat="1" ht="20.100000000000001" customHeight="1">
      <c r="O43" s="457"/>
    </row>
    <row r="44" spans="15:15" s="456" customFormat="1" ht="20.100000000000001" customHeight="1">
      <c r="O44" s="457"/>
    </row>
    <row r="45" spans="15:15" s="456" customFormat="1" ht="20.100000000000001" customHeight="1">
      <c r="O45" s="457"/>
    </row>
    <row r="46" spans="15:15" s="456" customFormat="1" ht="20.100000000000001" customHeight="1">
      <c r="O46" s="457"/>
    </row>
    <row r="47" spans="15:15" s="456" customFormat="1" ht="20.100000000000001" customHeight="1">
      <c r="O47" s="457"/>
    </row>
    <row r="48" spans="15:15" s="456" customFormat="1" ht="20.100000000000001" customHeight="1">
      <c r="O48" s="457"/>
    </row>
    <row r="49" spans="15:15" s="456" customFormat="1" ht="20.100000000000001" customHeight="1">
      <c r="O49" s="457"/>
    </row>
    <row r="50" spans="15:15" s="456" customFormat="1" ht="20.100000000000001" customHeight="1">
      <c r="O50" s="457"/>
    </row>
    <row r="51" spans="15:15" s="456" customFormat="1" ht="20.100000000000001" customHeight="1">
      <c r="O51" s="457"/>
    </row>
    <row r="52" spans="15:15" s="456" customFormat="1" ht="20.100000000000001" customHeight="1">
      <c r="O52" s="457"/>
    </row>
    <row r="53" spans="15:15" s="456" customFormat="1" ht="20.100000000000001" customHeight="1">
      <c r="O53" s="457"/>
    </row>
    <row r="54" spans="15:15" s="456" customFormat="1" ht="20.100000000000001" customHeight="1">
      <c r="O54" s="457"/>
    </row>
    <row r="55" spans="15:15" s="456" customFormat="1" ht="20.100000000000001" customHeight="1">
      <c r="O55" s="457"/>
    </row>
    <row r="56" spans="15:15" s="456" customFormat="1" ht="20.100000000000001" customHeight="1">
      <c r="O56" s="457"/>
    </row>
    <row r="57" spans="15:15" s="456" customFormat="1" ht="20.100000000000001" customHeight="1">
      <c r="O57" s="457"/>
    </row>
    <row r="58" spans="15:15" s="456" customFormat="1" ht="20.100000000000001" customHeight="1">
      <c r="O58" s="457"/>
    </row>
    <row r="59" spans="15:15" s="456" customFormat="1" ht="20.100000000000001" customHeight="1">
      <c r="O59" s="457"/>
    </row>
    <row r="60" spans="15:15" s="456" customFormat="1" ht="20.100000000000001" customHeight="1">
      <c r="O60" s="457"/>
    </row>
    <row r="61" spans="15:15" s="456" customFormat="1" ht="20.100000000000001" customHeight="1">
      <c r="O61" s="457"/>
    </row>
    <row r="62" spans="15:15" s="456" customFormat="1" ht="20.100000000000001" customHeight="1">
      <c r="O62" s="457"/>
    </row>
    <row r="63" spans="15:15" s="456" customFormat="1" ht="20.100000000000001" customHeight="1">
      <c r="O63" s="457"/>
    </row>
    <row r="64" spans="15:15" s="456" customFormat="1" ht="20.100000000000001" customHeight="1">
      <c r="O64" s="457"/>
    </row>
    <row r="65" spans="15:15" s="456" customFormat="1" ht="20.100000000000001" customHeight="1">
      <c r="O65" s="457"/>
    </row>
    <row r="66" spans="15:15" s="456" customFormat="1" ht="20.100000000000001" customHeight="1">
      <c r="O66" s="457"/>
    </row>
    <row r="67" spans="15:15" s="456" customFormat="1" ht="20.100000000000001" customHeight="1">
      <c r="O67" s="457"/>
    </row>
    <row r="68" spans="15:15" s="456" customFormat="1" ht="20.100000000000001" customHeight="1">
      <c r="O68" s="457"/>
    </row>
    <row r="69" spans="15:15" s="456" customFormat="1" ht="20.100000000000001" customHeight="1">
      <c r="O69" s="457"/>
    </row>
    <row r="70" spans="15:15" s="456" customFormat="1" ht="20.100000000000001" customHeight="1">
      <c r="O70" s="457"/>
    </row>
    <row r="71" spans="15:15" s="456" customFormat="1" ht="20.100000000000001" customHeight="1">
      <c r="O71" s="457"/>
    </row>
    <row r="72" spans="15:15" s="456" customFormat="1" ht="20.100000000000001" customHeight="1">
      <c r="O72" s="457"/>
    </row>
    <row r="73" spans="15:15" s="456" customFormat="1" ht="20.100000000000001" customHeight="1">
      <c r="O73" s="457"/>
    </row>
    <row r="74" spans="15:15" s="456" customFormat="1" ht="20.100000000000001" customHeight="1">
      <c r="O74" s="457"/>
    </row>
    <row r="75" spans="15:15" s="456" customFormat="1" ht="20.100000000000001" customHeight="1">
      <c r="O75" s="457"/>
    </row>
    <row r="76" spans="15:15" s="456" customFormat="1" ht="20.100000000000001" customHeight="1">
      <c r="O76" s="457"/>
    </row>
    <row r="77" spans="15:15" s="456" customFormat="1" ht="20.100000000000001" customHeight="1">
      <c r="O77" s="457"/>
    </row>
    <row r="78" spans="15:15" s="456" customFormat="1" ht="20.100000000000001" customHeight="1">
      <c r="O78" s="457"/>
    </row>
    <row r="79" spans="15:15" s="456" customFormat="1" ht="20.100000000000001" customHeight="1">
      <c r="O79" s="457"/>
    </row>
    <row r="80" spans="15:15" s="456" customFormat="1" ht="20.100000000000001" customHeight="1">
      <c r="O80" s="457"/>
    </row>
    <row r="81" spans="15:15" s="456" customFormat="1" ht="20.100000000000001" customHeight="1">
      <c r="O81" s="457"/>
    </row>
    <row r="82" spans="15:15" s="456" customFormat="1" ht="20.100000000000001" customHeight="1">
      <c r="O82" s="457"/>
    </row>
    <row r="83" spans="15:15" s="456" customFormat="1" ht="20.100000000000001" customHeight="1">
      <c r="O83" s="457"/>
    </row>
    <row r="84" spans="15:15" s="456" customFormat="1" ht="20.100000000000001" customHeight="1">
      <c r="O84" s="457"/>
    </row>
    <row r="85" spans="15:15" s="456" customFormat="1" ht="20.100000000000001" customHeight="1">
      <c r="O85" s="457"/>
    </row>
    <row r="86" spans="15:15" s="456" customFormat="1" ht="20.100000000000001" customHeight="1">
      <c r="O86" s="457"/>
    </row>
    <row r="87" spans="15:15" s="456" customFormat="1" ht="20.100000000000001" customHeight="1">
      <c r="O87" s="457"/>
    </row>
    <row r="88" spans="15:15" s="456" customFormat="1" ht="20.100000000000001" customHeight="1">
      <c r="O88" s="457"/>
    </row>
    <row r="89" spans="15:15" s="456" customFormat="1" ht="20.100000000000001" customHeight="1">
      <c r="O89" s="457"/>
    </row>
    <row r="90" spans="15:15" s="456" customFormat="1" ht="20.100000000000001" customHeight="1">
      <c r="O90" s="457"/>
    </row>
    <row r="91" spans="15:15" s="456" customFormat="1" ht="20.100000000000001" customHeight="1">
      <c r="O91" s="457"/>
    </row>
    <row r="92" spans="15:15" s="456" customFormat="1" ht="20.100000000000001" customHeight="1">
      <c r="O92" s="457"/>
    </row>
    <row r="93" spans="15:15" s="456" customFormat="1" ht="20.100000000000001" customHeight="1">
      <c r="O93" s="457"/>
    </row>
    <row r="94" spans="15:15" s="456" customFormat="1" ht="20.100000000000001" customHeight="1">
      <c r="O94" s="457"/>
    </row>
    <row r="95" spans="15:15" s="456" customFormat="1" ht="20.100000000000001" customHeight="1">
      <c r="O95" s="457"/>
    </row>
    <row r="96" spans="15:15" s="456" customFormat="1" ht="20.100000000000001" customHeight="1">
      <c r="O96" s="457"/>
    </row>
    <row r="97" spans="15:15" s="456" customFormat="1" ht="20.100000000000001" customHeight="1">
      <c r="O97" s="457"/>
    </row>
    <row r="98" spans="15:15" s="456" customFormat="1" ht="20.100000000000001" customHeight="1">
      <c r="O98" s="457"/>
    </row>
    <row r="99" spans="15:15" s="456" customFormat="1" ht="20.100000000000001" customHeight="1">
      <c r="O99" s="457"/>
    </row>
    <row r="100" spans="15:15" s="456" customFormat="1" ht="20.100000000000001" customHeight="1">
      <c r="O100" s="457"/>
    </row>
    <row r="101" spans="15:15" s="456" customFormat="1" ht="20.100000000000001" customHeight="1">
      <c r="O101" s="457"/>
    </row>
    <row r="102" spans="15:15" s="456" customFormat="1" ht="20.100000000000001" customHeight="1">
      <c r="O102" s="457"/>
    </row>
    <row r="103" spans="15:15" s="456" customFormat="1" ht="20.100000000000001" customHeight="1">
      <c r="O103" s="457"/>
    </row>
    <row r="104" spans="15:15" s="456" customFormat="1" ht="20.100000000000001" customHeight="1">
      <c r="O104" s="457"/>
    </row>
    <row r="105" spans="15:15" s="456" customFormat="1" ht="20.100000000000001" customHeight="1">
      <c r="O105" s="457"/>
    </row>
    <row r="106" spans="15:15" s="456" customFormat="1" ht="20.100000000000001" customHeight="1">
      <c r="O106" s="457"/>
    </row>
    <row r="107" spans="15:15" s="456" customFormat="1" ht="20.100000000000001" customHeight="1">
      <c r="O107" s="457"/>
    </row>
    <row r="108" spans="15:15" s="456" customFormat="1" ht="20.100000000000001" customHeight="1">
      <c r="O108" s="457"/>
    </row>
    <row r="109" spans="15:15" s="456" customFormat="1" ht="20.100000000000001" customHeight="1">
      <c r="O109" s="457"/>
    </row>
    <row r="110" spans="15:15" s="456" customFormat="1" ht="20.100000000000001" customHeight="1">
      <c r="O110" s="457"/>
    </row>
    <row r="111" spans="15:15" s="456" customFormat="1" ht="20.100000000000001" customHeight="1">
      <c r="O111" s="457"/>
    </row>
    <row r="112" spans="15:15" s="456" customFormat="1" ht="20.100000000000001" customHeight="1">
      <c r="O112" s="457"/>
    </row>
    <row r="113" spans="15:15" s="456" customFormat="1" ht="20.100000000000001" customHeight="1">
      <c r="O113" s="457"/>
    </row>
    <row r="114" spans="15:15" s="456" customFormat="1" ht="20.100000000000001" customHeight="1">
      <c r="O114" s="457"/>
    </row>
    <row r="115" spans="15:15" s="456" customFormat="1" ht="20.100000000000001" customHeight="1">
      <c r="O115" s="457"/>
    </row>
    <row r="116" spans="15:15" s="456" customFormat="1" ht="20.100000000000001" customHeight="1">
      <c r="O116" s="457"/>
    </row>
    <row r="117" spans="15:15" s="456" customFormat="1" ht="20.100000000000001" customHeight="1">
      <c r="O117" s="457"/>
    </row>
    <row r="118" spans="15:15" s="456" customFormat="1" ht="20.100000000000001" customHeight="1">
      <c r="O118" s="457"/>
    </row>
    <row r="119" spans="15:15" s="456" customFormat="1" ht="20.100000000000001" customHeight="1">
      <c r="O119" s="457"/>
    </row>
    <row r="120" spans="15:15" s="456" customFormat="1" ht="20.100000000000001" customHeight="1">
      <c r="O120" s="457"/>
    </row>
    <row r="121" spans="15:15" s="456" customFormat="1" ht="20.100000000000001" customHeight="1">
      <c r="O121" s="457"/>
    </row>
    <row r="122" spans="15:15" s="456" customFormat="1" ht="20.100000000000001" customHeight="1">
      <c r="O122" s="457"/>
    </row>
    <row r="123" spans="15:15" s="456" customFormat="1" ht="20.100000000000001" customHeight="1">
      <c r="O123" s="457"/>
    </row>
    <row r="124" spans="15:15" s="456" customFormat="1" ht="20.100000000000001" customHeight="1">
      <c r="O124" s="457"/>
    </row>
    <row r="125" spans="15:15" s="456" customFormat="1" ht="20.100000000000001" customHeight="1">
      <c r="O125" s="457"/>
    </row>
    <row r="126" spans="15:15" s="456" customFormat="1" ht="20.100000000000001" customHeight="1">
      <c r="O126" s="457"/>
    </row>
    <row r="127" spans="15:15" s="456" customFormat="1" ht="20.100000000000001" customHeight="1">
      <c r="O127" s="457"/>
    </row>
    <row r="128" spans="15:15" s="456" customFormat="1" ht="20.100000000000001" customHeight="1">
      <c r="O128" s="457"/>
    </row>
    <row r="129" spans="15:15" s="456" customFormat="1" ht="20.100000000000001" customHeight="1">
      <c r="O129" s="457"/>
    </row>
    <row r="130" spans="15:15" s="456" customFormat="1" ht="20.100000000000001" customHeight="1">
      <c r="O130" s="457"/>
    </row>
    <row r="131" spans="15:15" s="456" customFormat="1" ht="20.100000000000001" customHeight="1">
      <c r="O131" s="457"/>
    </row>
    <row r="132" spans="15:15" s="456" customFormat="1" ht="20.100000000000001" customHeight="1">
      <c r="O132" s="457"/>
    </row>
    <row r="133" spans="15:15" s="456" customFormat="1" ht="20.100000000000001" customHeight="1">
      <c r="O133" s="457"/>
    </row>
    <row r="134" spans="15:15" s="456" customFormat="1" ht="20.100000000000001" customHeight="1">
      <c r="O134" s="457"/>
    </row>
    <row r="135" spans="15:15" s="456" customFormat="1" ht="20.100000000000001" customHeight="1">
      <c r="O135" s="457"/>
    </row>
    <row r="136" spans="15:15" s="456" customFormat="1" ht="20.100000000000001" customHeight="1">
      <c r="O136" s="457"/>
    </row>
    <row r="137" spans="15:15" s="456" customFormat="1" ht="20.100000000000001" customHeight="1">
      <c r="O137" s="457"/>
    </row>
    <row r="138" spans="15:15" s="456" customFormat="1" ht="20.100000000000001" customHeight="1">
      <c r="O138" s="457"/>
    </row>
    <row r="139" spans="15:15" s="456" customFormat="1" ht="20.100000000000001" customHeight="1">
      <c r="O139" s="457"/>
    </row>
    <row r="140" spans="15:15" s="456" customFormat="1" ht="20.100000000000001" customHeight="1">
      <c r="O140" s="457"/>
    </row>
    <row r="141" spans="15:15" s="456" customFormat="1" ht="20.100000000000001" customHeight="1">
      <c r="O141" s="457"/>
    </row>
    <row r="142" spans="15:15" s="456" customFormat="1" ht="20.100000000000001" customHeight="1">
      <c r="O142" s="457"/>
    </row>
    <row r="143" spans="15:15" s="456" customFormat="1" ht="20.100000000000001" customHeight="1">
      <c r="O143" s="457"/>
    </row>
    <row r="144" spans="15:15" s="456" customFormat="1" ht="20.100000000000001" customHeight="1">
      <c r="O144" s="457"/>
    </row>
    <row r="145" spans="15:15" s="456" customFormat="1" ht="20.100000000000001" customHeight="1">
      <c r="O145" s="457"/>
    </row>
    <row r="146" spans="15:15" s="456" customFormat="1" ht="20.100000000000001" customHeight="1">
      <c r="O146" s="457"/>
    </row>
    <row r="147" spans="15:15" s="456" customFormat="1" ht="20.100000000000001" customHeight="1">
      <c r="O147" s="457"/>
    </row>
    <row r="148" spans="15:15" s="456" customFormat="1" ht="20.100000000000001" customHeight="1">
      <c r="O148" s="457"/>
    </row>
    <row r="149" spans="15:15" s="456" customFormat="1" ht="20.100000000000001" customHeight="1">
      <c r="O149" s="457"/>
    </row>
    <row r="150" spans="15:15" s="456" customFormat="1" ht="20.100000000000001" customHeight="1">
      <c r="O150" s="457"/>
    </row>
    <row r="151" spans="15:15" s="456" customFormat="1" ht="20.100000000000001" customHeight="1">
      <c r="O151" s="457"/>
    </row>
    <row r="152" spans="15:15" s="456" customFormat="1" ht="20.100000000000001" customHeight="1">
      <c r="O152" s="457"/>
    </row>
    <row r="153" spans="15:15" s="456" customFormat="1" ht="20.100000000000001" customHeight="1">
      <c r="O153" s="457"/>
    </row>
    <row r="154" spans="15:15" s="456" customFormat="1" ht="20.100000000000001" customHeight="1">
      <c r="O154" s="457"/>
    </row>
    <row r="155" spans="15:15" s="456" customFormat="1" ht="20.100000000000001" customHeight="1">
      <c r="O155" s="457"/>
    </row>
    <row r="156" spans="15:15" s="456" customFormat="1" ht="20.100000000000001" customHeight="1">
      <c r="O156" s="457"/>
    </row>
    <row r="157" spans="15:15" s="456" customFormat="1" ht="20.100000000000001" customHeight="1">
      <c r="O157" s="457"/>
    </row>
    <row r="158" spans="15:15" s="456" customFormat="1" ht="20.100000000000001" customHeight="1">
      <c r="O158" s="457"/>
    </row>
    <row r="159" spans="15:15" s="456" customFormat="1" ht="20.100000000000001" customHeight="1">
      <c r="O159" s="457"/>
    </row>
    <row r="160" spans="15:15" s="456" customFormat="1" ht="20.100000000000001" customHeight="1">
      <c r="O160" s="457"/>
    </row>
    <row r="161" spans="15:15" s="456" customFormat="1" ht="20.100000000000001" customHeight="1">
      <c r="O161" s="457"/>
    </row>
    <row r="162" spans="15:15" s="456" customFormat="1" ht="20.100000000000001" customHeight="1">
      <c r="O162" s="457"/>
    </row>
    <row r="163" spans="15:15" s="456" customFormat="1" ht="20.100000000000001" customHeight="1">
      <c r="O163" s="457"/>
    </row>
    <row r="164" spans="15:15" s="456" customFormat="1" ht="20.100000000000001" customHeight="1">
      <c r="O164" s="457"/>
    </row>
    <row r="165" spans="15:15" s="456" customFormat="1" ht="20.100000000000001" customHeight="1">
      <c r="O165" s="457"/>
    </row>
    <row r="166" spans="15:15" s="456" customFormat="1" ht="20.100000000000001" customHeight="1">
      <c r="O166" s="457"/>
    </row>
    <row r="167" spans="15:15" s="456" customFormat="1" ht="20.100000000000001" customHeight="1">
      <c r="O167" s="457"/>
    </row>
    <row r="168" spans="15:15" s="456" customFormat="1" ht="20.100000000000001" customHeight="1">
      <c r="O168" s="457"/>
    </row>
    <row r="169" spans="15:15" s="456" customFormat="1" ht="20.100000000000001" customHeight="1">
      <c r="O169" s="457"/>
    </row>
    <row r="170" spans="15:15" s="456" customFormat="1" ht="20.100000000000001" customHeight="1">
      <c r="O170" s="457"/>
    </row>
    <row r="171" spans="15:15" s="456" customFormat="1" ht="20.100000000000001" customHeight="1">
      <c r="O171" s="457"/>
    </row>
    <row r="172" spans="15:15" s="456" customFormat="1" ht="20.100000000000001" customHeight="1">
      <c r="O172" s="457"/>
    </row>
    <row r="173" spans="15:15" s="456" customFormat="1" ht="20.100000000000001" customHeight="1">
      <c r="O173" s="457"/>
    </row>
    <row r="174" spans="15:15" s="456" customFormat="1" ht="20.100000000000001" customHeight="1">
      <c r="O174" s="457"/>
    </row>
    <row r="175" spans="15:15" s="456" customFormat="1" ht="20.100000000000001" customHeight="1">
      <c r="O175" s="457"/>
    </row>
    <row r="176" spans="15:15" s="456" customFormat="1" ht="20.100000000000001" customHeight="1">
      <c r="O176" s="457"/>
    </row>
    <row r="177" spans="15:15" s="456" customFormat="1" ht="20.100000000000001" customHeight="1">
      <c r="O177" s="457"/>
    </row>
    <row r="178" spans="15:15" s="456" customFormat="1" ht="20.100000000000001" customHeight="1">
      <c r="O178" s="457"/>
    </row>
    <row r="179" spans="15:15" s="456" customFormat="1" ht="20.100000000000001" customHeight="1">
      <c r="O179" s="457"/>
    </row>
    <row r="180" spans="15:15" s="456" customFormat="1" ht="20.100000000000001" customHeight="1">
      <c r="O180" s="457"/>
    </row>
    <row r="181" spans="15:15" s="456" customFormat="1" ht="20.100000000000001" customHeight="1">
      <c r="O181" s="457"/>
    </row>
    <row r="182" spans="15:15" s="456" customFormat="1" ht="20.100000000000001" customHeight="1">
      <c r="O182" s="457"/>
    </row>
    <row r="183" spans="15:15" s="456" customFormat="1" ht="20.100000000000001" customHeight="1">
      <c r="O183" s="457"/>
    </row>
    <row r="184" spans="15:15" s="456" customFormat="1" ht="20.100000000000001" customHeight="1">
      <c r="O184" s="457"/>
    </row>
    <row r="185" spans="15:15" s="456" customFormat="1" ht="20.100000000000001" customHeight="1">
      <c r="O185" s="457"/>
    </row>
    <row r="186" spans="15:15" s="456" customFormat="1" ht="20.100000000000001" customHeight="1">
      <c r="O186" s="457"/>
    </row>
    <row r="187" spans="15:15" s="456" customFormat="1" ht="20.100000000000001" customHeight="1">
      <c r="O187" s="457"/>
    </row>
    <row r="188" spans="15:15" s="456" customFormat="1" ht="20.100000000000001" customHeight="1">
      <c r="O188" s="457"/>
    </row>
    <row r="189" spans="15:15" s="456" customFormat="1" ht="20.100000000000001" customHeight="1">
      <c r="O189" s="457"/>
    </row>
    <row r="190" spans="15:15" s="456" customFormat="1" ht="20.100000000000001" customHeight="1">
      <c r="O190" s="457"/>
    </row>
    <row r="191" spans="15:15" s="456" customFormat="1" ht="20.100000000000001" customHeight="1">
      <c r="O191" s="457"/>
    </row>
  </sheetData>
  <sheetProtection algorithmName="SHA-512" hashValue="evr3txESIB5jrAy5wgyWPmU/RE1OTVEJwh4MjhljcefFk/6ipH0BJMz9DzqS3Cnm+ZqmFQnZMlA9eGsrjKg8NA==" saltValue="HOl6lYnMNsFGhz5JD5Cr5w==" spinCount="100000" sheet="1" formatCells="0" formatColumns="0" formatRows="0" insertColumns="0" insertRows="0" insertHyperlinks="0" deleteColumns="0" deleteRows="0" sort="0" autoFilter="0" pivotTables="0"/>
  <conditionalFormatting sqref="P21">
    <cfRule type="cellIs" dxfId="9" priority="1" operator="equal">
      <formula>0</formula>
    </cfRule>
  </conditionalFormatting>
  <pageMargins left="0" right="0" top="0" bottom="0" header="0" footer="0"/>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I49"/>
  <sheetViews>
    <sheetView showGridLines="0" showRowColHeaders="0" workbookViewId="0">
      <pane xSplit="3" ySplit="4" topLeftCell="D14" activePane="bottomRight" state="frozenSplit"/>
      <selection pane="topRight" activeCell="G1" sqref="G1"/>
      <selection pane="bottomLeft" activeCell="A12" sqref="A12"/>
      <selection pane="bottomRight" activeCell="B4" sqref="B4:C4"/>
    </sheetView>
  </sheetViews>
  <sheetFormatPr baseColWidth="10" defaultColWidth="11.44140625" defaultRowHeight="13.8"/>
  <cols>
    <col min="1" max="1" width="1.6640625" style="83" customWidth="1"/>
    <col min="2" max="2" width="6.6640625" style="83" customWidth="1"/>
    <col min="3" max="3" width="35.6640625" style="83" customWidth="1"/>
    <col min="4" max="21" width="10.6640625" style="83" customWidth="1"/>
    <col min="22" max="22" width="9.6640625" style="83" customWidth="1"/>
    <col min="23" max="16384" width="11.44140625" style="83"/>
  </cols>
  <sheetData>
    <row r="1" spans="2:35" ht="6" customHeight="1"/>
    <row r="2" spans="2:35" ht="21.9" customHeight="1">
      <c r="B2" s="1255" t="str">
        <f>IF(ISBLANK(entreprise)," ",entreprise)</f>
        <v xml:space="preserve"> </v>
      </c>
      <c r="C2" s="1256"/>
      <c r="D2" s="1253" t="s">
        <v>216</v>
      </c>
      <c r="E2" s="988"/>
      <c r="F2" s="988"/>
      <c r="G2" s="988"/>
      <c r="H2" s="988"/>
      <c r="I2" s="988"/>
      <c r="J2" s="988"/>
      <c r="K2" s="988"/>
      <c r="L2" s="988"/>
      <c r="M2" s="988"/>
      <c r="N2" s="988"/>
      <c r="O2" s="988"/>
      <c r="P2" s="988"/>
      <c r="Q2" s="988"/>
      <c r="R2" s="988"/>
      <c r="S2" s="988"/>
      <c r="T2" s="988"/>
      <c r="U2" s="1254"/>
    </row>
    <row r="3" spans="2:35" s="250" customFormat="1" ht="18" customHeight="1">
      <c r="B3" s="1257" t="str">
        <f>IF(ISBLANK(D5),"Renseigner le solde de trésorerie en début du 1° mois"," ")</f>
        <v>Renseigner le solde de trésorerie en début du 1° mois</v>
      </c>
      <c r="C3" s="1257"/>
      <c r="D3" s="1117" t="s">
        <v>241</v>
      </c>
      <c r="E3" s="1117"/>
      <c r="F3" s="1117"/>
    </row>
    <row r="4" spans="2:35" s="250" customFormat="1" ht="21.9" customHeight="1">
      <c r="B4" s="1258" t="s">
        <v>217</v>
      </c>
      <c r="C4" s="1259"/>
      <c r="D4" s="713">
        <v>1</v>
      </c>
      <c r="E4" s="711">
        <v>2</v>
      </c>
      <c r="F4" s="711">
        <v>3</v>
      </c>
      <c r="G4" s="711">
        <v>4</v>
      </c>
      <c r="H4" s="711">
        <v>5</v>
      </c>
      <c r="I4" s="711">
        <v>6</v>
      </c>
      <c r="J4" s="711">
        <v>7</v>
      </c>
      <c r="K4" s="711">
        <v>8</v>
      </c>
      <c r="L4" s="711">
        <v>9</v>
      </c>
      <c r="M4" s="711">
        <v>10</v>
      </c>
      <c r="N4" s="711">
        <v>11</v>
      </c>
      <c r="O4" s="711">
        <v>12</v>
      </c>
      <c r="P4" s="711">
        <v>13</v>
      </c>
      <c r="Q4" s="711">
        <v>14</v>
      </c>
      <c r="R4" s="711">
        <v>15</v>
      </c>
      <c r="S4" s="711">
        <v>16</v>
      </c>
      <c r="T4" s="711">
        <v>17</v>
      </c>
      <c r="U4" s="714">
        <v>18</v>
      </c>
    </row>
    <row r="5" spans="2:35" s="250" customFormat="1" ht="21.9" customHeight="1">
      <c r="B5" s="1260" t="s">
        <v>192</v>
      </c>
      <c r="C5" s="1261"/>
      <c r="D5" s="495"/>
      <c r="E5" s="377">
        <f>D41</f>
        <v>0</v>
      </c>
      <c r="F5" s="377">
        <f t="shared" ref="F5:U5" si="0">E41</f>
        <v>0</v>
      </c>
      <c r="G5" s="377">
        <f t="shared" si="0"/>
        <v>0</v>
      </c>
      <c r="H5" s="378">
        <f t="shared" si="0"/>
        <v>0</v>
      </c>
      <c r="I5" s="377">
        <f t="shared" si="0"/>
        <v>0</v>
      </c>
      <c r="J5" s="377">
        <f t="shared" si="0"/>
        <v>0</v>
      </c>
      <c r="K5" s="377">
        <f t="shared" si="0"/>
        <v>0</v>
      </c>
      <c r="L5" s="377">
        <f t="shared" si="0"/>
        <v>0</v>
      </c>
      <c r="M5" s="377">
        <f t="shared" si="0"/>
        <v>0</v>
      </c>
      <c r="N5" s="377">
        <f t="shared" si="0"/>
        <v>0</v>
      </c>
      <c r="O5" s="377">
        <f t="shared" si="0"/>
        <v>0</v>
      </c>
      <c r="P5" s="377">
        <f t="shared" si="0"/>
        <v>0</v>
      </c>
      <c r="Q5" s="377">
        <f t="shared" si="0"/>
        <v>0</v>
      </c>
      <c r="R5" s="377">
        <f t="shared" si="0"/>
        <v>0</v>
      </c>
      <c r="S5" s="377">
        <f t="shared" si="0"/>
        <v>0</v>
      </c>
      <c r="T5" s="377">
        <f t="shared" si="0"/>
        <v>0</v>
      </c>
      <c r="U5" s="379">
        <f t="shared" si="0"/>
        <v>0</v>
      </c>
    </row>
    <row r="6" spans="2:35" s="422" customFormat="1" ht="20.100000000000001" customHeight="1">
      <c r="B6" s="1262" t="s">
        <v>193</v>
      </c>
      <c r="C6" s="413" t="s">
        <v>226</v>
      </c>
      <c r="D6" s="417">
        <f>'Encaissement des ventes 1°année'!Q6</f>
        <v>0</v>
      </c>
      <c r="E6" s="418">
        <f>'Encaissement des ventes 1°année'!Q7</f>
        <v>0</v>
      </c>
      <c r="F6" s="418">
        <f>'Encaissement des ventes 1°année'!Q8</f>
        <v>0</v>
      </c>
      <c r="G6" s="418">
        <f>'Encaissement des ventes 1°année'!Q9</f>
        <v>0</v>
      </c>
      <c r="H6" s="419">
        <f>'Encaissement des ventes 1°année'!Q10</f>
        <v>0</v>
      </c>
      <c r="I6" s="418">
        <f>'Encaissement des ventes 1°année'!Q11</f>
        <v>0</v>
      </c>
      <c r="J6" s="418">
        <f>'Encaissement des ventes 1°année'!Q12</f>
        <v>0</v>
      </c>
      <c r="K6" s="418">
        <f>'Encaissement des ventes 1°année'!Q13</f>
        <v>0</v>
      </c>
      <c r="L6" s="418">
        <f>'Encaissement des ventes 1°année'!Q14</f>
        <v>0</v>
      </c>
      <c r="M6" s="418">
        <f>'Encaissement des ventes 1°année'!Q15</f>
        <v>0</v>
      </c>
      <c r="N6" s="418">
        <f>'Encaissement des ventes 1°année'!Q16</f>
        <v>0</v>
      </c>
      <c r="O6" s="418">
        <f>'Encaissement des ventes 1°année'!Q17</f>
        <v>0</v>
      </c>
      <c r="P6" s="418">
        <f>'Encaissement des ventes 1°année'!Q18</f>
        <v>0</v>
      </c>
      <c r="Q6" s="418">
        <f>'Encaissement des ventes 1°année'!Q19</f>
        <v>0</v>
      </c>
      <c r="R6" s="418">
        <f>'Encaissement des ventes 1°année'!Q20</f>
        <v>0</v>
      </c>
      <c r="S6" s="418">
        <f>'Encaissement des ventes 1°année'!Q21</f>
        <v>0</v>
      </c>
      <c r="T6" s="418">
        <v>0</v>
      </c>
      <c r="U6" s="420"/>
      <c r="V6" s="421" t="str">
        <f>IF(SUM(D6:U6)=ca_ttc,"ok",SUM(D6:U6)-ca_ttc)</f>
        <v>ok</v>
      </c>
    </row>
    <row r="7" spans="2:35" s="422" customFormat="1" ht="20.100000000000001" customHeight="1">
      <c r="B7" s="1263"/>
      <c r="C7" s="414" t="s">
        <v>227</v>
      </c>
      <c r="D7" s="423"/>
      <c r="E7" s="424"/>
      <c r="F7" s="424"/>
      <c r="G7" s="424"/>
      <c r="H7" s="425"/>
      <c r="I7" s="424"/>
      <c r="J7" s="424"/>
      <c r="K7" s="424"/>
      <c r="L7" s="424"/>
      <c r="M7" s="424"/>
      <c r="N7" s="424"/>
      <c r="O7" s="424"/>
      <c r="P7" s="424"/>
      <c r="Q7" s="424"/>
      <c r="R7" s="424"/>
      <c r="S7" s="424"/>
      <c r="T7" s="424"/>
      <c r="U7" s="426"/>
    </row>
    <row r="8" spans="2:35" s="422" customFormat="1" ht="20.100000000000001" customHeight="1">
      <c r="B8" s="1263"/>
      <c r="C8" s="415" t="s">
        <v>194</v>
      </c>
      <c r="D8" s="427"/>
      <c r="E8" s="428"/>
      <c r="F8" s="428"/>
      <c r="G8" s="428"/>
      <c r="H8" s="429"/>
      <c r="I8" s="428"/>
      <c r="J8" s="428"/>
      <c r="K8" s="428"/>
      <c r="L8" s="428"/>
      <c r="M8" s="428"/>
      <c r="N8" s="428"/>
      <c r="O8" s="428"/>
      <c r="P8" s="428"/>
      <c r="Q8" s="428"/>
      <c r="R8" s="428"/>
      <c r="S8" s="428"/>
      <c r="T8" s="428"/>
      <c r="U8" s="430"/>
    </row>
    <row r="9" spans="2:35" s="432" customFormat="1" ht="20.100000000000001" customHeight="1">
      <c r="B9" s="1263"/>
      <c r="C9" s="416" t="s">
        <v>195</v>
      </c>
      <c r="D9" s="423"/>
      <c r="E9" s="424"/>
      <c r="F9" s="424"/>
      <c r="G9" s="424"/>
      <c r="H9" s="425"/>
      <c r="I9" s="424"/>
      <c r="J9" s="424"/>
      <c r="K9" s="424"/>
      <c r="L9" s="424"/>
      <c r="M9" s="424"/>
      <c r="N9" s="424"/>
      <c r="O9" s="424"/>
      <c r="P9" s="424"/>
      <c r="Q9" s="424"/>
      <c r="R9" s="424"/>
      <c r="S9" s="424"/>
      <c r="T9" s="424"/>
      <c r="U9" s="426"/>
      <c r="V9" s="422"/>
      <c r="W9" s="422"/>
      <c r="X9" s="422"/>
      <c r="Y9" s="422"/>
      <c r="Z9" s="422"/>
      <c r="AA9" s="422"/>
      <c r="AB9" s="422"/>
      <c r="AC9" s="422"/>
      <c r="AD9" s="422"/>
      <c r="AE9" s="422"/>
      <c r="AF9" s="422"/>
      <c r="AG9" s="422"/>
      <c r="AH9" s="422"/>
      <c r="AI9" s="422"/>
    </row>
    <row r="10" spans="2:35" s="432" customFormat="1" ht="20.100000000000001" customHeight="1">
      <c r="B10" s="1263"/>
      <c r="C10" s="416" t="s">
        <v>196</v>
      </c>
      <c r="D10" s="423"/>
      <c r="E10" s="424"/>
      <c r="F10" s="424"/>
      <c r="G10" s="424"/>
      <c r="H10" s="425"/>
      <c r="I10" s="424"/>
      <c r="J10" s="424"/>
      <c r="K10" s="424"/>
      <c r="L10" s="424"/>
      <c r="M10" s="424"/>
      <c r="N10" s="424"/>
      <c r="O10" s="424"/>
      <c r="P10" s="424"/>
      <c r="Q10" s="424"/>
      <c r="R10" s="424"/>
      <c r="S10" s="424"/>
      <c r="T10" s="424"/>
      <c r="U10" s="426"/>
      <c r="V10" s="422"/>
      <c r="W10" s="422"/>
      <c r="X10" s="422"/>
      <c r="Y10" s="422"/>
      <c r="Z10" s="422"/>
      <c r="AA10" s="422"/>
      <c r="AB10" s="422"/>
      <c r="AC10" s="422"/>
      <c r="AD10" s="422"/>
      <c r="AE10" s="422"/>
      <c r="AF10" s="422"/>
      <c r="AG10" s="422"/>
      <c r="AH10" s="422"/>
      <c r="AI10" s="422"/>
    </row>
    <row r="11" spans="2:35" s="432" customFormat="1" ht="20.100000000000001" customHeight="1">
      <c r="B11" s="1263"/>
      <c r="C11" s="416" t="s">
        <v>197</v>
      </c>
      <c r="D11" s="423"/>
      <c r="E11" s="424"/>
      <c r="F11" s="424"/>
      <c r="G11" s="424"/>
      <c r="H11" s="425"/>
      <c r="I11" s="424"/>
      <c r="J11" s="424"/>
      <c r="K11" s="424"/>
      <c r="L11" s="424"/>
      <c r="M11" s="424"/>
      <c r="N11" s="424"/>
      <c r="O11" s="424"/>
      <c r="P11" s="424"/>
      <c r="Q11" s="424"/>
      <c r="R11" s="424"/>
      <c r="S11" s="424"/>
      <c r="T11" s="424"/>
      <c r="U11" s="426"/>
      <c r="V11" s="422"/>
      <c r="W11" s="422"/>
      <c r="X11" s="422"/>
      <c r="Y11" s="422"/>
      <c r="Z11" s="422"/>
      <c r="AA11" s="422"/>
      <c r="AB11" s="422"/>
      <c r="AC11" s="422"/>
      <c r="AD11" s="422"/>
      <c r="AE11" s="422"/>
      <c r="AF11" s="422"/>
      <c r="AG11" s="422"/>
      <c r="AH11" s="422"/>
      <c r="AI11" s="422"/>
    </row>
    <row r="12" spans="2:35" s="432" customFormat="1" ht="20.100000000000001" customHeight="1">
      <c r="B12" s="1263"/>
      <c r="C12" s="416" t="s">
        <v>198</v>
      </c>
      <c r="D12" s="423"/>
      <c r="E12" s="424"/>
      <c r="F12" s="424"/>
      <c r="G12" s="424"/>
      <c r="H12" s="425"/>
      <c r="I12" s="424"/>
      <c r="J12" s="424"/>
      <c r="K12" s="424"/>
      <c r="L12" s="424"/>
      <c r="M12" s="424"/>
      <c r="N12" s="424"/>
      <c r="O12" s="424"/>
      <c r="P12" s="424"/>
      <c r="Q12" s="424"/>
      <c r="R12" s="424"/>
      <c r="S12" s="424"/>
      <c r="T12" s="424"/>
      <c r="U12" s="426"/>
      <c r="V12" s="422"/>
      <c r="W12" s="422"/>
      <c r="X12" s="422"/>
      <c r="Y12" s="422"/>
      <c r="Z12" s="422"/>
      <c r="AA12" s="422"/>
      <c r="AB12" s="422"/>
      <c r="AC12" s="422"/>
      <c r="AD12" s="422"/>
      <c r="AE12" s="422"/>
      <c r="AF12" s="422"/>
      <c r="AG12" s="422"/>
      <c r="AH12" s="422"/>
      <c r="AI12" s="422"/>
    </row>
    <row r="13" spans="2:35" s="432" customFormat="1" ht="20.100000000000001" customHeight="1">
      <c r="B13" s="1263"/>
      <c r="C13" s="416" t="s">
        <v>199</v>
      </c>
      <c r="D13" s="431">
        <f>'Budget tva'!C18</f>
        <v>0</v>
      </c>
      <c r="E13" s="431">
        <f>'Budget tva'!D18</f>
        <v>0</v>
      </c>
      <c r="F13" s="431">
        <f>'Budget tva'!E18</f>
        <v>0</v>
      </c>
      <c r="G13" s="431">
        <f>'Budget tva'!F18</f>
        <v>0</v>
      </c>
      <c r="H13" s="431">
        <f>'Budget tva'!G18</f>
        <v>0</v>
      </c>
      <c r="I13" s="431">
        <f>'Budget tva'!H18</f>
        <v>0</v>
      </c>
      <c r="J13" s="431">
        <f>'Budget tva'!I18</f>
        <v>0</v>
      </c>
      <c r="K13" s="431">
        <f>'Budget tva'!J18</f>
        <v>0</v>
      </c>
      <c r="L13" s="431">
        <f>'Budget tva'!K18</f>
        <v>0</v>
      </c>
      <c r="M13" s="431">
        <f>'Budget tva'!L18</f>
        <v>0</v>
      </c>
      <c r="N13" s="431">
        <f>'Budget tva'!M18</f>
        <v>0</v>
      </c>
      <c r="O13" s="431">
        <f>'Budget tva'!N18</f>
        <v>0</v>
      </c>
      <c r="P13" s="424"/>
      <c r="Q13" s="424"/>
      <c r="R13" s="424"/>
      <c r="S13" s="424"/>
      <c r="T13" s="424"/>
      <c r="U13" s="426"/>
      <c r="V13" s="422"/>
      <c r="W13" s="422"/>
      <c r="X13" s="422"/>
      <c r="Y13" s="422"/>
      <c r="Z13" s="422"/>
      <c r="AA13" s="422"/>
      <c r="AB13" s="422"/>
      <c r="AC13" s="422"/>
      <c r="AD13" s="422"/>
      <c r="AE13" s="422"/>
      <c r="AF13" s="422"/>
      <c r="AG13" s="422"/>
      <c r="AH13" s="422"/>
      <c r="AI13" s="422"/>
    </row>
    <row r="14" spans="2:35" s="432" customFormat="1" ht="20.100000000000001" customHeight="1">
      <c r="B14" s="1263"/>
      <c r="C14" s="433"/>
      <c r="D14" s="423"/>
      <c r="E14" s="424"/>
      <c r="F14" s="424"/>
      <c r="G14" s="424"/>
      <c r="H14" s="425"/>
      <c r="I14" s="424"/>
      <c r="J14" s="424"/>
      <c r="K14" s="424"/>
      <c r="L14" s="424"/>
      <c r="M14" s="424"/>
      <c r="N14" s="424"/>
      <c r="O14" s="424"/>
      <c r="P14" s="424"/>
      <c r="Q14" s="424"/>
      <c r="R14" s="424"/>
      <c r="S14" s="424"/>
      <c r="T14" s="424"/>
      <c r="U14" s="426"/>
      <c r="V14" s="422"/>
      <c r="W14" s="422"/>
      <c r="X14" s="422"/>
      <c r="Y14" s="422"/>
      <c r="Z14" s="422"/>
      <c r="AA14" s="422"/>
      <c r="AB14" s="422"/>
      <c r="AC14" s="422"/>
      <c r="AD14" s="422"/>
      <c r="AE14" s="422"/>
      <c r="AF14" s="422"/>
      <c r="AG14" s="422"/>
      <c r="AH14" s="422"/>
      <c r="AI14" s="422"/>
    </row>
    <row r="15" spans="2:35" s="432" customFormat="1" ht="20.100000000000001" customHeight="1">
      <c r="B15" s="1263"/>
      <c r="C15" s="416" t="s">
        <v>200</v>
      </c>
      <c r="D15" s="423"/>
      <c r="E15" s="424"/>
      <c r="F15" s="424"/>
      <c r="G15" s="424"/>
      <c r="H15" s="425"/>
      <c r="I15" s="424"/>
      <c r="J15" s="424"/>
      <c r="K15" s="424"/>
      <c r="L15" s="424"/>
      <c r="M15" s="424"/>
      <c r="N15" s="424"/>
      <c r="O15" s="424"/>
      <c r="P15" s="424"/>
      <c r="Q15" s="424"/>
      <c r="R15" s="424"/>
      <c r="S15" s="424"/>
      <c r="T15" s="424"/>
      <c r="U15" s="426"/>
      <c r="V15" s="422"/>
      <c r="W15" s="422"/>
      <c r="X15" s="422"/>
      <c r="Y15" s="422"/>
      <c r="Z15" s="422"/>
      <c r="AA15" s="422"/>
      <c r="AB15" s="422"/>
      <c r="AC15" s="422"/>
      <c r="AD15" s="422"/>
      <c r="AE15" s="422"/>
      <c r="AF15" s="422"/>
      <c r="AG15" s="422"/>
      <c r="AH15" s="422"/>
      <c r="AI15" s="422"/>
    </row>
    <row r="16" spans="2:35" s="432" customFormat="1" ht="20.100000000000001" customHeight="1">
      <c r="B16" s="1263"/>
      <c r="C16" s="416" t="s">
        <v>222</v>
      </c>
      <c r="D16" s="423"/>
      <c r="E16" s="424"/>
      <c r="F16" s="424"/>
      <c r="G16" s="424"/>
      <c r="H16" s="425"/>
      <c r="I16" s="424"/>
      <c r="J16" s="424"/>
      <c r="K16" s="424"/>
      <c r="L16" s="424"/>
      <c r="M16" s="424"/>
      <c r="N16" s="424"/>
      <c r="O16" s="424"/>
      <c r="P16" s="424"/>
      <c r="Q16" s="424"/>
      <c r="R16" s="424"/>
      <c r="S16" s="424"/>
      <c r="T16" s="424"/>
      <c r="U16" s="426"/>
      <c r="V16" s="422"/>
      <c r="W16" s="422"/>
      <c r="X16" s="422"/>
      <c r="Y16" s="422"/>
      <c r="Z16" s="422"/>
      <c r="AA16" s="422"/>
      <c r="AB16" s="422"/>
      <c r="AC16" s="422"/>
      <c r="AD16" s="422"/>
      <c r="AE16" s="422"/>
      <c r="AF16" s="422"/>
      <c r="AG16" s="422"/>
      <c r="AH16" s="422"/>
      <c r="AI16" s="422"/>
    </row>
    <row r="17" spans="2:35" s="432" customFormat="1" ht="20.100000000000001" customHeight="1">
      <c r="B17" s="1263"/>
      <c r="C17" s="416"/>
      <c r="D17" s="423"/>
      <c r="E17" s="424"/>
      <c r="F17" s="424"/>
      <c r="G17" s="424"/>
      <c r="H17" s="425"/>
      <c r="I17" s="424"/>
      <c r="J17" s="424"/>
      <c r="K17" s="424"/>
      <c r="L17" s="424"/>
      <c r="M17" s="424"/>
      <c r="N17" s="424"/>
      <c r="O17" s="424"/>
      <c r="P17" s="424"/>
      <c r="Q17" s="424"/>
      <c r="R17" s="424"/>
      <c r="S17" s="424"/>
      <c r="T17" s="424"/>
      <c r="U17" s="426"/>
      <c r="V17" s="422"/>
      <c r="W17" s="422"/>
      <c r="X17" s="422"/>
      <c r="Y17" s="422"/>
      <c r="Z17" s="422"/>
      <c r="AA17" s="422"/>
      <c r="AB17" s="422"/>
      <c r="AC17" s="422"/>
      <c r="AD17" s="422"/>
      <c r="AE17" s="422"/>
      <c r="AF17" s="422"/>
      <c r="AG17" s="422"/>
      <c r="AH17" s="422"/>
      <c r="AI17" s="422"/>
    </row>
    <row r="18" spans="2:35" s="432" customFormat="1" ht="20.100000000000001" customHeight="1">
      <c r="B18" s="1264"/>
      <c r="C18" s="434"/>
      <c r="D18" s="427"/>
      <c r="E18" s="428"/>
      <c r="F18" s="428"/>
      <c r="G18" s="428"/>
      <c r="H18" s="429"/>
      <c r="I18" s="428"/>
      <c r="J18" s="428"/>
      <c r="K18" s="428"/>
      <c r="L18" s="428"/>
      <c r="M18" s="428"/>
      <c r="N18" s="428"/>
      <c r="O18" s="428"/>
      <c r="P18" s="428"/>
      <c r="Q18" s="428"/>
      <c r="R18" s="428"/>
      <c r="S18" s="428"/>
      <c r="T18" s="428"/>
      <c r="U18" s="430"/>
      <c r="V18" s="422"/>
      <c r="W18" s="422"/>
      <c r="X18" s="422"/>
      <c r="Y18" s="422"/>
      <c r="Z18" s="422"/>
      <c r="AA18" s="422"/>
      <c r="AB18" s="422"/>
      <c r="AC18" s="422"/>
      <c r="AD18" s="422"/>
      <c r="AE18" s="422"/>
      <c r="AF18" s="422"/>
      <c r="AG18" s="422"/>
      <c r="AH18" s="422"/>
      <c r="AI18" s="422"/>
    </row>
    <row r="19" spans="2:35" s="468" customFormat="1" ht="21.9" customHeight="1">
      <c r="B19" s="1265" t="s">
        <v>201</v>
      </c>
      <c r="C19" s="1266"/>
      <c r="D19" s="464">
        <f>SUM(D6:D18)</f>
        <v>0</v>
      </c>
      <c r="E19" s="465">
        <f t="shared" ref="E19:T19" si="1">SUM(E6:E18)</f>
        <v>0</v>
      </c>
      <c r="F19" s="465">
        <f t="shared" si="1"/>
        <v>0</v>
      </c>
      <c r="G19" s="465">
        <f t="shared" si="1"/>
        <v>0</v>
      </c>
      <c r="H19" s="465">
        <f t="shared" si="1"/>
        <v>0</v>
      </c>
      <c r="I19" s="465">
        <f t="shared" si="1"/>
        <v>0</v>
      </c>
      <c r="J19" s="465">
        <f t="shared" si="1"/>
        <v>0</v>
      </c>
      <c r="K19" s="465">
        <f t="shared" si="1"/>
        <v>0</v>
      </c>
      <c r="L19" s="465">
        <f t="shared" si="1"/>
        <v>0</v>
      </c>
      <c r="M19" s="465">
        <f t="shared" si="1"/>
        <v>0</v>
      </c>
      <c r="N19" s="465">
        <f t="shared" si="1"/>
        <v>0</v>
      </c>
      <c r="O19" s="465">
        <f t="shared" si="1"/>
        <v>0</v>
      </c>
      <c r="P19" s="465">
        <f t="shared" si="1"/>
        <v>0</v>
      </c>
      <c r="Q19" s="465">
        <f t="shared" si="1"/>
        <v>0</v>
      </c>
      <c r="R19" s="465">
        <f t="shared" si="1"/>
        <v>0</v>
      </c>
      <c r="S19" s="465">
        <f t="shared" si="1"/>
        <v>0</v>
      </c>
      <c r="T19" s="465">
        <f t="shared" si="1"/>
        <v>0</v>
      </c>
      <c r="U19" s="466">
        <f>SUM(U6:U18)</f>
        <v>0</v>
      </c>
      <c r="V19" s="467"/>
      <c r="W19" s="467"/>
      <c r="X19" s="467"/>
      <c r="Y19" s="467"/>
      <c r="Z19" s="467"/>
      <c r="AA19" s="467"/>
      <c r="AB19" s="467"/>
      <c r="AC19" s="467"/>
      <c r="AD19" s="467"/>
      <c r="AE19" s="467"/>
      <c r="AF19" s="467"/>
      <c r="AG19" s="467"/>
      <c r="AH19" s="467"/>
      <c r="AI19" s="467"/>
    </row>
    <row r="20" spans="2:35" s="384" customFormat="1" ht="20.100000000000001" customHeight="1">
      <c r="B20" s="1267" t="s">
        <v>202</v>
      </c>
      <c r="C20" s="406" t="s">
        <v>228</v>
      </c>
      <c r="D20" s="400">
        <f>'Décaissement des achats 1°année'!R6</f>
        <v>0</v>
      </c>
      <c r="E20" s="381">
        <f>'Décaissement des achats 1°année'!R7</f>
        <v>0</v>
      </c>
      <c r="F20" s="381">
        <f>'Décaissement des achats 1°année'!R8</f>
        <v>0</v>
      </c>
      <c r="G20" s="381">
        <f>'Décaissement des achats 1°année'!R9</f>
        <v>0</v>
      </c>
      <c r="H20" s="382">
        <f>'Décaissement des achats 1°année'!R10</f>
        <v>0</v>
      </c>
      <c r="I20" s="381">
        <f>'Décaissement des achats 1°année'!R11</f>
        <v>0</v>
      </c>
      <c r="J20" s="381">
        <f>'Décaissement des achats 1°année'!R12</f>
        <v>0</v>
      </c>
      <c r="K20" s="381">
        <f>'Décaissement des achats 1°année'!R13</f>
        <v>0</v>
      </c>
      <c r="L20" s="381">
        <f>'Décaissement des achats 1°année'!R14</f>
        <v>0</v>
      </c>
      <c r="M20" s="381">
        <f>'Décaissement des achats 1°année'!R15</f>
        <v>0</v>
      </c>
      <c r="N20" s="381">
        <f>'Décaissement des achats 1°année'!R16</f>
        <v>0</v>
      </c>
      <c r="O20" s="381">
        <f>'Décaissement des achats 1°année'!R17</f>
        <v>0</v>
      </c>
      <c r="P20" s="381">
        <f>'Décaissement des achats 1°année'!R18</f>
        <v>0</v>
      </c>
      <c r="Q20" s="381">
        <f>'Décaissement des achats 1°année'!R19</f>
        <v>0</v>
      </c>
      <c r="R20" s="381">
        <f>'Décaissement des achats 1°année'!R20</f>
        <v>0</v>
      </c>
      <c r="S20" s="381">
        <f>'Décaissement des achats 1°année'!R21</f>
        <v>0</v>
      </c>
      <c r="T20" s="381">
        <f>'Décaissement des achats 1°année'!R22</f>
        <v>0</v>
      </c>
      <c r="U20" s="383"/>
      <c r="V20" s="369" t="str">
        <f>IF(SUM(D20:U20)=achats_ttc,"ok",SUM(D20:U20)-achats_ttc)</f>
        <v>ok</v>
      </c>
    </row>
    <row r="21" spans="2:35" s="384" customFormat="1" ht="20.100000000000001" customHeight="1">
      <c r="B21" s="1268"/>
      <c r="C21" s="407" t="s">
        <v>229</v>
      </c>
      <c r="D21" s="401"/>
      <c r="E21" s="385"/>
      <c r="F21" s="385"/>
      <c r="G21" s="385"/>
      <c r="H21" s="386"/>
      <c r="I21" s="385"/>
      <c r="J21" s="385"/>
      <c r="K21" s="385"/>
      <c r="L21" s="385"/>
      <c r="M21" s="385"/>
      <c r="N21" s="385"/>
      <c r="O21" s="385"/>
      <c r="P21" s="385"/>
      <c r="Q21" s="385"/>
      <c r="R21" s="385"/>
      <c r="S21" s="385"/>
      <c r="T21" s="385"/>
      <c r="U21" s="387"/>
    </row>
    <row r="22" spans="2:35" s="384" customFormat="1" ht="20.100000000000001" customHeight="1">
      <c r="B22" s="1268"/>
      <c r="C22" s="408" t="s">
        <v>203</v>
      </c>
      <c r="D22" s="402"/>
      <c r="E22" s="388"/>
      <c r="F22" s="388"/>
      <c r="G22" s="388"/>
      <c r="H22" s="389"/>
      <c r="I22" s="388"/>
      <c r="J22" s="388"/>
      <c r="K22" s="388"/>
      <c r="L22" s="388"/>
      <c r="M22" s="388"/>
      <c r="N22" s="388"/>
      <c r="O22" s="388"/>
      <c r="P22" s="388"/>
      <c r="Q22" s="388"/>
      <c r="R22" s="388"/>
      <c r="S22" s="388"/>
      <c r="T22" s="388"/>
      <c r="U22" s="390"/>
    </row>
    <row r="23" spans="2:35" s="384" customFormat="1" ht="20.100000000000001" customHeight="1">
      <c r="B23" s="1268"/>
      <c r="C23" s="407" t="s">
        <v>204</v>
      </c>
      <c r="D23" s="401"/>
      <c r="E23" s="385"/>
      <c r="F23" s="385"/>
      <c r="G23" s="385"/>
      <c r="H23" s="386"/>
      <c r="I23" s="385"/>
      <c r="J23" s="385"/>
      <c r="K23" s="385"/>
      <c r="L23" s="385"/>
      <c r="M23" s="385"/>
      <c r="N23" s="385"/>
      <c r="O23" s="385"/>
      <c r="P23" s="385"/>
      <c r="Q23" s="385"/>
      <c r="R23" s="385"/>
      <c r="S23" s="385"/>
      <c r="T23" s="385"/>
      <c r="U23" s="387"/>
    </row>
    <row r="24" spans="2:35" s="384" customFormat="1" ht="20.100000000000001" customHeight="1">
      <c r="B24" s="1268"/>
      <c r="C24" s="407" t="s">
        <v>205</v>
      </c>
      <c r="D24" s="401"/>
      <c r="E24" s="385"/>
      <c r="F24" s="385"/>
      <c r="G24" s="385"/>
      <c r="H24" s="386"/>
      <c r="I24" s="385"/>
      <c r="J24" s="385"/>
      <c r="K24" s="385"/>
      <c r="L24" s="385"/>
      <c r="M24" s="385"/>
      <c r="N24" s="385"/>
      <c r="O24" s="385"/>
      <c r="P24" s="385"/>
      <c r="Q24" s="385"/>
      <c r="R24" s="385"/>
      <c r="S24" s="385"/>
      <c r="T24" s="385"/>
      <c r="U24" s="387"/>
    </row>
    <row r="25" spans="2:35" s="391" customFormat="1" ht="20.100000000000001" customHeight="1">
      <c r="B25" s="1268"/>
      <c r="C25" s="409" t="s">
        <v>206</v>
      </c>
      <c r="D25" s="401"/>
      <c r="E25" s="385"/>
      <c r="F25" s="385"/>
      <c r="G25" s="385"/>
      <c r="H25" s="386"/>
      <c r="I25" s="385"/>
      <c r="J25" s="385"/>
      <c r="K25" s="385"/>
      <c r="L25" s="385"/>
      <c r="M25" s="385"/>
      <c r="N25" s="385"/>
      <c r="O25" s="385"/>
      <c r="P25" s="385"/>
      <c r="Q25" s="385"/>
      <c r="R25" s="385"/>
      <c r="S25" s="385"/>
      <c r="T25" s="385"/>
      <c r="U25" s="387"/>
      <c r="V25" s="384"/>
      <c r="W25" s="384"/>
      <c r="X25" s="384"/>
      <c r="Y25" s="384"/>
      <c r="Z25" s="384"/>
      <c r="AA25" s="384"/>
      <c r="AB25" s="384"/>
      <c r="AC25" s="384"/>
      <c r="AD25" s="384"/>
      <c r="AE25" s="384"/>
      <c r="AF25" s="384"/>
      <c r="AG25" s="384"/>
      <c r="AH25" s="384"/>
      <c r="AI25" s="384"/>
    </row>
    <row r="26" spans="2:35" s="391" customFormat="1" ht="20.100000000000001" customHeight="1">
      <c r="B26" s="1268"/>
      <c r="C26" s="409" t="s">
        <v>242</v>
      </c>
      <c r="D26" s="401"/>
      <c r="E26" s="385"/>
      <c r="F26" s="385"/>
      <c r="G26" s="385"/>
      <c r="H26" s="386"/>
      <c r="I26" s="385"/>
      <c r="J26" s="385"/>
      <c r="K26" s="385"/>
      <c r="L26" s="385"/>
      <c r="M26" s="385"/>
      <c r="N26" s="385"/>
      <c r="O26" s="385"/>
      <c r="P26" s="385"/>
      <c r="Q26" s="385"/>
      <c r="R26" s="385"/>
      <c r="S26" s="385"/>
      <c r="T26" s="385"/>
      <c r="U26" s="387"/>
      <c r="V26" s="384"/>
      <c r="W26" s="384"/>
      <c r="X26" s="384"/>
      <c r="Y26" s="384"/>
      <c r="Z26" s="384"/>
      <c r="AA26" s="384"/>
      <c r="AB26" s="384"/>
      <c r="AC26" s="384"/>
      <c r="AD26" s="384"/>
      <c r="AE26" s="384"/>
      <c r="AF26" s="384"/>
      <c r="AG26" s="384"/>
      <c r="AH26" s="384"/>
      <c r="AI26" s="384"/>
    </row>
    <row r="27" spans="2:35" s="391" customFormat="1" ht="20.100000000000001" customHeight="1">
      <c r="B27" s="1268"/>
      <c r="C27" s="409" t="s">
        <v>207</v>
      </c>
      <c r="D27" s="401"/>
      <c r="E27" s="385"/>
      <c r="F27" s="385"/>
      <c r="G27" s="385"/>
      <c r="H27" s="386"/>
      <c r="I27" s="385"/>
      <c r="J27" s="385"/>
      <c r="K27" s="385"/>
      <c r="L27" s="385"/>
      <c r="M27" s="385"/>
      <c r="N27" s="385"/>
      <c r="O27" s="385"/>
      <c r="P27" s="385"/>
      <c r="Q27" s="385"/>
      <c r="R27" s="385"/>
      <c r="S27" s="385"/>
      <c r="T27" s="385"/>
      <c r="U27" s="387"/>
      <c r="V27" s="384"/>
      <c r="W27" s="384"/>
      <c r="X27" s="384"/>
      <c r="Y27" s="384"/>
      <c r="Z27" s="384"/>
      <c r="AA27" s="384"/>
      <c r="AB27" s="384"/>
      <c r="AC27" s="384"/>
      <c r="AD27" s="384"/>
      <c r="AE27" s="384"/>
      <c r="AF27" s="384"/>
      <c r="AG27" s="384"/>
      <c r="AH27" s="384"/>
      <c r="AI27" s="384"/>
    </row>
    <row r="28" spans="2:35" s="391" customFormat="1" ht="20.100000000000001" customHeight="1">
      <c r="B28" s="1268"/>
      <c r="C28" s="409" t="s">
        <v>225</v>
      </c>
      <c r="D28" s="401"/>
      <c r="E28" s="385"/>
      <c r="F28" s="385"/>
      <c r="G28" s="385"/>
      <c r="H28" s="386"/>
      <c r="I28" s="385"/>
      <c r="J28" s="385"/>
      <c r="K28" s="385"/>
      <c r="L28" s="385"/>
      <c r="M28" s="385"/>
      <c r="N28" s="385"/>
      <c r="O28" s="385"/>
      <c r="P28" s="385"/>
      <c r="Q28" s="385"/>
      <c r="R28" s="385"/>
      <c r="S28" s="385"/>
      <c r="T28" s="385"/>
      <c r="U28" s="387"/>
      <c r="V28" s="384"/>
      <c r="W28" s="384"/>
      <c r="X28" s="384"/>
      <c r="Y28" s="384"/>
      <c r="Z28" s="384"/>
      <c r="AA28" s="384"/>
      <c r="AB28" s="384"/>
      <c r="AC28" s="384"/>
      <c r="AD28" s="384"/>
      <c r="AE28" s="384"/>
      <c r="AF28" s="384"/>
      <c r="AG28" s="384"/>
      <c r="AH28" s="384"/>
      <c r="AI28" s="384"/>
    </row>
    <row r="29" spans="2:35" s="391" customFormat="1" ht="20.100000000000001" customHeight="1">
      <c r="B29" s="1268"/>
      <c r="C29" s="409" t="s">
        <v>208</v>
      </c>
      <c r="D29" s="401"/>
      <c r="E29" s="385"/>
      <c r="F29" s="385"/>
      <c r="G29" s="385"/>
      <c r="H29" s="386"/>
      <c r="I29" s="385"/>
      <c r="J29" s="385"/>
      <c r="K29" s="385"/>
      <c r="L29" s="385"/>
      <c r="M29" s="385"/>
      <c r="N29" s="385"/>
      <c r="O29" s="385"/>
      <c r="P29" s="385"/>
      <c r="Q29" s="385"/>
      <c r="R29" s="385"/>
      <c r="S29" s="385"/>
      <c r="T29" s="385"/>
      <c r="U29" s="387"/>
      <c r="V29" s="384"/>
      <c r="W29" s="384"/>
      <c r="X29" s="384"/>
      <c r="Y29" s="384"/>
      <c r="Z29" s="384"/>
      <c r="AA29" s="384"/>
      <c r="AB29" s="384"/>
      <c r="AC29" s="384"/>
      <c r="AD29" s="384"/>
      <c r="AE29" s="384"/>
      <c r="AF29" s="384"/>
      <c r="AG29" s="384"/>
      <c r="AH29" s="384"/>
      <c r="AI29" s="384"/>
    </row>
    <row r="30" spans="2:35" s="391" customFormat="1" ht="20.100000000000001" customHeight="1">
      <c r="B30" s="1268"/>
      <c r="C30" s="409" t="s">
        <v>209</v>
      </c>
      <c r="D30" s="401"/>
      <c r="E30" s="385"/>
      <c r="F30" s="385"/>
      <c r="G30" s="385"/>
      <c r="H30" s="386"/>
      <c r="I30" s="385"/>
      <c r="J30" s="385"/>
      <c r="K30" s="385"/>
      <c r="L30" s="385"/>
      <c r="M30" s="385"/>
      <c r="N30" s="385"/>
      <c r="O30" s="385"/>
      <c r="P30" s="385"/>
      <c r="Q30" s="385"/>
      <c r="R30" s="385"/>
      <c r="S30" s="385"/>
      <c r="T30" s="385"/>
      <c r="U30" s="387"/>
      <c r="V30" s="384"/>
      <c r="W30" s="384"/>
      <c r="X30" s="384"/>
      <c r="Y30" s="384"/>
      <c r="Z30" s="384"/>
      <c r="AA30" s="384"/>
      <c r="AB30" s="384"/>
      <c r="AC30" s="384"/>
      <c r="AD30" s="384"/>
      <c r="AE30" s="384"/>
      <c r="AF30" s="384"/>
      <c r="AG30" s="384"/>
      <c r="AH30" s="384"/>
      <c r="AI30" s="384"/>
    </row>
    <row r="31" spans="2:35" s="391" customFormat="1" ht="20.100000000000001" customHeight="1">
      <c r="B31" s="1268"/>
      <c r="C31" s="410" t="s">
        <v>210</v>
      </c>
      <c r="D31" s="403"/>
      <c r="E31" s="392"/>
      <c r="F31" s="392"/>
      <c r="G31" s="392"/>
      <c r="H31" s="393"/>
      <c r="I31" s="392"/>
      <c r="J31" s="392"/>
      <c r="K31" s="392"/>
      <c r="L31" s="392"/>
      <c r="M31" s="392"/>
      <c r="N31" s="392"/>
      <c r="O31" s="392"/>
      <c r="P31" s="392"/>
      <c r="Q31" s="392"/>
      <c r="R31" s="392"/>
      <c r="S31" s="392"/>
      <c r="T31" s="392"/>
      <c r="U31" s="394"/>
      <c r="V31" s="384"/>
      <c r="W31" s="384"/>
      <c r="X31" s="384"/>
      <c r="Y31" s="384"/>
      <c r="Z31" s="384"/>
      <c r="AA31" s="384"/>
      <c r="AB31" s="384"/>
      <c r="AC31" s="384"/>
      <c r="AD31" s="384"/>
      <c r="AE31" s="384"/>
      <c r="AF31" s="384"/>
      <c r="AG31" s="384"/>
      <c r="AH31" s="384"/>
      <c r="AI31" s="384"/>
    </row>
    <row r="32" spans="2:35" s="391" customFormat="1" ht="20.100000000000001" customHeight="1">
      <c r="B32" s="1268"/>
      <c r="C32" s="410" t="s">
        <v>211</v>
      </c>
      <c r="D32" s="404">
        <f>'Budget tva'!C20</f>
        <v>0</v>
      </c>
      <c r="E32" s="404">
        <f>'Budget tva'!D20</f>
        <v>0</v>
      </c>
      <c r="F32" s="404">
        <f>'Budget tva'!E20</f>
        <v>0</v>
      </c>
      <c r="G32" s="404">
        <f>'Budget tva'!F20</f>
        <v>0</v>
      </c>
      <c r="H32" s="404">
        <f>'Budget tva'!G20</f>
        <v>0</v>
      </c>
      <c r="I32" s="404">
        <f>'Budget tva'!H20</f>
        <v>0</v>
      </c>
      <c r="J32" s="404">
        <f>'Budget tva'!I20</f>
        <v>0</v>
      </c>
      <c r="K32" s="404">
        <f>'Budget tva'!J20</f>
        <v>0</v>
      </c>
      <c r="L32" s="404">
        <f>'Budget tva'!K20</f>
        <v>0</v>
      </c>
      <c r="M32" s="404">
        <f>'Budget tva'!L20</f>
        <v>0</v>
      </c>
      <c r="N32" s="404">
        <f>'Budget tva'!M20</f>
        <v>0</v>
      </c>
      <c r="O32" s="404">
        <f>'Budget tva'!N20</f>
        <v>0</v>
      </c>
      <c r="P32" s="392"/>
      <c r="Q32" s="392"/>
      <c r="R32" s="392"/>
      <c r="S32" s="392"/>
      <c r="T32" s="392"/>
      <c r="U32" s="394"/>
      <c r="V32" s="384"/>
      <c r="W32" s="384"/>
      <c r="X32" s="384"/>
      <c r="Y32" s="384"/>
      <c r="Z32" s="384"/>
      <c r="AA32" s="384"/>
      <c r="AB32" s="384"/>
      <c r="AC32" s="384"/>
      <c r="AD32" s="384"/>
      <c r="AE32" s="384"/>
      <c r="AF32" s="384"/>
      <c r="AG32" s="384"/>
      <c r="AH32" s="384"/>
      <c r="AI32" s="384"/>
    </row>
    <row r="33" spans="2:35" s="391" customFormat="1" ht="20.100000000000001" customHeight="1" collapsed="1">
      <c r="B33" s="1268"/>
      <c r="C33" s="411"/>
      <c r="D33" s="403"/>
      <c r="E33" s="392"/>
      <c r="F33" s="392"/>
      <c r="G33" s="392"/>
      <c r="H33" s="393"/>
      <c r="I33" s="392"/>
      <c r="J33" s="392"/>
      <c r="K33" s="392"/>
      <c r="L33" s="392"/>
      <c r="M33" s="392"/>
      <c r="N33" s="392"/>
      <c r="O33" s="392"/>
      <c r="P33" s="392"/>
      <c r="Q33" s="392"/>
      <c r="R33" s="392"/>
      <c r="S33" s="392"/>
      <c r="T33" s="392"/>
      <c r="U33" s="394"/>
      <c r="V33" s="384"/>
      <c r="W33" s="384"/>
      <c r="X33" s="384"/>
      <c r="Y33" s="384"/>
      <c r="Z33" s="384"/>
      <c r="AA33" s="384"/>
      <c r="AB33" s="384"/>
      <c r="AC33" s="384"/>
      <c r="AD33" s="384"/>
      <c r="AE33" s="384"/>
      <c r="AF33" s="384"/>
      <c r="AG33" s="384"/>
      <c r="AH33" s="384"/>
      <c r="AI33" s="384"/>
    </row>
    <row r="34" spans="2:35" s="391" customFormat="1" ht="20.100000000000001" customHeight="1" collapsed="1">
      <c r="B34" s="1268"/>
      <c r="C34" s="410" t="s">
        <v>213</v>
      </c>
      <c r="D34" s="403"/>
      <c r="E34" s="392"/>
      <c r="F34" s="392"/>
      <c r="G34" s="392"/>
      <c r="H34" s="393"/>
      <c r="I34" s="392"/>
      <c r="J34" s="392"/>
      <c r="K34" s="392"/>
      <c r="L34" s="392"/>
      <c r="M34" s="392"/>
      <c r="N34" s="392"/>
      <c r="O34" s="392"/>
      <c r="P34" s="392"/>
      <c r="Q34" s="392"/>
      <c r="R34" s="392"/>
      <c r="S34" s="392"/>
      <c r="T34" s="392"/>
      <c r="U34" s="394"/>
      <c r="V34" s="384"/>
      <c r="W34" s="384"/>
      <c r="X34" s="384"/>
      <c r="Y34" s="384"/>
      <c r="Z34" s="384"/>
      <c r="AA34" s="384"/>
      <c r="AB34" s="384"/>
      <c r="AC34" s="384"/>
      <c r="AD34" s="384"/>
      <c r="AE34" s="384"/>
      <c r="AF34" s="384"/>
      <c r="AG34" s="384"/>
      <c r="AH34" s="384"/>
      <c r="AI34" s="384"/>
    </row>
    <row r="35" spans="2:35" s="391" customFormat="1" ht="20.100000000000001" customHeight="1" collapsed="1">
      <c r="B35" s="1268"/>
      <c r="C35" s="410" t="s">
        <v>212</v>
      </c>
      <c r="D35" s="403"/>
      <c r="E35" s="392"/>
      <c r="F35" s="392"/>
      <c r="G35" s="392"/>
      <c r="H35" s="393"/>
      <c r="I35" s="392"/>
      <c r="J35" s="392"/>
      <c r="K35" s="392"/>
      <c r="L35" s="392"/>
      <c r="M35" s="392"/>
      <c r="N35" s="392"/>
      <c r="O35" s="392"/>
      <c r="P35" s="392"/>
      <c r="Q35" s="392"/>
      <c r="R35" s="392"/>
      <c r="S35" s="392"/>
      <c r="T35" s="392"/>
      <c r="U35" s="394"/>
      <c r="V35" s="384"/>
      <c r="W35" s="384"/>
      <c r="X35" s="384"/>
      <c r="Y35" s="384"/>
      <c r="Z35" s="384"/>
      <c r="AA35" s="384"/>
      <c r="AB35" s="384"/>
      <c r="AC35" s="384"/>
      <c r="AD35" s="384"/>
      <c r="AE35" s="384"/>
      <c r="AF35" s="384"/>
      <c r="AG35" s="384"/>
      <c r="AH35" s="384"/>
      <c r="AI35" s="384"/>
    </row>
    <row r="36" spans="2:35" s="391" customFormat="1" ht="20.100000000000001" customHeight="1" collapsed="1">
      <c r="B36" s="1268"/>
      <c r="C36" s="410" t="s">
        <v>224</v>
      </c>
      <c r="D36" s="403"/>
      <c r="E36" s="392"/>
      <c r="F36" s="392"/>
      <c r="G36" s="392"/>
      <c r="H36" s="393"/>
      <c r="I36" s="392"/>
      <c r="J36" s="392"/>
      <c r="K36" s="392"/>
      <c r="L36" s="392"/>
      <c r="M36" s="392"/>
      <c r="N36" s="392"/>
      <c r="O36" s="392"/>
      <c r="P36" s="392"/>
      <c r="Q36" s="392"/>
      <c r="R36" s="392"/>
      <c r="S36" s="392"/>
      <c r="T36" s="392"/>
      <c r="U36" s="394"/>
      <c r="V36" s="384"/>
      <c r="W36" s="384"/>
      <c r="X36" s="384"/>
      <c r="Y36" s="384"/>
      <c r="Z36" s="384"/>
      <c r="AA36" s="384"/>
      <c r="AB36" s="384"/>
      <c r="AC36" s="384"/>
      <c r="AD36" s="384"/>
      <c r="AE36" s="384"/>
      <c r="AF36" s="384"/>
      <c r="AG36" s="384"/>
      <c r="AH36" s="384"/>
      <c r="AI36" s="384"/>
    </row>
    <row r="37" spans="2:35" s="391" customFormat="1" ht="20.100000000000001" customHeight="1" collapsed="1">
      <c r="B37" s="1268"/>
      <c r="C37" s="410" t="s">
        <v>223</v>
      </c>
      <c r="D37" s="403"/>
      <c r="E37" s="392"/>
      <c r="F37" s="392"/>
      <c r="G37" s="392"/>
      <c r="H37" s="393"/>
      <c r="I37" s="392"/>
      <c r="J37" s="392"/>
      <c r="K37" s="392"/>
      <c r="L37" s="392"/>
      <c r="M37" s="392"/>
      <c r="N37" s="392"/>
      <c r="O37" s="392"/>
      <c r="P37" s="392"/>
      <c r="Q37" s="392"/>
      <c r="R37" s="392"/>
      <c r="S37" s="392"/>
      <c r="T37" s="392"/>
      <c r="U37" s="394"/>
      <c r="V37" s="384"/>
      <c r="W37" s="384"/>
      <c r="X37" s="384"/>
      <c r="Y37" s="384"/>
      <c r="Z37" s="384"/>
      <c r="AA37" s="384"/>
      <c r="AB37" s="384"/>
      <c r="AC37" s="384"/>
      <c r="AD37" s="384"/>
      <c r="AE37" s="384"/>
      <c r="AF37" s="384"/>
      <c r="AG37" s="384"/>
      <c r="AH37" s="384"/>
      <c r="AI37" s="384"/>
    </row>
    <row r="38" spans="2:35" s="391" customFormat="1" ht="20.100000000000001" customHeight="1" collapsed="1">
      <c r="B38" s="1269"/>
      <c r="C38" s="412"/>
      <c r="D38" s="405"/>
      <c r="E38" s="395"/>
      <c r="F38" s="395"/>
      <c r="G38" s="395"/>
      <c r="H38" s="396"/>
      <c r="I38" s="395"/>
      <c r="J38" s="395"/>
      <c r="K38" s="395"/>
      <c r="L38" s="395"/>
      <c r="M38" s="395"/>
      <c r="N38" s="395"/>
      <c r="O38" s="395"/>
      <c r="P38" s="395"/>
      <c r="Q38" s="395"/>
      <c r="R38" s="395"/>
      <c r="S38" s="395"/>
      <c r="T38" s="395"/>
      <c r="U38" s="397"/>
      <c r="V38" s="384"/>
      <c r="W38" s="384"/>
      <c r="X38" s="384"/>
      <c r="Y38" s="384"/>
      <c r="Z38" s="384"/>
      <c r="AA38" s="384"/>
      <c r="AB38" s="384"/>
      <c r="AC38" s="384"/>
      <c r="AD38" s="384"/>
      <c r="AE38" s="384"/>
      <c r="AF38" s="384"/>
      <c r="AG38" s="384"/>
      <c r="AH38" s="384"/>
      <c r="AI38" s="384"/>
    </row>
    <row r="39" spans="2:35" s="463" customFormat="1" ht="21.9" customHeight="1">
      <c r="B39" s="1249" t="s">
        <v>214</v>
      </c>
      <c r="C39" s="1250"/>
      <c r="D39" s="458">
        <f t="shared" ref="D39:U39" si="2">SUM(D20:D38)</f>
        <v>0</v>
      </c>
      <c r="E39" s="459">
        <f t="shared" si="2"/>
        <v>0</v>
      </c>
      <c r="F39" s="459">
        <f t="shared" si="2"/>
        <v>0</v>
      </c>
      <c r="G39" s="459">
        <f t="shared" si="2"/>
        <v>0</v>
      </c>
      <c r="H39" s="460">
        <f t="shared" si="2"/>
        <v>0</v>
      </c>
      <c r="I39" s="459">
        <f t="shared" si="2"/>
        <v>0</v>
      </c>
      <c r="J39" s="459">
        <f t="shared" si="2"/>
        <v>0</v>
      </c>
      <c r="K39" s="459">
        <f t="shared" si="2"/>
        <v>0</v>
      </c>
      <c r="L39" s="459">
        <f t="shared" si="2"/>
        <v>0</v>
      </c>
      <c r="M39" s="459">
        <f t="shared" si="2"/>
        <v>0</v>
      </c>
      <c r="N39" s="459">
        <f t="shared" si="2"/>
        <v>0</v>
      </c>
      <c r="O39" s="459">
        <f t="shared" si="2"/>
        <v>0</v>
      </c>
      <c r="P39" s="459">
        <f t="shared" si="2"/>
        <v>0</v>
      </c>
      <c r="Q39" s="459">
        <f t="shared" si="2"/>
        <v>0</v>
      </c>
      <c r="R39" s="459">
        <f t="shared" si="2"/>
        <v>0</v>
      </c>
      <c r="S39" s="459">
        <f t="shared" si="2"/>
        <v>0</v>
      </c>
      <c r="T39" s="459">
        <f t="shared" si="2"/>
        <v>0</v>
      </c>
      <c r="U39" s="461">
        <f t="shared" si="2"/>
        <v>0</v>
      </c>
      <c r="V39" s="462"/>
      <c r="W39" s="462"/>
      <c r="X39" s="462"/>
      <c r="Y39" s="462"/>
      <c r="Z39" s="462"/>
      <c r="AA39" s="462"/>
      <c r="AB39" s="462"/>
      <c r="AC39" s="462"/>
      <c r="AD39" s="462"/>
      <c r="AE39" s="462"/>
      <c r="AF39" s="462"/>
      <c r="AG39" s="462"/>
      <c r="AH39" s="462"/>
      <c r="AI39" s="462"/>
    </row>
    <row r="40" spans="2:35" s="250" customFormat="1" ht="3" customHeight="1">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row>
    <row r="41" spans="2:35" s="399" customFormat="1" ht="21.9" customHeight="1">
      <c r="B41" s="1251" t="s">
        <v>215</v>
      </c>
      <c r="C41" s="1252"/>
      <c r="D41" s="398">
        <f t="shared" ref="D41:U41" si="3">D5+D19-D39</f>
        <v>0</v>
      </c>
      <c r="E41" s="398">
        <f t="shared" si="3"/>
        <v>0</v>
      </c>
      <c r="F41" s="398">
        <f t="shared" si="3"/>
        <v>0</v>
      </c>
      <c r="G41" s="398">
        <f t="shared" si="3"/>
        <v>0</v>
      </c>
      <c r="H41" s="398">
        <f t="shared" si="3"/>
        <v>0</v>
      </c>
      <c r="I41" s="398">
        <f t="shared" si="3"/>
        <v>0</v>
      </c>
      <c r="J41" s="398">
        <f t="shared" si="3"/>
        <v>0</v>
      </c>
      <c r="K41" s="398">
        <f t="shared" si="3"/>
        <v>0</v>
      </c>
      <c r="L41" s="398">
        <f t="shared" si="3"/>
        <v>0</v>
      </c>
      <c r="M41" s="398">
        <f t="shared" si="3"/>
        <v>0</v>
      </c>
      <c r="N41" s="398">
        <f t="shared" si="3"/>
        <v>0</v>
      </c>
      <c r="O41" s="398">
        <f t="shared" si="3"/>
        <v>0</v>
      </c>
      <c r="P41" s="398">
        <f t="shared" si="3"/>
        <v>0</v>
      </c>
      <c r="Q41" s="398">
        <f t="shared" si="3"/>
        <v>0</v>
      </c>
      <c r="R41" s="398">
        <f t="shared" si="3"/>
        <v>0</v>
      </c>
      <c r="S41" s="398">
        <f t="shared" si="3"/>
        <v>0</v>
      </c>
      <c r="T41" s="398">
        <f t="shared" si="3"/>
        <v>0</v>
      </c>
      <c r="U41" s="398">
        <f t="shared" si="3"/>
        <v>0</v>
      </c>
      <c r="V41" s="89"/>
      <c r="W41" s="89"/>
      <c r="X41" s="89"/>
      <c r="Y41" s="89"/>
      <c r="Z41" s="89"/>
      <c r="AA41" s="89"/>
      <c r="AB41" s="89"/>
      <c r="AC41" s="89"/>
      <c r="AD41" s="89"/>
      <c r="AE41" s="89"/>
      <c r="AF41" s="89"/>
      <c r="AG41" s="89"/>
      <c r="AH41" s="89"/>
      <c r="AI41" s="89"/>
    </row>
    <row r="42" spans="2:35" s="317" customFormat="1" ht="10.199999999999999">
      <c r="D42" s="114">
        <f>D41/1000</f>
        <v>0</v>
      </c>
      <c r="E42" s="114">
        <f t="shared" ref="E42:U42" si="4">E41/1000</f>
        <v>0</v>
      </c>
      <c r="F42" s="114">
        <f t="shared" si="4"/>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c r="W42" s="114"/>
      <c r="X42" s="114"/>
      <c r="Y42" s="114"/>
      <c r="Z42" s="114"/>
      <c r="AA42" s="114"/>
      <c r="AB42" s="114"/>
      <c r="AC42" s="114"/>
      <c r="AD42" s="114"/>
      <c r="AE42" s="114"/>
      <c r="AF42" s="114"/>
      <c r="AG42" s="114"/>
      <c r="AH42" s="114"/>
      <c r="AI42" s="114"/>
    </row>
    <row r="43" spans="2:35" s="250" customFormat="1">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row>
    <row r="44" spans="2:35" s="250" customFormat="1">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row>
    <row r="45" spans="2:35" s="250" customFormat="1"/>
    <row r="46" spans="2:35" s="250" customFormat="1"/>
    <row r="47" spans="2:35" s="250" customFormat="1"/>
    <row r="48" spans="2:35" s="250" customFormat="1"/>
    <row r="49" s="250" customFormat="1"/>
  </sheetData>
  <sheetProtection algorithmName="SHA-512" hashValue="v57kYI5obpuDZafSI/5PfbTLNajROXgb9y3rA0n5eoA+Trf9WdZmsnHnl6CYoQkE24uXkcRZtOBfZ1/tOy5ZUg==" saltValue="qQmoFnraRYgbyxXSeWqF5g==" spinCount="100000" sheet="1" formatCells="0" formatColumns="0" formatRows="0" insertColumns="0" insertRows="0" insertHyperlinks="0" deleteColumns="0" deleteRows="0" sort="0" autoFilter="0" pivotTables="0"/>
  <mergeCells count="11">
    <mergeCell ref="B39:C39"/>
    <mergeCell ref="B41:C41"/>
    <mergeCell ref="D2:U2"/>
    <mergeCell ref="B2:C2"/>
    <mergeCell ref="B3:C3"/>
    <mergeCell ref="B4:C4"/>
    <mergeCell ref="B5:C5"/>
    <mergeCell ref="B6:B18"/>
    <mergeCell ref="B19:C19"/>
    <mergeCell ref="B20:B38"/>
    <mergeCell ref="D3:F3"/>
  </mergeCells>
  <conditionalFormatting sqref="D41:U41">
    <cfRule type="cellIs" dxfId="8" priority="5" operator="lessThan">
      <formula>0</formula>
    </cfRule>
  </conditionalFormatting>
  <conditionalFormatting sqref="E5:U5">
    <cfRule type="cellIs" dxfId="7" priority="3" operator="lessThan">
      <formula>0</formula>
    </cfRule>
  </conditionalFormatting>
  <conditionalFormatting sqref="D5">
    <cfRule type="cellIs" dxfId="6" priority="2" operator="equal">
      <formula>0</formula>
    </cfRule>
  </conditionalFormatting>
  <conditionalFormatting sqref="D5">
    <cfRule type="cellIs" dxfId="5" priority="1" operator="lessThan">
      <formula>0</formula>
    </cfRule>
  </conditionalFormatting>
  <dataValidations count="1">
    <dataValidation allowBlank="1" showInputMessage="1" showErrorMessage="1" prompt="le nom de l'entreprise est à renseigner dans l'onglet Compte de résultat" sqref="B2" xr:uid="{00000000-0002-0000-0B00-000000000000}"/>
  </dataValidations>
  <pageMargins left="0" right="0" top="0" bottom="0" header="0" footer="0"/>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U60"/>
  <sheetViews>
    <sheetView showGridLines="0" showRowColHeaders="0" zoomScaleNormal="100" workbookViewId="0">
      <selection activeCell="B2" sqref="B2"/>
    </sheetView>
  </sheetViews>
  <sheetFormatPr baseColWidth="10" defaultColWidth="11.44140625" defaultRowHeight="13.8"/>
  <cols>
    <col min="1" max="1" width="1.6640625" style="1" customWidth="1"/>
    <col min="2" max="2" width="44.6640625" style="1" customWidth="1"/>
    <col min="3" max="5" width="10.6640625" style="1" customWidth="1"/>
    <col min="6" max="6" width="1.44140625" style="1" customWidth="1"/>
    <col min="7" max="7" width="12.109375" style="1" bestFit="1" customWidth="1"/>
    <col min="8" max="8" width="10.6640625" style="1" customWidth="1"/>
    <col min="9" max="9" width="1.44140625" style="1" bestFit="1" customWidth="1"/>
    <col min="10" max="10" width="11.109375" style="1" bestFit="1" customWidth="1"/>
    <col min="11" max="11" width="10.6640625" style="1" customWidth="1"/>
    <col min="12" max="12" width="1.44140625" style="1" customWidth="1"/>
    <col min="13" max="13" width="11.109375" style="1" bestFit="1" customWidth="1"/>
    <col min="14" max="14" width="10.6640625" style="1" customWidth="1"/>
    <col min="15" max="15" width="1.44140625" style="1" customWidth="1"/>
    <col min="16" max="16" width="11.44140625" style="1"/>
    <col min="17" max="17" width="10.6640625" style="1" customWidth="1"/>
    <col min="18" max="18" width="1.44140625" style="1" customWidth="1"/>
    <col min="19" max="19" width="11.44140625" style="1"/>
    <col min="20" max="20" width="10.6640625" style="1" customWidth="1"/>
    <col min="21" max="16384" width="11.44140625" style="1"/>
  </cols>
  <sheetData>
    <row r="1" spans="2:21" ht="6" customHeight="1"/>
    <row r="2" spans="2:21" ht="21.9" customHeight="1">
      <c r="B2" s="618" t="str">
        <f>IF(ISBLANK(entreprise)," ",entreprise)</f>
        <v xml:space="preserve"> </v>
      </c>
      <c r="C2" s="265"/>
      <c r="D2" s="943" t="str">
        <f>IF(AND(ca_1&gt;0,quotité_tv&lt;100%),"Vous devez obligatoirement renseigner la quotité du chiffre d'affaires et des achats soumise ou exonérée de TVA",IF(AND(ca_1&gt;0,quotité_ta&lt;100%),"Vous devez obligatoirement renseigner la quotité du chiffre d'affaires et des achats soumise ou exonérée de TVA"," "))</f>
        <v xml:space="preserve"> </v>
      </c>
      <c r="E2" s="944"/>
      <c r="F2" s="944"/>
      <c r="G2" s="944"/>
      <c r="H2" s="944"/>
      <c r="I2" s="944"/>
      <c r="J2" s="944"/>
      <c r="K2" s="944"/>
      <c r="L2" s="944"/>
      <c r="M2" s="944"/>
      <c r="N2" s="944"/>
    </row>
    <row r="3" spans="2:21" s="228" customFormat="1" ht="6" customHeight="1">
      <c r="B3" s="233"/>
      <c r="C3" s="233"/>
      <c r="D3" s="234"/>
      <c r="E3" s="229"/>
      <c r="F3" s="229"/>
      <c r="G3" s="229"/>
      <c r="H3" s="229"/>
      <c r="I3" s="229"/>
      <c r="J3" s="235"/>
      <c r="K3" s="236"/>
      <c r="L3" s="236"/>
      <c r="M3" s="236"/>
      <c r="N3" s="229"/>
      <c r="P3" s="231"/>
      <c r="Q3" s="232"/>
    </row>
    <row r="4" spans="2:21" s="230" customFormat="1" ht="21.9" customHeight="1">
      <c r="B4" s="964" t="s">
        <v>142</v>
      </c>
      <c r="C4" s="965"/>
      <c r="D4" s="966"/>
      <c r="G4" s="237"/>
      <c r="H4" s="947" t="s">
        <v>143</v>
      </c>
      <c r="I4" s="948"/>
      <c r="J4" s="948"/>
      <c r="K4" s="949"/>
      <c r="L4" s="949"/>
      <c r="M4" s="949"/>
      <c r="N4" s="950"/>
      <c r="R4" s="238"/>
      <c r="S4" s="238"/>
    </row>
    <row r="5" spans="2:21" s="228" customFormat="1" ht="30" customHeight="1">
      <c r="B5" s="961" t="s">
        <v>144</v>
      </c>
      <c r="C5" s="962"/>
      <c r="D5" s="609" t="s">
        <v>145</v>
      </c>
      <c r="G5" s="229"/>
      <c r="H5" s="951" t="s">
        <v>144</v>
      </c>
      <c r="I5" s="952"/>
      <c r="J5" s="952"/>
      <c r="K5" s="952"/>
      <c r="L5" s="952"/>
      <c r="M5" s="952"/>
      <c r="N5" s="610" t="s">
        <v>146</v>
      </c>
      <c r="O5" s="485"/>
      <c r="S5" s="231"/>
      <c r="T5" s="231"/>
      <c r="U5" s="232"/>
    </row>
    <row r="6" spans="2:21" s="228" customFormat="1" ht="20.100000000000001" customHeight="1">
      <c r="B6" s="239" t="s">
        <v>147</v>
      </c>
      <c r="C6" s="607">
        <v>0.2</v>
      </c>
      <c r="D6" s="649"/>
      <c r="E6" s="247">
        <f>C6*D6</f>
        <v>0</v>
      </c>
      <c r="F6" s="247"/>
      <c r="G6" s="229"/>
      <c r="H6" s="953" t="s">
        <v>147</v>
      </c>
      <c r="I6" s="954"/>
      <c r="J6" s="954"/>
      <c r="K6" s="954"/>
      <c r="L6" s="955"/>
      <c r="M6" s="607">
        <f>C6</f>
        <v>0.2</v>
      </c>
      <c r="N6" s="649"/>
      <c r="O6" s="247">
        <f>M6*N6</f>
        <v>0</v>
      </c>
      <c r="P6" s="240">
        <f>L6*N6</f>
        <v>0</v>
      </c>
      <c r="S6" s="231"/>
      <c r="T6" s="231"/>
      <c r="U6" s="232"/>
    </row>
    <row r="7" spans="2:21" s="228" customFormat="1" ht="20.100000000000001" customHeight="1">
      <c r="B7" s="241" t="s">
        <v>236</v>
      </c>
      <c r="C7" s="608">
        <v>0.1</v>
      </c>
      <c r="D7" s="650"/>
      <c r="E7" s="247">
        <f>C7*D7</f>
        <v>0</v>
      </c>
      <c r="F7" s="247"/>
      <c r="G7" s="229"/>
      <c r="H7" s="956" t="s">
        <v>236</v>
      </c>
      <c r="I7" s="957"/>
      <c r="J7" s="957"/>
      <c r="K7" s="957"/>
      <c r="L7" s="958"/>
      <c r="M7" s="608">
        <f t="shared" ref="M7:M9" si="0">C7</f>
        <v>0.1</v>
      </c>
      <c r="N7" s="650"/>
      <c r="O7" s="247">
        <f>M7*N7</f>
        <v>0</v>
      </c>
      <c r="P7" s="240">
        <f>L7*N7</f>
        <v>0</v>
      </c>
      <c r="S7" s="231"/>
      <c r="T7" s="231"/>
      <c r="U7" s="232"/>
    </row>
    <row r="8" spans="2:21" s="228" customFormat="1" ht="20.100000000000001" customHeight="1">
      <c r="B8" s="241" t="s">
        <v>237</v>
      </c>
      <c r="C8" s="608">
        <v>5.5E-2</v>
      </c>
      <c r="D8" s="650"/>
      <c r="E8" s="247">
        <f>C8*D8</f>
        <v>0</v>
      </c>
      <c r="F8" s="247"/>
      <c r="G8" s="229"/>
      <c r="H8" s="956" t="s">
        <v>237</v>
      </c>
      <c r="I8" s="957"/>
      <c r="J8" s="957"/>
      <c r="K8" s="957"/>
      <c r="L8" s="958"/>
      <c r="M8" s="608">
        <f t="shared" si="0"/>
        <v>5.5E-2</v>
      </c>
      <c r="N8" s="650"/>
      <c r="O8" s="247">
        <f>M8*N8</f>
        <v>0</v>
      </c>
      <c r="P8" s="240">
        <f>L8*N8</f>
        <v>0</v>
      </c>
      <c r="S8" s="231"/>
      <c r="T8" s="231"/>
      <c r="U8" s="232"/>
    </row>
    <row r="9" spans="2:21" s="228" customFormat="1" ht="20.100000000000001" customHeight="1">
      <c r="B9" s="239" t="s">
        <v>148</v>
      </c>
      <c r="C9" s="607">
        <v>0</v>
      </c>
      <c r="D9" s="649"/>
      <c r="E9" s="247">
        <f>C9*D9</f>
        <v>0</v>
      </c>
      <c r="F9" s="247"/>
      <c r="G9" s="229"/>
      <c r="H9" s="953" t="s">
        <v>148</v>
      </c>
      <c r="I9" s="954"/>
      <c r="J9" s="954"/>
      <c r="K9" s="954"/>
      <c r="L9" s="955"/>
      <c r="M9" s="607">
        <f t="shared" si="0"/>
        <v>0</v>
      </c>
      <c r="N9" s="649"/>
      <c r="O9" s="247">
        <f>M9*N9</f>
        <v>0</v>
      </c>
      <c r="P9" s="240">
        <f>L9*N9</f>
        <v>0</v>
      </c>
      <c r="S9" s="231"/>
      <c r="T9" s="231"/>
      <c r="U9" s="232"/>
    </row>
    <row r="10" spans="2:21" s="232" customFormat="1" ht="20.100000000000001" customHeight="1">
      <c r="B10" s="959" t="s">
        <v>149</v>
      </c>
      <c r="C10" s="963"/>
      <c r="D10" s="651">
        <f>SUM(D6:D9)</f>
        <v>0</v>
      </c>
      <c r="E10" s="247">
        <f>SUM(E6:E9)</f>
        <v>0</v>
      </c>
      <c r="F10" s="247"/>
      <c r="G10" s="229"/>
      <c r="H10" s="959" t="s">
        <v>150</v>
      </c>
      <c r="I10" s="960"/>
      <c r="J10" s="960"/>
      <c r="K10" s="960"/>
      <c r="L10" s="960"/>
      <c r="M10" s="960"/>
      <c r="N10" s="651">
        <f>SUM(N6:N9)</f>
        <v>0</v>
      </c>
      <c r="O10" s="247">
        <f>SUM(O6:O9)</f>
        <v>0</v>
      </c>
      <c r="P10" s="240">
        <f>SUM(P6:P9)</f>
        <v>0</v>
      </c>
      <c r="S10" s="242"/>
      <c r="T10" s="242"/>
    </row>
    <row r="11" spans="2:21" s="243" customFormat="1" ht="3" customHeight="1">
      <c r="B11" s="244"/>
      <c r="C11" s="244"/>
      <c r="D11" s="244"/>
      <c r="E11" s="244"/>
      <c r="F11" s="244"/>
      <c r="G11" s="229"/>
      <c r="H11" s="244"/>
      <c r="I11" s="244"/>
      <c r="J11" s="244"/>
      <c r="P11" s="245"/>
      <c r="Q11" s="10"/>
    </row>
    <row r="12" spans="2:21" s="228" customFormat="1" ht="20.100000000000001" customHeight="1">
      <c r="B12" s="945" t="str">
        <f>IF(D10=0," ",IF(D10&lt;100%," Attention : quotité des ventes &lt; à 100%",IF(D10&gt;100%,"Attention : quotité des ventes &gt; à 100%"," ")))</f>
        <v xml:space="preserve"> </v>
      </c>
      <c r="C12" s="946"/>
      <c r="D12" s="946"/>
      <c r="E12" s="230"/>
      <c r="F12" s="230"/>
      <c r="G12" s="229"/>
      <c r="H12" s="945" t="str">
        <f>IF(N10=0," ",IF(N10&lt;100%," Attention : quotité des achats &lt; à 100%",IF(N10&gt;100%,"Attention : quotité des achats &gt; à 100%"," ")))</f>
        <v xml:space="preserve"> </v>
      </c>
      <c r="I12" s="945"/>
      <c r="J12" s="945"/>
      <c r="K12" s="945"/>
      <c r="L12" s="945"/>
      <c r="M12" s="945"/>
      <c r="N12" s="945"/>
      <c r="P12" s="231"/>
      <c r="Q12" s="232"/>
    </row>
    <row r="13" spans="2:21" s="232" customFormat="1" ht="3" customHeight="1">
      <c r="G13" s="229"/>
      <c r="K13" s="486"/>
      <c r="N13" s="246"/>
      <c r="P13" s="242"/>
    </row>
    <row r="14" spans="2:21" s="232" customFormat="1" ht="20.100000000000001" customHeight="1">
      <c r="B14" s="293" t="s">
        <v>162</v>
      </c>
      <c r="C14" s="496" t="s">
        <v>245</v>
      </c>
      <c r="D14" s="971" t="str">
        <f>IF(OR(C14="non",C14=0,ISBLANK(An))," ",An-1)</f>
        <v xml:space="preserve"> </v>
      </c>
      <c r="E14" s="972"/>
      <c r="F14" s="973"/>
      <c r="G14" s="270"/>
      <c r="H14" s="270"/>
      <c r="I14" s="292"/>
      <c r="J14" s="977" t="str">
        <f>IF(OR(C14="non",C14=0,ISBLANK(An))," ",D14)</f>
        <v xml:space="preserve"> </v>
      </c>
      <c r="K14" s="977"/>
      <c r="L14" s="976"/>
      <c r="M14" s="272"/>
      <c r="N14" s="272"/>
      <c r="P14" s="1026" t="str">
        <f>IF(AND(ca_0&gt;0,ISBLANK(M14)),"renseigner la durée de l'exercice"," ")</f>
        <v xml:space="preserve"> </v>
      </c>
      <c r="Q14" s="1027"/>
      <c r="R14" s="1027"/>
      <c r="S14" s="1027"/>
      <c r="T14" s="1027"/>
    </row>
    <row r="15" spans="2:21" s="232" customFormat="1" ht="3" customHeight="1">
      <c r="G15" s="229"/>
      <c r="J15" s="643"/>
      <c r="K15" s="644"/>
      <c r="L15" s="643"/>
      <c r="N15" s="246"/>
    </row>
    <row r="16" spans="2:21" s="232" customFormat="1" ht="20.100000000000001" customHeight="1">
      <c r="D16" s="974" t="str">
        <f>IF(OR(C14="non",C14=0,ISBLANK(An))," ",D14)</f>
        <v xml:space="preserve"> </v>
      </c>
      <c r="E16" s="974"/>
      <c r="F16" s="973"/>
      <c r="G16" s="269"/>
      <c r="H16" s="268" t="str">
        <f>IF(ISBLANK(bfr_0)," ",IF(ca_0=0,0,G16*M14*30/ca_0))</f>
        <v xml:space="preserve"> </v>
      </c>
      <c r="J16" s="975" t="str">
        <f>IF(OR(C14="non",C14=0,ISBLANK(An))," ",D14)</f>
        <v xml:space="preserve"> </v>
      </c>
      <c r="K16" s="975"/>
      <c r="L16" s="976"/>
      <c r="M16" s="645"/>
      <c r="N16" s="646" t="str">
        <f>IF(ISBLANK(dfr_0)," ",IF(ca_0=0,0,M16*M14*30/ca_0))</f>
        <v xml:space="preserve"> </v>
      </c>
      <c r="P16" s="1028" t="str">
        <f>IF(AND(bfr_0&gt;0,dfr_0&gt;0),"renseigner le BFR ou le DFR, pas les 2",IF(AND(bfr_0&lt;&gt;0,ISBLANK(M14)),"il est indispensable de renseigner la durée de l'exercice",IF(AND(dfr_0&lt;&gt;0,ISBLANK(M14)),"il est indispensable de renseigner la durée de l'exercice"," ")))</f>
        <v xml:space="preserve"> </v>
      </c>
      <c r="Q16" s="1027"/>
      <c r="R16" s="1027"/>
      <c r="S16" s="1027"/>
      <c r="T16" s="1027"/>
    </row>
    <row r="17" spans="1:20" s="232" customFormat="1" ht="3" customHeight="1">
      <c r="G17" s="229"/>
      <c r="J17" s="643"/>
      <c r="K17" s="644"/>
      <c r="L17" s="643"/>
      <c r="N17" s="246"/>
    </row>
    <row r="18" spans="1:20" s="232" customFormat="1" ht="20.100000000000001" customHeight="1">
      <c r="D18" s="978" t="str">
        <f>IF(OR(ISBLANK(sté_existante),sté_existante="non",ISBLANK(An))," ","Trésorerie nette positive")</f>
        <v xml:space="preserve"> </v>
      </c>
      <c r="E18" s="978"/>
      <c r="F18" s="979"/>
      <c r="G18" s="647"/>
      <c r="H18" s="648" t="str">
        <f>IF(ISBLANK(tr0_positive)," ",IF(ca_0=0,0,G18*M14*30/ca_0))</f>
        <v xml:space="preserve"> </v>
      </c>
      <c r="J18" s="980" t="str">
        <f>IF(OR(ISBLANK(sté_existante),sté_existante="non",ISBLANK(An))," ","Trésorerie nette négative (-)")</f>
        <v xml:space="preserve"> </v>
      </c>
      <c r="K18" s="980"/>
      <c r="L18" s="980"/>
      <c r="M18" s="641"/>
      <c r="N18" s="642" t="str">
        <f>IF(ISBLANK(tr0_négative)," ",IF(ca_0=0,0,M18*M14*30/ca_0))</f>
        <v xml:space="preserve"> </v>
      </c>
      <c r="P18" s="1028" t="str">
        <f>IF(AND(tr0_positive&gt;0,tr0_négative&lt;&gt;0),"renseigner la trésorerie positive ou négatibe, pas les deux !",IF(AND(tr0_positive&lt;&gt;0,ISBLANK(M14)),"il est indispensable de renseigner la durée de l'exercice",IF(AND(tr0_négative&lt;&gt;0,ISBLANK(M14)),"il est indispensable de renseigner la durée de l'exercice"," ")))</f>
        <v xml:space="preserve"> </v>
      </c>
      <c r="Q18" s="1027"/>
      <c r="R18" s="1027"/>
      <c r="S18" s="1027"/>
      <c r="T18" s="1027"/>
    </row>
    <row r="19" spans="1:20" s="232" customFormat="1" ht="20.100000000000001" customHeight="1">
      <c r="G19" s="229"/>
      <c r="K19" s="487"/>
      <c r="N19" s="246"/>
      <c r="P19" s="242"/>
    </row>
    <row r="20" spans="1:20" s="17" customFormat="1" ht="21.9" customHeight="1">
      <c r="A20" s="95"/>
      <c r="B20" s="987" t="s">
        <v>86</v>
      </c>
      <c r="C20" s="988"/>
      <c r="D20" s="988"/>
      <c r="E20" s="989"/>
      <c r="F20" s="285"/>
      <c r="G20" s="967" t="str">
        <f>IF(ISBLANK(An)," ",An)</f>
        <v xml:space="preserve"> </v>
      </c>
      <c r="H20" s="968"/>
      <c r="I20" s="290"/>
      <c r="J20" s="969" t="str">
        <f>IF(ISBLANK(An)," ",An+1)</f>
        <v xml:space="preserve"> </v>
      </c>
      <c r="K20" s="970"/>
      <c r="L20" s="291"/>
      <c r="M20" s="969" t="str">
        <f>IF(ISBLANK(An)," ",An+2)</f>
        <v xml:space="preserve"> </v>
      </c>
      <c r="N20" s="970"/>
      <c r="P20" s="969" t="str">
        <f>IF(ISBLANK(An)," ",An+3)</f>
        <v xml:space="preserve"> </v>
      </c>
      <c r="Q20" s="970"/>
      <c r="R20" s="291"/>
      <c r="S20" s="969" t="str">
        <f>IF(ISBLANK(An)," ",An+4)</f>
        <v xml:space="preserve"> </v>
      </c>
      <c r="T20" s="970"/>
    </row>
    <row r="21" spans="1:20" s="232" customFormat="1" ht="6" customHeight="1">
      <c r="G21" s="229"/>
      <c r="K21" s="487"/>
      <c r="N21" s="246"/>
      <c r="Q21" s="487"/>
      <c r="T21" s="246"/>
    </row>
    <row r="22" spans="1:20" s="18" customFormat="1" ht="15" customHeight="1">
      <c r="A22" s="79"/>
      <c r="B22" s="1022" t="s">
        <v>238</v>
      </c>
      <c r="C22" s="1023"/>
      <c r="D22" s="1023"/>
      <c r="E22" s="612" t="str">
        <f>IF(E23=" "," ","Rappel")</f>
        <v xml:space="preserve"> </v>
      </c>
      <c r="F22" s="10"/>
      <c r="G22" s="1013" t="s">
        <v>239</v>
      </c>
      <c r="H22" s="1015" t="s">
        <v>65</v>
      </c>
      <c r="I22" s="49"/>
      <c r="J22" s="1013" t="s">
        <v>239</v>
      </c>
      <c r="K22" s="1015" t="s">
        <v>65</v>
      </c>
      <c r="L22" s="41"/>
      <c r="M22" s="1013" t="s">
        <v>239</v>
      </c>
      <c r="N22" s="1015" t="s">
        <v>65</v>
      </c>
      <c r="P22" s="1013" t="s">
        <v>239</v>
      </c>
      <c r="Q22" s="1015" t="s">
        <v>65</v>
      </c>
      <c r="R22" s="41"/>
      <c r="S22" s="1013" t="s">
        <v>239</v>
      </c>
      <c r="T22" s="1015" t="s">
        <v>65</v>
      </c>
    </row>
    <row r="23" spans="1:20" s="18" customFormat="1" ht="15" customHeight="1">
      <c r="A23" s="79"/>
      <c r="B23" s="1024"/>
      <c r="C23" s="1025"/>
      <c r="D23" s="1025"/>
      <c r="E23" s="613" t="str">
        <f>IF(OR(ISBLANK(sté_existante),sté_existante="non")," ",An-1)</f>
        <v xml:space="preserve"> </v>
      </c>
      <c r="F23" s="10"/>
      <c r="G23" s="1014"/>
      <c r="H23" s="1016"/>
      <c r="I23" s="49"/>
      <c r="J23" s="1014"/>
      <c r="K23" s="1016"/>
      <c r="L23" s="41"/>
      <c r="M23" s="1014"/>
      <c r="N23" s="1016"/>
      <c r="P23" s="1014"/>
      <c r="Q23" s="1016"/>
      <c r="R23" s="41"/>
      <c r="S23" s="1014"/>
      <c r="T23" s="1016"/>
    </row>
    <row r="24" spans="1:20" s="10" customFormat="1" ht="21.9" customHeight="1">
      <c r="A24" s="83"/>
      <c r="B24" s="990" t="s">
        <v>66</v>
      </c>
      <c r="C24" s="993" t="s">
        <v>67</v>
      </c>
      <c r="D24" s="994"/>
      <c r="E24" s="296"/>
      <c r="F24" s="63"/>
      <c r="G24" s="176"/>
      <c r="H24" s="177" t="str">
        <f>IF(OR(ISBLANK(E24),ISBLANK(G24))," ",G24-E24)</f>
        <v xml:space="preserve"> </v>
      </c>
      <c r="I24" s="64"/>
      <c r="J24" s="176"/>
      <c r="K24" s="177">
        <f>IF(ISERROR(J24-G24)," ",J24-G24)</f>
        <v>0</v>
      </c>
      <c r="L24" s="64"/>
      <c r="M24" s="176"/>
      <c r="N24" s="177">
        <f>IF(ISERROR(M24-J24)," ",M24-J24)</f>
        <v>0</v>
      </c>
      <c r="P24" s="176"/>
      <c r="Q24" s="177">
        <f>IF(ISERROR(P24-M24)," ",P24-M24)</f>
        <v>0</v>
      </c>
      <c r="R24" s="64"/>
      <c r="S24" s="176"/>
      <c r="T24" s="177">
        <f>IF(ISERROR(S24-P24)," ",S24-P24)</f>
        <v>0</v>
      </c>
    </row>
    <row r="25" spans="1:20" s="10" customFormat="1" ht="20.100000000000001" hidden="1" customHeight="1">
      <c r="A25" s="83"/>
      <c r="B25" s="991"/>
      <c r="C25" s="65"/>
      <c r="D25" s="294"/>
      <c r="E25" s="297"/>
      <c r="F25" s="63"/>
      <c r="G25" s="163" t="str">
        <f>IF(ISERROR(G24*fu_1/(durée_1*30))," ",G24*fu_1/(durée_1*30))</f>
        <v xml:space="preserve"> </v>
      </c>
      <c r="H25" s="611"/>
      <c r="I25" s="64"/>
      <c r="J25" s="163" t="str">
        <f>IF(ISERROR(J24*fu_2/(durée_2*30))," ",J24*fu_2/(durée_2*30))</f>
        <v xml:space="preserve"> </v>
      </c>
      <c r="K25" s="611"/>
      <c r="L25" s="64"/>
      <c r="M25" s="163" t="str">
        <f>IF(ISERROR(M24*fu_3/(durée_3*30))," ",M24*fu_3/(durée_3*30))</f>
        <v xml:space="preserve"> </v>
      </c>
      <c r="N25" s="611"/>
      <c r="P25" s="163" t="str">
        <f>IF(ISERROR(P24*fu_4/(durée_4*30))," ",P24*fu_4/(durée_4*30))</f>
        <v xml:space="preserve"> </v>
      </c>
      <c r="Q25" s="611"/>
      <c r="R25" s="64"/>
      <c r="S25" s="163" t="str">
        <f>IF(ISERROR(S24*fu_5/(durée_5*30))," ",S24*fu_5/(durée_5*30))</f>
        <v xml:space="preserve"> </v>
      </c>
      <c r="T25" s="611"/>
    </row>
    <row r="26" spans="1:20" s="10" customFormat="1" ht="21.9" customHeight="1">
      <c r="A26" s="83"/>
      <c r="B26" s="991"/>
      <c r="C26" s="995" t="s">
        <v>68</v>
      </c>
      <c r="D26" s="996"/>
      <c r="E26" s="298"/>
      <c r="F26" s="63"/>
      <c r="G26" s="186"/>
      <c r="H26" s="187" t="str">
        <f>IF(OR(ISBLANK(E26),ISBLANK(G26))," ",G26-E26)</f>
        <v xml:space="preserve"> </v>
      </c>
      <c r="I26" s="64"/>
      <c r="J26" s="186"/>
      <c r="K26" s="187">
        <f>IF(ISERROR(J26-G26)," ",J26-G26)</f>
        <v>0</v>
      </c>
      <c r="L26" s="64"/>
      <c r="M26" s="186"/>
      <c r="N26" s="187">
        <f>IF(ISERROR(M26-J26)," ",M26-J26)</f>
        <v>0</v>
      </c>
      <c r="P26" s="186"/>
      <c r="Q26" s="187">
        <f>IF(ISERROR(P26-M26)," ",P26-M26)</f>
        <v>0</v>
      </c>
      <c r="R26" s="64"/>
      <c r="S26" s="186"/>
      <c r="T26" s="187">
        <f>IF(ISERROR(S26-P26)," ",S26-P26)</f>
        <v>0</v>
      </c>
    </row>
    <row r="27" spans="1:20" s="10" customFormat="1" ht="20.100000000000001" hidden="1" customHeight="1">
      <c r="A27" s="83"/>
      <c r="B27" s="992"/>
      <c r="C27" s="180"/>
      <c r="D27" s="295"/>
      <c r="E27" s="299"/>
      <c r="F27" s="63"/>
      <c r="G27" s="181" t="str">
        <f>IF(ISERROR(G26*fs_1/(durée_1*30))," ",G26*fs_1/(durée_1*30))</f>
        <v xml:space="preserve"> </v>
      </c>
      <c r="H27" s="182"/>
      <c r="I27" s="66"/>
      <c r="J27" s="181" t="str">
        <f>IF(ISERROR(J26*fs_2/(durée_2*30))," ",J26*fs_2/(durée_2*30))</f>
        <v xml:space="preserve"> </v>
      </c>
      <c r="K27" s="182"/>
      <c r="L27" s="64"/>
      <c r="M27" s="181" t="str">
        <f>IF(ISERROR(M26*fs_3/(durée_3*30))," ",M26*fs_3/(durée_3*30))</f>
        <v xml:space="preserve"> </v>
      </c>
      <c r="N27" s="182"/>
      <c r="P27" s="181" t="str">
        <f>IF(ISERROR(P26*fs_4/(durée_4*30))," ",P26*fs_4/(durée_4*30))</f>
        <v xml:space="preserve"> </v>
      </c>
      <c r="Q27" s="182"/>
      <c r="R27" s="64"/>
      <c r="S27" s="181" t="str">
        <f>IF(ISERROR(S26*fs_5/(durée_5*30))," ",S26*fs_5/(durée_5*30))</f>
        <v xml:space="preserve"> </v>
      </c>
      <c r="T27" s="182"/>
    </row>
    <row r="28" spans="1:20" s="10" customFormat="1" ht="21.9" customHeight="1">
      <c r="A28" s="83"/>
      <c r="B28" s="990" t="s">
        <v>69</v>
      </c>
      <c r="C28" s="997" t="s">
        <v>70</v>
      </c>
      <c r="D28" s="998"/>
      <c r="E28" s="300"/>
      <c r="F28" s="63"/>
      <c r="G28" s="174"/>
      <c r="H28" s="175" t="str">
        <f>IF(OR(ISBLANK(E28),ISBLANK(G28))," ",G28-E28)</f>
        <v xml:space="preserve"> </v>
      </c>
      <c r="I28" s="64"/>
      <c r="J28" s="174"/>
      <c r="K28" s="175">
        <f>IF(ISERROR(J28-G28)," ",J28-G28)</f>
        <v>0</v>
      </c>
      <c r="L28" s="64"/>
      <c r="M28" s="174"/>
      <c r="N28" s="175">
        <f>IF(ISERROR(M28-J28)," ",M28-J28)</f>
        <v>0</v>
      </c>
      <c r="P28" s="174"/>
      <c r="Q28" s="175">
        <f>IF(ISERROR(P28-M28)," ",P28-M28)</f>
        <v>0</v>
      </c>
      <c r="R28" s="64"/>
      <c r="S28" s="174"/>
      <c r="T28" s="175">
        <f>IF(ISERROR(S28-P28)," ",S28-P28)</f>
        <v>0</v>
      </c>
    </row>
    <row r="29" spans="1:20" s="10" customFormat="1" ht="20.100000000000001" hidden="1" customHeight="1">
      <c r="A29" s="83"/>
      <c r="B29" s="991"/>
      <c r="C29" s="65"/>
      <c r="D29" s="294"/>
      <c r="E29" s="297"/>
      <c r="F29" s="63"/>
      <c r="G29" s="163" t="str">
        <f>IF(ISERROR(G28*ca_1/(durée_1*30))," ",G28*ca_1/(durée_1*30))</f>
        <v xml:space="preserve"> </v>
      </c>
      <c r="H29" s="164" t="str">
        <f>IF(OR(ISBLANK(E29),ISBLANK(G29))," ",G29-E29)</f>
        <v xml:space="preserve"> </v>
      </c>
      <c r="I29" s="66"/>
      <c r="J29" s="163" t="str">
        <f>IF(ISERROR(J28*ca_2/(durée_2*30))," ",J28*ca_2/(durée_2*30))</f>
        <v xml:space="preserve"> </v>
      </c>
      <c r="K29" s="164"/>
      <c r="L29" s="64"/>
      <c r="M29" s="163" t="str">
        <f>IF(ISERROR(M28*ca_3/(durée_3*30))," ",M28*ca_3/(durée_3*30))</f>
        <v xml:space="preserve"> </v>
      </c>
      <c r="N29" s="164"/>
      <c r="P29" s="163" t="str">
        <f>IF(ISERROR(P28*ca_4/(durée_4*30))," ",P28*ca_4/(durée_4*30))</f>
        <v xml:space="preserve"> </v>
      </c>
      <c r="Q29" s="164"/>
      <c r="R29" s="64"/>
      <c r="S29" s="163" t="str">
        <f>IF(ISERROR(S28*ca_5/(durée_5*30))," ",S28*ca_5/(durée_5*30))</f>
        <v xml:space="preserve"> </v>
      </c>
      <c r="T29" s="164"/>
    </row>
    <row r="30" spans="1:20" s="10" customFormat="1" ht="21.9" customHeight="1">
      <c r="A30" s="83"/>
      <c r="B30" s="991"/>
      <c r="C30" s="999" t="s">
        <v>71</v>
      </c>
      <c r="D30" s="1000"/>
      <c r="E30" s="301"/>
      <c r="F30" s="63"/>
      <c r="G30" s="178"/>
      <c r="H30" s="179" t="str">
        <f>IF(OR(ISBLANK(E30),ISBLANK(G30))," ",G30-E30)</f>
        <v xml:space="preserve"> </v>
      </c>
      <c r="I30" s="64"/>
      <c r="J30" s="178"/>
      <c r="K30" s="179">
        <f>IF(ISERROR(J30-G30)," ",J30-G30)</f>
        <v>0</v>
      </c>
      <c r="L30" s="64"/>
      <c r="M30" s="178"/>
      <c r="N30" s="179">
        <f>IF(ISERROR(M30-J30)," ",M30-J30)</f>
        <v>0</v>
      </c>
      <c r="P30" s="178"/>
      <c r="Q30" s="179">
        <f>IF(ISERROR(P30-M30)," ",P30-M30)</f>
        <v>0</v>
      </c>
      <c r="R30" s="64"/>
      <c r="S30" s="178"/>
      <c r="T30" s="179">
        <f>IF(ISERROR(S30-P30)," ",S30-P30)</f>
        <v>0</v>
      </c>
    </row>
    <row r="31" spans="1:20" s="10" customFormat="1" ht="20.100000000000001" hidden="1" customHeight="1">
      <c r="A31" s="83"/>
      <c r="B31" s="992"/>
      <c r="C31" s="180"/>
      <c r="D31" s="295"/>
      <c r="E31" s="299"/>
      <c r="F31" s="63"/>
      <c r="G31" s="181" t="str">
        <f>IF(ISERROR(G30*ca_1/(durée_1*30))," ",G30*ca_1/(durée_1*30))</f>
        <v xml:space="preserve"> </v>
      </c>
      <c r="H31" s="182"/>
      <c r="I31" s="66"/>
      <c r="J31" s="181" t="str">
        <f>IF(ISERROR(J30*ca_2/(durée_2*30))," ",J30*ca_2/(durée_2*30))</f>
        <v xml:space="preserve"> </v>
      </c>
      <c r="K31" s="182"/>
      <c r="L31" s="64"/>
      <c r="M31" s="181" t="str">
        <f>IF(ISERROR(M30*ca_3/(durée_3*30))," ",M30*ca_3/(durée_3*30))</f>
        <v xml:space="preserve"> </v>
      </c>
      <c r="N31" s="182"/>
      <c r="P31" s="181" t="str">
        <f>IF(ISERROR(P30*ca_4/(durée_4*30))," ",P30*ca_4/(durée_4*30))</f>
        <v xml:space="preserve"> </v>
      </c>
      <c r="Q31" s="182"/>
      <c r="R31" s="64"/>
      <c r="S31" s="181" t="str">
        <f>IF(ISERROR(S30*ca_5/(durée_5*30))," ",S30*ca_5/(durée_5*30))</f>
        <v xml:space="preserve"> </v>
      </c>
      <c r="T31" s="182"/>
    </row>
    <row r="32" spans="1:20" s="10" customFormat="1" ht="21.9" customHeight="1">
      <c r="A32" s="83"/>
      <c r="B32" s="1001" t="s">
        <v>153</v>
      </c>
      <c r="C32" s="1002"/>
      <c r="D32" s="1002"/>
      <c r="E32" s="302"/>
      <c r="F32" s="63"/>
      <c r="G32" s="188"/>
      <c r="H32" s="189" t="str">
        <f>IF(OR(ISBLANK(E32),ISBLANK(G32))," ",G32-E32)</f>
        <v xml:space="preserve"> </v>
      </c>
      <c r="I32" s="64"/>
      <c r="J32" s="188"/>
      <c r="K32" s="189">
        <f>IF(ISERROR(J32-G32)," ",J32-G32)</f>
        <v>0</v>
      </c>
      <c r="L32" s="64"/>
      <c r="M32" s="188"/>
      <c r="N32" s="189">
        <f>IF(ISERROR(M32-J32)," ",M32-J32)</f>
        <v>0</v>
      </c>
      <c r="P32" s="188"/>
      <c r="Q32" s="189">
        <f>IF(ISERROR(P32-M32)," ",P32-M32)</f>
        <v>0</v>
      </c>
      <c r="R32" s="64"/>
      <c r="S32" s="188"/>
      <c r="T32" s="189">
        <f>IF(ISERROR(S32-P32)," ",S32-P32)</f>
        <v>0</v>
      </c>
    </row>
    <row r="33" spans="1:20" s="10" customFormat="1" ht="20.100000000000001" hidden="1" customHeight="1">
      <c r="A33" s="83"/>
      <c r="B33" s="185"/>
      <c r="C33" s="180"/>
      <c r="D33" s="295"/>
      <c r="E33" s="299"/>
      <c r="F33" s="63"/>
      <c r="G33" s="181" t="str">
        <f>IF(ISERROR(G32*ca_1/(durée_1*30))," ",G32*ca_1/(durée_1*30))</f>
        <v xml:space="preserve"> </v>
      </c>
      <c r="H33" s="182"/>
      <c r="I33" s="66"/>
      <c r="J33" s="181" t="str">
        <f>IF(ISERROR(J32*ca_2/(durée_2*30))," ",J32*ca_2/(durée_2*30))</f>
        <v xml:space="preserve"> </v>
      </c>
      <c r="K33" s="182"/>
      <c r="L33" s="66"/>
      <c r="M33" s="181" t="str">
        <f>IF(ISERROR(M32*ca_3/(durée_3*30))," ",M32*ca_3/(durée_3*30))</f>
        <v xml:space="preserve"> </v>
      </c>
      <c r="N33" s="182"/>
      <c r="P33" s="181" t="str">
        <f>IF(ISERROR(P32*ca_4/(durée_4*30))," ",P32*ca_4/(durée_4*30))</f>
        <v xml:space="preserve"> </v>
      </c>
      <c r="Q33" s="182"/>
      <c r="R33" s="66"/>
      <c r="S33" s="181" t="str">
        <f>IF(ISERROR(S32*ca_5/(durée_5*30))," ",S32*ca_5/(durée_5*30))</f>
        <v xml:space="preserve"> </v>
      </c>
      <c r="T33" s="182"/>
    </row>
    <row r="34" spans="1:20" s="10" customFormat="1" ht="21.9" customHeight="1">
      <c r="A34" s="83"/>
      <c r="B34" s="936" t="s">
        <v>72</v>
      </c>
      <c r="C34" s="937"/>
      <c r="D34" s="937"/>
      <c r="E34" s="303"/>
      <c r="F34" s="63"/>
      <c r="G34" s="165"/>
      <c r="H34" s="166" t="str">
        <f>IF(OR(ISBLANK(E34),ISBLANK(G34))," ",G34-E34)</f>
        <v xml:space="preserve"> </v>
      </c>
      <c r="I34" s="64"/>
      <c r="J34" s="165"/>
      <c r="K34" s="166">
        <f>IF(ISERROR(J34-G34)," ",J34-G34)</f>
        <v>0</v>
      </c>
      <c r="L34" s="64"/>
      <c r="M34" s="165"/>
      <c r="N34" s="166">
        <f>IF(ISERROR(M34-J34)," ",M34-J34)</f>
        <v>0</v>
      </c>
      <c r="P34" s="165"/>
      <c r="Q34" s="166">
        <f>IF(ISERROR(P34-M34)," ",P34-M34)</f>
        <v>0</v>
      </c>
      <c r="R34" s="64"/>
      <c r="S34" s="165"/>
      <c r="T34" s="166">
        <f>IF(ISERROR(S34-P34)," ",S34-P34)</f>
        <v>0</v>
      </c>
    </row>
    <row r="35" spans="1:20" s="10" customFormat="1" ht="20.100000000000001" hidden="1" customHeight="1">
      <c r="A35" s="83"/>
      <c r="B35" s="185"/>
      <c r="C35" s="180"/>
      <c r="D35" s="295"/>
      <c r="E35" s="299"/>
      <c r="F35" s="63"/>
      <c r="G35" s="181">
        <f>IF(ISERROR(IF(ISBLANK(G34),0,(ca_1*(1+tv)*G34/(durée_1*30))))," ",IF(ISBLANK(G34),0,(ca_1*(1+tv)*G34/(durée_1*30))))</f>
        <v>0</v>
      </c>
      <c r="H35" s="182"/>
      <c r="I35" s="66"/>
      <c r="J35" s="181">
        <f>IF(ISERROR(IF(ISBLANK(J34),0,(ca_2*(1+tv)*J34/(durée_2*30))))," ",IF(ISBLANK(J34),0,(ca_2*(1+tv)*J34/(durée_2*30))))</f>
        <v>0</v>
      </c>
      <c r="K35" s="182"/>
      <c r="L35" s="64"/>
      <c r="M35" s="181">
        <f>IF(ISERROR(IF(ISBLANK(M34),0,(ca_3*(1+tv)*M34/(durée_3*30))))," ",IF(ISBLANK(M34),0,(ca_3*(1+tv)*M34/(durée_3*30))))</f>
        <v>0</v>
      </c>
      <c r="N35" s="182"/>
      <c r="P35" s="181">
        <f>IF(ISERROR(IF(ISBLANK(P34),0,(ca_4*(1+tv)*P34/(durée_4*30))))," ",IF(ISBLANK(P34),0,(ca_4*(1+tv)*P34/(durée_4*30))))</f>
        <v>0</v>
      </c>
      <c r="Q35" s="182"/>
      <c r="R35" s="64"/>
      <c r="S35" s="181">
        <f>IF(ISERROR(IF(ISBLANK(S34),0,(ca_5*(1+tv)*S34/(durée_5*30))))," ",IF(ISBLANK(S34),0,(ca_5*(1+tv)*S34/(durée_5*30))))</f>
        <v>0</v>
      </c>
      <c r="T35" s="182"/>
    </row>
    <row r="36" spans="1:20" s="10" customFormat="1" ht="21.9" customHeight="1">
      <c r="A36" s="83"/>
      <c r="B36" s="1003" t="s">
        <v>73</v>
      </c>
      <c r="C36" s="1004"/>
      <c r="D36" s="1004"/>
      <c r="E36" s="302"/>
      <c r="F36" s="67"/>
      <c r="G36" s="188"/>
      <c r="H36" s="189" t="str">
        <f>IF(OR(ISBLANK(E36),ISBLANK(G36))," ",G36-E36)</f>
        <v xml:space="preserve"> </v>
      </c>
      <c r="I36" s="64"/>
      <c r="J36" s="188"/>
      <c r="K36" s="189">
        <f>IF(ISERROR(J36-G36)," ",J36-G36)</f>
        <v>0</v>
      </c>
      <c r="L36" s="64"/>
      <c r="M36" s="188"/>
      <c r="N36" s="189">
        <f>IF(ISERROR(M36-J36)," ",M36-J36)</f>
        <v>0</v>
      </c>
      <c r="P36" s="188"/>
      <c r="Q36" s="189">
        <f>IF(ISERROR(P36-M36)," ",P36-M36)</f>
        <v>0</v>
      </c>
      <c r="R36" s="64"/>
      <c r="S36" s="188"/>
      <c r="T36" s="189">
        <f>IF(ISERROR(S36-P36)," ",S36-P36)</f>
        <v>0</v>
      </c>
    </row>
    <row r="37" spans="1:20" s="10" customFormat="1" ht="20.100000000000001" hidden="1" customHeight="1">
      <c r="A37" s="83"/>
      <c r="B37" s="185"/>
      <c r="C37" s="180"/>
      <c r="D37" s="295"/>
      <c r="E37" s="299"/>
      <c r="F37" s="63"/>
      <c r="G37" s="181">
        <f>IF(ISERROR(IF(ISBLANK(G36),0,(('Compte de résultat'!F16+'Compte de résultat'!F18+'Compte de résultat'!F22+'Compte de résultat'!F24+'Compte de résultat'!F25+'Compte de résultat'!F30)*(1+ta)*G36/(durée_1*30)))),0,IF(ISBLANK(G36),0,(('Compte de résultat'!F16+'Compte de résultat'!F18+'Compte de résultat'!F22+'Compte de résultat'!F24+'Compte de résultat'!F25+'Compte de résultat'!F30)*(1+ta)*G36/(durée_1*30))))</f>
        <v>0</v>
      </c>
      <c r="H37" s="182"/>
      <c r="I37" s="66"/>
      <c r="J37" s="181">
        <f>IF(ISERROR(IF(ISBLANK(J36),0,(('Compte de résultat'!I16+'Compte de résultat'!I18+'Compte de résultat'!I22+'Compte de résultat'!I24+'Compte de résultat'!I25+'Compte de résultat'!I30)*(1+ta)*J36/(durée_3*30)))),0,IF(ISBLANK(J36),0,(('Compte de résultat'!I16+'Compte de résultat'!I18+'Compte de résultat'!I22+'Compte de résultat'!I24+'Compte de résultat'!I25+'Compte de résultat'!I30)*(1+ta)*J36/(durée_3*30))))</f>
        <v>0</v>
      </c>
      <c r="K37" s="182"/>
      <c r="L37" s="64"/>
      <c r="M37" s="181">
        <f>IF(ISERROR(IF(ISBLANK(M36),0,(('Compte de résultat'!L16+'Compte de résultat'!L18+'Compte de résultat'!L22+'Compte de résultat'!L24+'Compte de résultat'!L25+'Compte de résultat'!L30)*(1+ta)*M36/(durée_3*30)))),0,IF(ISBLANK(M36),0,(('Compte de résultat'!L16+'Compte de résultat'!L18+'Compte de résultat'!L22+'Compte de résultat'!L24+'Compte de résultat'!L25+'Compte de résultat'!L30)*(1+ta)*M36/(durée_3*30))))</f>
        <v>0</v>
      </c>
      <c r="N37" s="182"/>
      <c r="P37" s="181">
        <f>IF(ISERROR(IF(ISBLANK(P36),0,(('Compte de résultat'!O16+'Compte de résultat'!O18+'Compte de résultat'!O22+'Compte de résultat'!O24+'Compte de résultat'!O25+'Compte de résultat'!O30)*(1+ta)*P36/(durée_4*30)))),0,IF(ISBLANK(P36),0,(('Compte de résultat'!O16+'Compte de résultat'!O18+'Compte de résultat'!O22+'Compte de résultat'!O24+'Compte de résultat'!O25+'Compte de résultat'!O30)*(1+ta)*P36/(durée_4*30))))</f>
        <v>0</v>
      </c>
      <c r="Q37" s="182"/>
      <c r="R37" s="64"/>
      <c r="S37" s="181">
        <f>IF(ISERROR(IF(ISBLANK(S36),0,(('Compte de résultat'!R16+'Compte de résultat'!R18+'Compte de résultat'!R22+'Compte de résultat'!R24+'Compte de résultat'!R25+'Compte de résultat'!R30)*(1+ta)*S36/(durée_5*30)))),0,IF(ISBLANK(S36),0,(('Compte de résultat'!R16+'Compte de résultat'!R18+'Compte de résultat'!R22+'Compte de résultat'!R24+'Compte de résultat'!R25+'Compte de résultat'!R30)*(1+ta)*S36/(durée_5*30))))</f>
        <v>0</v>
      </c>
      <c r="T37" s="182"/>
    </row>
    <row r="38" spans="1:20" s="10" customFormat="1" ht="21.9" customHeight="1">
      <c r="A38" s="83"/>
      <c r="B38" s="1005" t="s">
        <v>74</v>
      </c>
      <c r="C38" s="1006"/>
      <c r="D38" s="1006"/>
      <c r="E38" s="304"/>
      <c r="F38" s="68"/>
      <c r="G38" s="183"/>
      <c r="H38" s="184" t="str">
        <f>IF(OR(ISBLANK(E38),ISBLANK(G38))," ",G38-E38)</f>
        <v xml:space="preserve"> </v>
      </c>
      <c r="I38" s="69"/>
      <c r="J38" s="183"/>
      <c r="K38" s="184">
        <f>IF(ISERROR(J38-G38)," ",J38-G38)</f>
        <v>0</v>
      </c>
      <c r="L38" s="69"/>
      <c r="M38" s="183"/>
      <c r="N38" s="173">
        <f>IF(ISERROR(M38-J38)," ",M38-J38)</f>
        <v>0</v>
      </c>
      <c r="P38" s="183"/>
      <c r="Q38" s="184">
        <f>IF(ISERROR(P38-M38)," ",P38-M38)</f>
        <v>0</v>
      </c>
      <c r="R38" s="69"/>
      <c r="S38" s="183"/>
      <c r="T38" s="173">
        <f>IF(ISERROR(S38-P38)," ",S38-P38)</f>
        <v>0</v>
      </c>
    </row>
    <row r="39" spans="1:20" s="10" customFormat="1" ht="20.100000000000001" hidden="1" customHeight="1">
      <c r="A39" s="83"/>
      <c r="B39" s="162"/>
      <c r="C39" s="70"/>
      <c r="D39" s="70"/>
      <c r="E39" s="305"/>
      <c r="F39" s="71"/>
      <c r="G39" s="167">
        <f>IF(ISERROR(ca_1*G38/(durée_1*30)),0,ca_1*G38/(durée_1*30))</f>
        <v>0</v>
      </c>
      <c r="H39" s="168"/>
      <c r="I39" s="72"/>
      <c r="J39" s="167">
        <f>IF(ISERROR(ca_2*J38/(durée_2*30)),0,ca_2*J38/(durée_2*30))</f>
        <v>0</v>
      </c>
      <c r="K39" s="168"/>
      <c r="L39" s="69"/>
      <c r="M39" s="167">
        <f>IF(ISERROR(ca_3*M38/(durée_3*30)),0,ca_3*M38/(durée_3*30))</f>
        <v>0</v>
      </c>
      <c r="N39" s="168"/>
      <c r="P39" s="167">
        <f>IF(ISERROR(ca_4*P38/(durée_4*30)),0,ca_4*P38/(durée_4*30))</f>
        <v>0</v>
      </c>
      <c r="Q39" s="168"/>
      <c r="R39" s="69"/>
      <c r="S39" s="167">
        <f>IF(ISERROR(ca_5*S38/(durée_5*30)),0,ca_5*S38/(durée_5*30))</f>
        <v>0</v>
      </c>
      <c r="T39" s="168"/>
    </row>
    <row r="40" spans="1:20" s="10" customFormat="1" ht="21.9" customHeight="1">
      <c r="A40" s="83"/>
      <c r="B40" s="1007" t="s">
        <v>75</v>
      </c>
      <c r="C40" s="1008"/>
      <c r="D40" s="1008"/>
      <c r="E40" s="306"/>
      <c r="F40" s="68"/>
      <c r="G40" s="169"/>
      <c r="H40" s="170" t="str">
        <f>IF(OR(ISBLANK(E40),ISBLANK(G40))," ",G40-E40)</f>
        <v xml:space="preserve"> </v>
      </c>
      <c r="I40" s="69"/>
      <c r="J40" s="169"/>
      <c r="K40" s="170">
        <f>IF(ISERROR(J40-G40)," ",J40-G40)</f>
        <v>0</v>
      </c>
      <c r="L40" s="69"/>
      <c r="M40" s="169"/>
      <c r="N40" s="170">
        <f>IF(ISERROR(M40-J40)," ",M40-J40)</f>
        <v>0</v>
      </c>
      <c r="P40" s="169"/>
      <c r="Q40" s="170">
        <f>IF(ISERROR(P40-M40)," ",P40-M40)</f>
        <v>0</v>
      </c>
      <c r="R40" s="69"/>
      <c r="S40" s="169"/>
      <c r="T40" s="170">
        <f>IF(ISERROR(S40-P40)," ",S40-P40)</f>
        <v>0</v>
      </c>
    </row>
    <row r="41" spans="1:20" s="10" customFormat="1" ht="20.100000000000001" hidden="1" customHeight="1">
      <c r="A41" s="83"/>
      <c r="B41" s="162"/>
      <c r="C41" s="70"/>
      <c r="D41" s="70"/>
      <c r="E41" s="307"/>
      <c r="F41" s="71"/>
      <c r="G41" s="171" t="str">
        <f>IF(ISERROR(ca_1*G40/(durée_1*30))," ",ca_1*G40/(durée_1*30))</f>
        <v xml:space="preserve"> </v>
      </c>
      <c r="H41" s="172"/>
      <c r="I41" s="72"/>
      <c r="J41" s="171" t="str">
        <f>IF(ISERROR(ca_2*J40/(durée_2*30))," ",ca_2*J40/(durée_2*30))</f>
        <v xml:space="preserve"> </v>
      </c>
      <c r="K41" s="172"/>
      <c r="L41" s="69"/>
      <c r="M41" s="171" t="str">
        <f>IF(ISERROR(ca_3*M40/(durée_3*30))," ",ca_3*M40/(durée_3*30))</f>
        <v xml:space="preserve"> </v>
      </c>
      <c r="N41" s="172"/>
      <c r="P41" s="171" t="str">
        <f>IF(ISERROR(ca_4*P40/(durée_4*30))," ",ca_4*P40/(durée_4*30))</f>
        <v xml:space="preserve"> </v>
      </c>
      <c r="Q41" s="172"/>
      <c r="R41" s="69"/>
      <c r="S41" s="171" t="str">
        <f>IF(ISERROR(ca_5*S40/(durée_5*30))," ",ca_5*S40/(durée_5*30))</f>
        <v xml:space="preserve"> </v>
      </c>
      <c r="T41" s="172"/>
    </row>
    <row r="42" spans="1:20" s="10" customFormat="1" ht="21.9" customHeight="1">
      <c r="A42" s="83"/>
      <c r="B42" s="1011" t="s">
        <v>76</v>
      </c>
      <c r="C42" s="1012"/>
      <c r="D42" s="1012"/>
      <c r="E42" s="312"/>
      <c r="F42" s="68"/>
      <c r="G42" s="314"/>
      <c r="H42" s="315" t="str">
        <f>IF(OR(ISBLANK(E42),ISBLANK(G42))," ",G42-E42)</f>
        <v xml:space="preserve"> </v>
      </c>
      <c r="I42" s="69"/>
      <c r="J42" s="314"/>
      <c r="K42" s="315">
        <f>IF(ISERROR(J42-G42)," ",J42-G42)</f>
        <v>0</v>
      </c>
      <c r="L42" s="69"/>
      <c r="M42" s="314"/>
      <c r="N42" s="315">
        <f>IF(ISERROR(M42-J42)," ",M42-J42)</f>
        <v>0</v>
      </c>
      <c r="P42" s="314"/>
      <c r="Q42" s="315">
        <f>IF(ISERROR(P42-M42)," ",P42-M42)</f>
        <v>0</v>
      </c>
      <c r="R42" s="69"/>
      <c r="S42" s="314"/>
      <c r="T42" s="315">
        <f>IF(ISERROR(S42-P42)," ",S42-P42)</f>
        <v>0</v>
      </c>
    </row>
    <row r="43" spans="1:20" s="10" customFormat="1" ht="20.100000000000001" hidden="1" customHeight="1">
      <c r="A43" s="83"/>
      <c r="B43" s="308"/>
      <c r="C43" s="309"/>
      <c r="D43" s="310"/>
      <c r="E43" s="311"/>
      <c r="F43" s="63"/>
      <c r="G43" s="311">
        <f>IF(ISERROR(ca_1*G42/(durée_1*30)),0,ca_1*G42/(durée_1*30))</f>
        <v>0</v>
      </c>
      <c r="H43" s="313"/>
      <c r="I43" s="66"/>
      <c r="J43" s="311">
        <f>IF(ISERROR(ca_2*J42/(durée_2*30)),0,ca_2*J42/(durée_2*30))</f>
        <v>0</v>
      </c>
      <c r="K43" s="313"/>
      <c r="L43" s="66"/>
      <c r="M43" s="311">
        <f>IF(ISERROR(ca_3*M42/(durée_3*30)),0,ca_3*M42/(durée_3*30))</f>
        <v>0</v>
      </c>
      <c r="N43" s="313"/>
      <c r="P43" s="311">
        <f>IF(ISERROR(ca_4*P42/(durée_4*30)),0,ca_4*P42/(durée_4*30))</f>
        <v>0</v>
      </c>
      <c r="Q43" s="313"/>
      <c r="R43" s="66"/>
      <c r="S43" s="311">
        <f>IF(ISERROR(ca_5*S42/(durée_5*30)),0,ca_5*S42/(durée_5*30))</f>
        <v>0</v>
      </c>
      <c r="T43" s="313"/>
    </row>
    <row r="44" spans="1:20" ht="6" customHeight="1"/>
    <row r="45" spans="1:20" s="73" customFormat="1" ht="21.9" customHeight="1">
      <c r="A45" s="96"/>
      <c r="B45" s="1020" t="s">
        <v>152</v>
      </c>
      <c r="C45" s="1021"/>
      <c r="D45" s="1021"/>
      <c r="E45" s="883"/>
      <c r="F45" s="54"/>
      <c r="G45" s="248" t="str">
        <f>IF(ISERROR(G25+G27+G29+G31+G33+G35-G37+G39-G41-G43)," ",G25+G27+G29+G31+G33+G35-G37+G39-G41-G43)</f>
        <v xml:space="preserve"> </v>
      </c>
      <c r="H45" s="249">
        <f>IF(ISERROR(IF(ca_1=0,0,G45*durée_1*30/ca_1)),0,IF(ca_1=0,0,G45*durée_1*30/ca_1))</f>
        <v>0</v>
      </c>
      <c r="I45" s="66"/>
      <c r="J45" s="248" t="str">
        <f>IF(ISERROR(J25+J27+J29+J31+J33+J35-J37+J39-J41-J43)," ",J25+J27+J29+J31+J33+J35-J37+J39-J41-J43)</f>
        <v xml:space="preserve"> </v>
      </c>
      <c r="K45" s="249">
        <f>IF(ISERROR(IF(ca_2=0,0,J45*durée_2*30/ca_2)),0,IF(ca_2=0,0,J45*durée_2*30/ca_2))</f>
        <v>0</v>
      </c>
      <c r="L45" s="66"/>
      <c r="M45" s="248" t="str">
        <f>IF(ISERROR(M25+M27+M29+M31+M33+M35-M37+M39-M41-M43)," ",M25+M27+M29+M31+M33+M35-M37+M39-M41-M43)</f>
        <v xml:space="preserve"> </v>
      </c>
      <c r="N45" s="249">
        <f>IF(ISERROR(IF(ca_3=0,0,M45*durée_3*30/ca_3)),0,IF(ca_3=0,0,M45*durée_3*30/ca_3))</f>
        <v>0</v>
      </c>
      <c r="P45" s="248" t="str">
        <f>IF(ISERROR(P25+P27+P29+P31+P33+P35-P37+P39-P41-P43)," ",P25+P27+P29+P31+P33+P35-P37+P39-P41-P43)</f>
        <v xml:space="preserve"> </v>
      </c>
      <c r="Q45" s="249">
        <f>IF(ISERROR(IF(ca_2=0,0,P45*durée_2*30/ca_2)),0,IF(ca_2=0,0,P45*durée_2*30/ca_2))</f>
        <v>0</v>
      </c>
      <c r="R45" s="66"/>
      <c r="S45" s="248" t="str">
        <f>IF(ISERROR(S25+S27+S29+S31+S33+S35-S37+S39-S41-S43)," ",S25+S27+S29+S31+S33+S35-S37+S39-S41-S43)</f>
        <v xml:space="preserve"> </v>
      </c>
      <c r="T45" s="249">
        <f>IF(ISERROR(IF(ca_3=0,0,S45*durée_3*30/ca_3)),0,IF(ca_3=0,0,S45*durée_3*30/ca_3))</f>
        <v>0</v>
      </c>
    </row>
    <row r="46" spans="1:20" s="54" customFormat="1" ht="21.9" customHeight="1">
      <c r="A46" s="97"/>
      <c r="B46" s="1009" t="s">
        <v>230</v>
      </c>
      <c r="C46" s="1010"/>
      <c r="D46" s="1010"/>
      <c r="E46" s="883"/>
      <c r="F46" s="217"/>
      <c r="G46" s="224"/>
      <c r="H46" s="225" t="str">
        <f>IF(OR(ISBLANK(E46),ISBLANK(G46))," ",G46-E46)</f>
        <v xml:space="preserve"> </v>
      </c>
      <c r="I46" s="218"/>
      <c r="J46" s="224"/>
      <c r="K46" s="225">
        <f>IF(ISERROR(J46-G46)," ",J46-G46)</f>
        <v>0</v>
      </c>
      <c r="L46" s="218"/>
      <c r="M46" s="224"/>
      <c r="N46" s="225">
        <f>IF(ISERROR(M46-J46)," ",M46-J46)</f>
        <v>0</v>
      </c>
      <c r="P46" s="224"/>
      <c r="Q46" s="225">
        <f>IF(ISERROR(P46-M46)," ",P46-M46)</f>
        <v>0</v>
      </c>
      <c r="R46" s="218"/>
      <c r="S46" s="224"/>
      <c r="T46" s="225">
        <f>IF(ISERROR(S46-P46)," ",S46-P46)</f>
        <v>0</v>
      </c>
    </row>
    <row r="47" spans="1:20" s="76" customFormat="1" ht="20.100000000000001" hidden="1" customHeight="1">
      <c r="A47" s="98"/>
      <c r="B47" s="212"/>
      <c r="C47" s="213"/>
      <c r="D47" s="214"/>
      <c r="E47" s="215"/>
      <c r="F47" s="74"/>
      <c r="G47" s="215" t="str">
        <f>IF(ISERROR(ca_1*G46/(durée_1*30))," ",ca_1*G46/(durée_1*30))</f>
        <v xml:space="preserve"> </v>
      </c>
      <c r="H47" s="216"/>
      <c r="I47" s="75"/>
      <c r="J47" s="215" t="str">
        <f>IF(ISERROR(ca_2*J46/(durée_2*30))," ",ca_2*J46/(durée_2*30))</f>
        <v xml:space="preserve"> </v>
      </c>
      <c r="K47" s="216"/>
      <c r="L47" s="75"/>
      <c r="M47" s="215" t="str">
        <f>IF(ISERROR(ca_3*M46/(durée_3*30))," ",ca_3*M46/(durée_3*30))</f>
        <v xml:space="preserve"> </v>
      </c>
      <c r="N47" s="216"/>
      <c r="P47" s="215" t="str">
        <f>IF(ISERROR(ca_2*P46/(durée_2*30))," ",ca_2*P46/(durée_2*30))</f>
        <v xml:space="preserve"> </v>
      </c>
      <c r="Q47" s="216"/>
      <c r="R47" s="75"/>
      <c r="S47" s="215" t="str">
        <f>IF(ISERROR(ca_3*S46/(durée_3*30))," ",ca_3*S46/(durée_3*30))</f>
        <v xml:space="preserve"> </v>
      </c>
      <c r="T47" s="216"/>
    </row>
    <row r="48" spans="1:20" s="73" customFormat="1" ht="21.9" customHeight="1">
      <c r="A48" s="96"/>
      <c r="B48" s="1017" t="s">
        <v>140</v>
      </c>
      <c r="C48" s="1018"/>
      <c r="D48" s="1018"/>
      <c r="E48" s="1019"/>
      <c r="F48" s="54"/>
      <c r="G48" s="210" t="str">
        <f>IF(ISERROR(G45+G47)," ",G45+G47)</f>
        <v xml:space="preserve"> </v>
      </c>
      <c r="H48" s="211">
        <f>IF(ISERROR(IF(ca_1=0,0,G48*durée_1*30/ca_1)),0,IF(ca_1=0,0,G48*durée_1*30/ca_1))</f>
        <v>0</v>
      </c>
      <c r="I48" s="77"/>
      <c r="J48" s="210" t="str">
        <f>IF(ISERROR(J45+J47)," ",J45+J47)</f>
        <v xml:space="preserve"> </v>
      </c>
      <c r="K48" s="211">
        <f>IF(ISERROR(IF(ca_2=0,0,J48*durée_2*30/ca_2)),0,IF(ca_2=0,0,J48*durée_2*30/ca_2))</f>
        <v>0</v>
      </c>
      <c r="L48" s="78"/>
      <c r="M48" s="210" t="str">
        <f>IF(ISERROR(M45+M47)," ",M45+M47)</f>
        <v xml:space="preserve"> </v>
      </c>
      <c r="N48" s="211">
        <f>IF(ISERROR(IF(ca_3=0,0,M48*durée_3*30/ca_3)),0,IF(ca_3=0,0,M48*durée_3*30/ca_3))</f>
        <v>0</v>
      </c>
      <c r="P48" s="210" t="str">
        <f>IF(ISERROR(P45+P47)," ",P45+P47)</f>
        <v xml:space="preserve"> </v>
      </c>
      <c r="Q48" s="211">
        <f>IF(ISERROR(IF(ca_2=0,0,P48*durée_2*30/ca_2)),0,IF(ca_2=0,0,P48*durée_2*30/ca_2))</f>
        <v>0</v>
      </c>
      <c r="R48" s="78"/>
      <c r="S48" s="210" t="str">
        <f>IF(ISERROR(S45+S47)," ",S45+S47)</f>
        <v xml:space="preserve"> </v>
      </c>
      <c r="T48" s="211">
        <f>IF(ISERROR(IF(ca_3=0,0,S48*durée_3*30/ca_3)),0,IF(ca_3=0,0,S48*durée_3*30/ca_3))</f>
        <v>0</v>
      </c>
    </row>
    <row r="49" spans="1:20" ht="12.75" customHeight="1"/>
    <row r="50" spans="1:20" s="18" customFormat="1" ht="21.9" customHeight="1">
      <c r="A50" s="79"/>
      <c r="B50" s="981" t="s">
        <v>151</v>
      </c>
      <c r="C50" s="982"/>
      <c r="D50" s="982"/>
      <c r="E50" s="983"/>
      <c r="F50" s="10"/>
      <c r="G50" s="266"/>
      <c r="H50" s="220">
        <f>IF(ca_1=0,0,G50*durée_1*30/ca_1)</f>
        <v>0</v>
      </c>
      <c r="I50" s="57"/>
      <c r="J50" s="223"/>
      <c r="K50" s="220">
        <f>IF(ca_2=0,0,J50*durée_2*30/ca_2)</f>
        <v>0</v>
      </c>
      <c r="L50" s="58"/>
      <c r="M50" s="219"/>
      <c r="N50" s="220">
        <f>IF(ca_3=0,0,M50*durée_3*30/ca_3)</f>
        <v>0</v>
      </c>
      <c r="P50" s="223"/>
      <c r="Q50" s="220">
        <f>IF(ca_4=0,0,P50*durée_4*30/ca_4)</f>
        <v>0</v>
      </c>
      <c r="R50" s="58"/>
      <c r="S50" s="219"/>
      <c r="T50" s="220">
        <f>IF(ca_5=0,0,S50*durée_5*30/ca_5)</f>
        <v>0</v>
      </c>
    </row>
    <row r="51" spans="1:20" s="18" customFormat="1" ht="21.9" customHeight="1">
      <c r="A51" s="79"/>
      <c r="B51" s="984" t="s">
        <v>139</v>
      </c>
      <c r="C51" s="985"/>
      <c r="D51" s="985"/>
      <c r="E51" s="986"/>
      <c r="G51" s="221"/>
      <c r="H51" s="222">
        <f>IF(ca_1=0,0,G51*durée_1*30/ca_1)</f>
        <v>0</v>
      </c>
      <c r="I51" s="60"/>
      <c r="J51" s="221"/>
      <c r="K51" s="222">
        <f>IF(ca_2=0,0,J51*durée_2*30/ca_2)</f>
        <v>0</v>
      </c>
      <c r="L51" s="58"/>
      <c r="M51" s="221"/>
      <c r="N51" s="222">
        <f>IF(ca_3=0,0,M51*durée_3*30/ca_3)</f>
        <v>0</v>
      </c>
      <c r="P51" s="221"/>
      <c r="Q51" s="222">
        <f>IF(ca_4=0,0,P51*durée_4*30/ca_4)</f>
        <v>0</v>
      </c>
      <c r="R51" s="58"/>
      <c r="S51" s="221"/>
      <c r="T51" s="222">
        <f>IF(ca_5=0,0,S51*durée_5*30/ca_5)</f>
        <v>0</v>
      </c>
    </row>
    <row r="53" spans="1:20" ht="20.100000000000001" customHeight="1"/>
    <row r="55" spans="1:20" ht="20.100000000000001" customHeight="1">
      <c r="H55" s="271"/>
    </row>
    <row r="56" spans="1:20" ht="3" customHeight="1">
      <c r="C56" s="267"/>
      <c r="D56" s="267"/>
    </row>
    <row r="57" spans="1:20" ht="20.100000000000001" customHeight="1"/>
    <row r="58" spans="1:20" ht="3" customHeight="1">
      <c r="C58" s="267"/>
      <c r="D58" s="267"/>
    </row>
    <row r="59" spans="1:20" ht="20.100000000000001" customHeight="1"/>
    <row r="60" spans="1:20" ht="20.100000000000001" customHeight="1"/>
  </sheetData>
  <sheetProtection algorithmName="SHA-512" hashValue="FPvFYYzXSLyoxDODmBWFF47Y4cks2y9rY5PlHDX25cjri7UkFm2psWv2FDX5liZgJaNQvDouxaDQ7yJ02pOQ5Q==" saltValue="2/IdV1NeJ4ksnVvk8ySRSA==" spinCount="100000" sheet="1" formatCells="0" formatColumns="0" formatRows="0" insertColumns="0" insertRows="0" insertHyperlinks="0" deleteColumns="0" deleteRows="0" sort="0" autoFilter="0" pivotTables="0"/>
  <mergeCells count="56">
    <mergeCell ref="P14:T14"/>
    <mergeCell ref="P16:T16"/>
    <mergeCell ref="P18:T18"/>
    <mergeCell ref="P20:Q20"/>
    <mergeCell ref="S20:T20"/>
    <mergeCell ref="P22:P23"/>
    <mergeCell ref="Q22:Q23"/>
    <mergeCell ref="S22:S23"/>
    <mergeCell ref="T22:T23"/>
    <mergeCell ref="B48:E48"/>
    <mergeCell ref="N22:N23"/>
    <mergeCell ref="G22:G23"/>
    <mergeCell ref="H22:H23"/>
    <mergeCell ref="J22:J23"/>
    <mergeCell ref="K22:K23"/>
    <mergeCell ref="M22:M23"/>
    <mergeCell ref="B45:E45"/>
    <mergeCell ref="B22:D23"/>
    <mergeCell ref="B50:E50"/>
    <mergeCell ref="B51:E51"/>
    <mergeCell ref="B20:E20"/>
    <mergeCell ref="B24:B27"/>
    <mergeCell ref="C24:D24"/>
    <mergeCell ref="C26:D26"/>
    <mergeCell ref="B28:B31"/>
    <mergeCell ref="C28:D28"/>
    <mergeCell ref="C30:D30"/>
    <mergeCell ref="B32:D32"/>
    <mergeCell ref="B34:D34"/>
    <mergeCell ref="B36:D36"/>
    <mergeCell ref="B38:D38"/>
    <mergeCell ref="B40:D40"/>
    <mergeCell ref="B46:E46"/>
    <mergeCell ref="B42:D42"/>
    <mergeCell ref="G20:H20"/>
    <mergeCell ref="J20:K20"/>
    <mergeCell ref="M20:N20"/>
    <mergeCell ref="D14:F14"/>
    <mergeCell ref="D16:F16"/>
    <mergeCell ref="J16:L16"/>
    <mergeCell ref="J14:L14"/>
    <mergeCell ref="D18:F18"/>
    <mergeCell ref="J18:L18"/>
    <mergeCell ref="D2:N2"/>
    <mergeCell ref="H12:N12"/>
    <mergeCell ref="B12:D12"/>
    <mergeCell ref="H4:N4"/>
    <mergeCell ref="H5:M5"/>
    <mergeCell ref="H6:L6"/>
    <mergeCell ref="H7:L7"/>
    <mergeCell ref="H8:L8"/>
    <mergeCell ref="H9:L9"/>
    <mergeCell ref="H10:M10"/>
    <mergeCell ref="B5:C5"/>
    <mergeCell ref="B10:C10"/>
    <mergeCell ref="B4:D4"/>
  </mergeCells>
  <phoneticPr fontId="2" type="noConversion"/>
  <conditionalFormatting sqref="H24 H26 H28 H30 H32 H34 H36 H46 G42:H42 G40:H40 G38:H38 G46:G47">
    <cfRule type="cellIs" dxfId="252" priority="122" stopIfTrue="1" operator="equal">
      <formula>0</formula>
    </cfRule>
  </conditionalFormatting>
  <conditionalFormatting sqref="H50 K50 N50">
    <cfRule type="cellIs" dxfId="251" priority="121" stopIfTrue="1" operator="equal">
      <formula>0</formula>
    </cfRule>
  </conditionalFormatting>
  <conditionalFormatting sqref="H51 K51 N51">
    <cfRule type="cellIs" dxfId="250" priority="120" stopIfTrue="1" operator="equal">
      <formula>0</formula>
    </cfRule>
  </conditionalFormatting>
  <conditionalFormatting sqref="H48">
    <cfRule type="cellIs" dxfId="249" priority="116" stopIfTrue="1" operator="equal">
      <formula>0</formula>
    </cfRule>
  </conditionalFormatting>
  <conditionalFormatting sqref="G48">
    <cfRule type="cellIs" dxfId="248" priority="115" operator="equal">
      <formula>0</formula>
    </cfRule>
  </conditionalFormatting>
  <conditionalFormatting sqref="G45:H45">
    <cfRule type="cellIs" dxfId="247" priority="93" operator="lessThan">
      <formula>0</formula>
    </cfRule>
    <cfRule type="cellIs" dxfId="246" priority="114" operator="equal">
      <formula>0</formula>
    </cfRule>
  </conditionalFormatting>
  <conditionalFormatting sqref="G48:H48">
    <cfRule type="cellIs" dxfId="245" priority="113" operator="lessThan">
      <formula>0</formula>
    </cfRule>
  </conditionalFormatting>
  <conditionalFormatting sqref="K24 K26 K28 K30 K32 K34 K36 K46 J42:K42 J40:K40 J38:K38 J46:J47">
    <cfRule type="cellIs" dxfId="244" priority="110" stopIfTrue="1" operator="equal">
      <formula>0</formula>
    </cfRule>
  </conditionalFormatting>
  <conditionalFormatting sqref="K48">
    <cfRule type="cellIs" dxfId="243" priority="109" stopIfTrue="1" operator="equal">
      <formula>0</formula>
    </cfRule>
  </conditionalFormatting>
  <conditionalFormatting sqref="J48">
    <cfRule type="cellIs" dxfId="242" priority="108" operator="equal">
      <formula>0</formula>
    </cfRule>
  </conditionalFormatting>
  <conditionalFormatting sqref="J48:K48">
    <cfRule type="cellIs" dxfId="241" priority="106" operator="lessThan">
      <formula>0</formula>
    </cfRule>
  </conditionalFormatting>
  <conditionalFormatting sqref="N24 N26 N28 N30 N32 N34 N36 N46 M42:N42 M40:N40 M38:N38 M46:M47">
    <cfRule type="cellIs" dxfId="240" priority="105" stopIfTrue="1" operator="equal">
      <formula>0</formula>
    </cfRule>
  </conditionalFormatting>
  <conditionalFormatting sqref="N48">
    <cfRule type="cellIs" dxfId="239" priority="104" stopIfTrue="1" operator="equal">
      <formula>0</formula>
    </cfRule>
  </conditionalFormatting>
  <conditionalFormatting sqref="M48">
    <cfRule type="cellIs" dxfId="238" priority="103" operator="equal">
      <formula>0</formula>
    </cfRule>
  </conditionalFormatting>
  <conditionalFormatting sqref="M48:N48">
    <cfRule type="cellIs" dxfId="237" priority="101" operator="lessThan">
      <formula>0</formula>
    </cfRule>
  </conditionalFormatting>
  <conditionalFormatting sqref="J45:K45">
    <cfRule type="cellIs" dxfId="236" priority="91" operator="lessThan">
      <formula>0</formula>
    </cfRule>
    <cfRule type="cellIs" dxfId="235" priority="92" operator="equal">
      <formula>0</formula>
    </cfRule>
  </conditionalFormatting>
  <conditionalFormatting sqref="M45:N45">
    <cfRule type="cellIs" dxfId="234" priority="89" operator="lessThan">
      <formula>0</formula>
    </cfRule>
    <cfRule type="cellIs" dxfId="233" priority="90" operator="equal">
      <formula>0</formula>
    </cfRule>
  </conditionalFormatting>
  <conditionalFormatting sqref="G46">
    <cfRule type="cellIs" dxfId="232" priority="88" operator="lessThan">
      <formula>0</formula>
    </cfRule>
  </conditionalFormatting>
  <conditionalFormatting sqref="J46">
    <cfRule type="cellIs" dxfId="231" priority="87" operator="lessThan">
      <formula>0</formula>
    </cfRule>
  </conditionalFormatting>
  <conditionalFormatting sqref="M46">
    <cfRule type="cellIs" dxfId="230" priority="86" operator="lessThan">
      <formula>0</formula>
    </cfRule>
  </conditionalFormatting>
  <conditionalFormatting sqref="G20:H20">
    <cfRule type="cellIs" dxfId="229" priority="70" operator="equal">
      <formula>0</formula>
    </cfRule>
    <cfRule type="expression" dxfId="228" priority="71">
      <formula>#REF!&lt;&gt;12</formula>
    </cfRule>
  </conditionalFormatting>
  <conditionalFormatting sqref="J20">
    <cfRule type="cellIs" dxfId="227" priority="64" operator="equal">
      <formula>0</formula>
    </cfRule>
    <cfRule type="expression" dxfId="226" priority="67">
      <formula>#REF!&lt;&gt;12</formula>
    </cfRule>
  </conditionalFormatting>
  <conditionalFormatting sqref="M20:N20">
    <cfRule type="cellIs" dxfId="225" priority="65" operator="equal">
      <formula>0</formula>
    </cfRule>
    <cfRule type="expression" dxfId="224" priority="66">
      <formula>#REF!&lt;&gt;12</formula>
    </cfRule>
  </conditionalFormatting>
  <conditionalFormatting sqref="E42 E40 E38 E47">
    <cfRule type="cellIs" dxfId="223" priority="53" stopIfTrue="1" operator="equal">
      <formula>0</formula>
    </cfRule>
  </conditionalFormatting>
  <conditionalFormatting sqref="D2:N2">
    <cfRule type="cellIs" dxfId="222" priority="47" operator="equal">
      <formula>0</formula>
    </cfRule>
  </conditionalFormatting>
  <conditionalFormatting sqref="Q50 T50">
    <cfRule type="cellIs" dxfId="221" priority="46" stopIfTrue="1" operator="equal">
      <formula>0</formula>
    </cfRule>
  </conditionalFormatting>
  <conditionalFormatting sqref="Q51 T51">
    <cfRule type="cellIs" dxfId="220" priority="45" stopIfTrue="1" operator="equal">
      <formula>0</formula>
    </cfRule>
  </conditionalFormatting>
  <conditionalFormatting sqref="Q24 Q26 Q28 Q30 Q32 Q34 Q36 Q46 P42:Q42 P40:Q40 P38:Q38 P46:P47">
    <cfRule type="cellIs" dxfId="219" priority="44" stopIfTrue="1" operator="equal">
      <formula>0</formula>
    </cfRule>
  </conditionalFormatting>
  <conditionalFormatting sqref="Q48">
    <cfRule type="cellIs" dxfId="218" priority="43" stopIfTrue="1" operator="equal">
      <formula>0</formula>
    </cfRule>
  </conditionalFormatting>
  <conditionalFormatting sqref="P48">
    <cfRule type="cellIs" dxfId="217" priority="42" operator="equal">
      <formula>0</formula>
    </cfRule>
  </conditionalFormatting>
  <conditionalFormatting sqref="P48:Q48">
    <cfRule type="cellIs" dxfId="216" priority="41" operator="lessThan">
      <formula>0</formula>
    </cfRule>
  </conditionalFormatting>
  <conditionalFormatting sqref="T24 T26 T28 T30 T32 T34 T36 T46 S42:T42 S40:T40 S38:T38 S46:S47">
    <cfRule type="cellIs" dxfId="215" priority="40" stopIfTrue="1" operator="equal">
      <formula>0</formula>
    </cfRule>
  </conditionalFormatting>
  <conditionalFormatting sqref="T48">
    <cfRule type="cellIs" dxfId="214" priority="39" stopIfTrue="1" operator="equal">
      <formula>0</formula>
    </cfRule>
  </conditionalFormatting>
  <conditionalFormatting sqref="S48">
    <cfRule type="cellIs" dxfId="213" priority="38" operator="equal">
      <formula>0</formula>
    </cfRule>
  </conditionalFormatting>
  <conditionalFormatting sqref="S48:T48">
    <cfRule type="cellIs" dxfId="212" priority="37" operator="lessThan">
      <formula>0</formula>
    </cfRule>
  </conditionalFormatting>
  <conditionalFormatting sqref="P45:Q45">
    <cfRule type="cellIs" dxfId="211" priority="35" operator="lessThan">
      <formula>0</formula>
    </cfRule>
    <cfRule type="cellIs" dxfId="210" priority="36" operator="equal">
      <formula>0</formula>
    </cfRule>
  </conditionalFormatting>
  <conditionalFormatting sqref="S45:T45">
    <cfRule type="cellIs" dxfId="209" priority="33" operator="lessThan">
      <formula>0</formula>
    </cfRule>
    <cfRule type="cellIs" dxfId="208" priority="34" operator="equal">
      <formula>0</formula>
    </cfRule>
  </conditionalFormatting>
  <conditionalFormatting sqref="P46">
    <cfRule type="cellIs" dxfId="207" priority="32" operator="lessThan">
      <formula>0</formula>
    </cfRule>
  </conditionalFormatting>
  <conditionalFormatting sqref="S46">
    <cfRule type="cellIs" dxfId="206" priority="31" operator="lessThan">
      <formula>0</formula>
    </cfRule>
  </conditionalFormatting>
  <conditionalFormatting sqref="P20">
    <cfRule type="cellIs" dxfId="205" priority="27" operator="equal">
      <formula>0</formula>
    </cfRule>
    <cfRule type="expression" dxfId="204" priority="30">
      <formula>#REF!&lt;&gt;12</formula>
    </cfRule>
  </conditionalFormatting>
  <conditionalFormatting sqref="S20:T20">
    <cfRule type="cellIs" dxfId="203" priority="28" operator="equal">
      <formula>0</formula>
    </cfRule>
    <cfRule type="expression" dxfId="202" priority="29">
      <formula>#REF!&lt;&gt;12</formula>
    </cfRule>
  </conditionalFormatting>
  <conditionalFormatting sqref="H16">
    <cfRule type="cellIs" dxfId="201" priority="18" operator="equal">
      <formula>0</formula>
    </cfRule>
  </conditionalFormatting>
  <conditionalFormatting sqref="G14 M14 G16:H16">
    <cfRule type="expression" dxfId="200" priority="19">
      <formula>$C$14=0</formula>
    </cfRule>
    <cfRule type="expression" dxfId="199" priority="20">
      <formula>$C$14="non"</formula>
    </cfRule>
  </conditionalFormatting>
  <conditionalFormatting sqref="H14">
    <cfRule type="expression" dxfId="198" priority="15">
      <formula>$C$14=0</formula>
    </cfRule>
    <cfRule type="expression" dxfId="197" priority="16">
      <formula>$C$14="non"</formula>
    </cfRule>
  </conditionalFormatting>
  <conditionalFormatting sqref="N14">
    <cfRule type="expression" dxfId="196" priority="13">
      <formula>$C$14=0</formula>
    </cfRule>
    <cfRule type="expression" dxfId="195" priority="14">
      <formula>$C$14="non"</formula>
    </cfRule>
  </conditionalFormatting>
  <conditionalFormatting sqref="N18">
    <cfRule type="cellIs" dxfId="194" priority="7" operator="equal">
      <formula>0</formula>
    </cfRule>
  </conditionalFormatting>
  <conditionalFormatting sqref="M18:N18">
    <cfRule type="expression" dxfId="193" priority="8">
      <formula>$C$14=0</formula>
    </cfRule>
    <cfRule type="expression" dxfId="192" priority="9">
      <formula>$C$14="non"</formula>
    </cfRule>
  </conditionalFormatting>
  <conditionalFormatting sqref="N16">
    <cfRule type="cellIs" dxfId="191" priority="4" operator="equal">
      <formula>0</formula>
    </cfRule>
  </conditionalFormatting>
  <conditionalFormatting sqref="M16:N16">
    <cfRule type="expression" dxfId="190" priority="5">
      <formula>$C$14=0</formula>
    </cfRule>
    <cfRule type="expression" dxfId="189" priority="6">
      <formula>$C$14="non"</formula>
    </cfRule>
  </conditionalFormatting>
  <conditionalFormatting sqref="H18">
    <cfRule type="cellIs" dxfId="188" priority="1" operator="equal">
      <formula>0</formula>
    </cfRule>
  </conditionalFormatting>
  <conditionalFormatting sqref="G18:H18">
    <cfRule type="expression" dxfId="187" priority="2">
      <formula>$C$14=0</formula>
    </cfRule>
    <cfRule type="expression" dxfId="186" priority="3">
      <formula>$C$14="non"</formula>
    </cfRule>
  </conditionalFormatting>
  <dataValidations count="2">
    <dataValidation type="list" allowBlank="1" showInputMessage="1" showErrorMessage="1" sqref="C14" xr:uid="{00000000-0002-0000-0100-000000000000}">
      <formula1>"non,oui"</formula1>
    </dataValidation>
    <dataValidation allowBlank="1" showInputMessage="1" showErrorMessage="1" prompt="le nom de l'entreprise est à renseigner dans l'onglet Compte de résultat" sqref="B2" xr:uid="{00000000-0002-0000-0100-000001000000}"/>
  </dataValidations>
  <printOptions horizontalCentered="1"/>
  <pageMargins left="0" right="0" top="0" bottom="0" header="0" footer="0"/>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B1:U92"/>
  <sheetViews>
    <sheetView showGridLines="0" showRowColHeaders="0" workbookViewId="0">
      <pane ySplit="6" topLeftCell="A7" activePane="bottomLeft" state="frozenSplit"/>
      <selection activeCell="L8" sqref="L8"/>
      <selection pane="bottomLeft" activeCell="B7" sqref="B7:C7"/>
    </sheetView>
  </sheetViews>
  <sheetFormatPr baseColWidth="10" defaultColWidth="9.33203125" defaultRowHeight="13.8"/>
  <cols>
    <col min="1" max="1" width="1.5546875" style="10" customWidth="1"/>
    <col min="2" max="2" width="16.88671875" style="10" customWidth="1"/>
    <col min="3" max="3" width="17.88671875" style="109" customWidth="1"/>
    <col min="4" max="4" width="11.5546875" style="10" customWidth="1"/>
    <col min="5" max="5" width="12.6640625" style="10" customWidth="1"/>
    <col min="6" max="6" width="8.6640625" style="10" customWidth="1"/>
    <col min="7" max="7" width="0.88671875" style="10" customWidth="1"/>
    <col min="8" max="9" width="10.6640625" style="10" customWidth="1"/>
    <col min="10" max="10" width="0.88671875" style="10" customWidth="1"/>
    <col min="11" max="12" width="10.6640625" style="10" customWidth="1"/>
    <col min="13" max="13" width="0.88671875" style="10" customWidth="1"/>
    <col min="14" max="15" width="10.6640625" style="10" customWidth="1"/>
    <col min="16" max="16" width="0.88671875" style="10" customWidth="1"/>
    <col min="17" max="18" width="10.6640625" style="10" customWidth="1"/>
    <col min="19" max="19" width="0.88671875" style="10" customWidth="1"/>
    <col min="20" max="21" width="10.6640625" style="10" customWidth="1"/>
    <col min="22" max="16384" width="9.33203125" style="10"/>
  </cols>
  <sheetData>
    <row r="1" spans="2:21" ht="6" customHeight="1"/>
    <row r="2" spans="2:21" s="101" customFormat="1" ht="21.9" customHeight="1">
      <c r="B2" s="1075" t="str">
        <f>IF(ISBLANK(entreprise)," ",entreprise)</f>
        <v xml:space="preserve"> </v>
      </c>
      <c r="C2" s="1076"/>
      <c r="D2" s="1029" t="s">
        <v>231</v>
      </c>
      <c r="E2" s="1030"/>
      <c r="F2" s="1030"/>
      <c r="G2" s="1030"/>
      <c r="H2" s="1030"/>
      <c r="I2" s="1030"/>
      <c r="J2" s="1030"/>
      <c r="K2" s="1030"/>
      <c r="L2" s="1030"/>
      <c r="M2" s="1030"/>
      <c r="N2" s="1030"/>
      <c r="O2" s="1030"/>
      <c r="P2" s="1031"/>
      <c r="Q2" s="1031"/>
      <c r="R2" s="1031"/>
      <c r="S2" s="1031"/>
      <c r="T2" s="1031"/>
      <c r="U2" s="1032"/>
    </row>
    <row r="3" spans="2:21" ht="15" customHeight="1">
      <c r="C3" s="10"/>
      <c r="D3" s="102"/>
      <c r="E3" s="103"/>
      <c r="F3" s="616"/>
      <c r="G3" s="616"/>
      <c r="H3" s="616"/>
      <c r="I3" s="616"/>
      <c r="J3" s="616"/>
      <c r="K3" s="1033"/>
      <c r="L3" s="1033"/>
      <c r="M3" s="1033"/>
      <c r="N3" s="1033"/>
      <c r="O3" s="1033"/>
      <c r="Q3" s="1033" t="s">
        <v>122</v>
      </c>
      <c r="R3" s="1033"/>
      <c r="S3" s="1033"/>
      <c r="T3" s="1033"/>
      <c r="U3" s="1033"/>
    </row>
    <row r="4" spans="2:21" ht="23.1" customHeight="1">
      <c r="B4" s="1081" t="s">
        <v>87</v>
      </c>
      <c r="C4" s="1078" t="s">
        <v>125</v>
      </c>
      <c r="D4" s="1079"/>
      <c r="E4" s="1079"/>
      <c r="F4" s="1034" t="s">
        <v>116</v>
      </c>
      <c r="G4" s="118"/>
      <c r="H4" s="1036" t="str">
        <f>IF(ISBLANK(An)," ",An)</f>
        <v xml:space="preserve"> </v>
      </c>
      <c r="I4" s="1037"/>
      <c r="J4" s="620"/>
      <c r="K4" s="1036" t="str">
        <f>IF(ISBLANK(An)," ",An+1)</f>
        <v xml:space="preserve"> </v>
      </c>
      <c r="L4" s="1037"/>
      <c r="M4" s="620"/>
      <c r="N4" s="1036" t="str">
        <f>IF(ISBLANK(An)," ",An+2)</f>
        <v xml:space="preserve"> </v>
      </c>
      <c r="O4" s="1037"/>
      <c r="P4" s="18"/>
      <c r="Q4" s="1036" t="str">
        <f>IF(ISBLANK(An)," ",An+3)</f>
        <v xml:space="preserve"> </v>
      </c>
      <c r="R4" s="1037"/>
      <c r="S4" s="620"/>
      <c r="T4" s="1036" t="str">
        <f>IF(ISBLANK(An)," ",An+4)</f>
        <v xml:space="preserve"> </v>
      </c>
      <c r="U4" s="1037"/>
    </row>
    <row r="5" spans="2:21" ht="23.1" customHeight="1">
      <c r="B5" s="1082"/>
      <c r="C5" s="1080"/>
      <c r="D5" s="1080"/>
      <c r="E5" s="1080"/>
      <c r="F5" s="1035"/>
      <c r="G5" s="118"/>
      <c r="H5" s="208" t="s">
        <v>123</v>
      </c>
      <c r="I5" s="209" t="s">
        <v>124</v>
      </c>
      <c r="J5" s="130"/>
      <c r="K5" s="208" t="s">
        <v>123</v>
      </c>
      <c r="L5" s="209" t="s">
        <v>124</v>
      </c>
      <c r="M5" s="130"/>
      <c r="N5" s="208" t="s">
        <v>123</v>
      </c>
      <c r="O5" s="209" t="s">
        <v>124</v>
      </c>
      <c r="Q5" s="208" t="s">
        <v>123</v>
      </c>
      <c r="R5" s="209" t="s">
        <v>124</v>
      </c>
      <c r="S5" s="130"/>
      <c r="T5" s="208" t="s">
        <v>123</v>
      </c>
      <c r="U5" s="209" t="s">
        <v>124</v>
      </c>
    </row>
    <row r="6" spans="2:21" ht="6" customHeight="1">
      <c r="C6" s="104"/>
      <c r="D6" s="104"/>
      <c r="E6" s="104"/>
      <c r="F6" s="104"/>
      <c r="G6" s="104"/>
      <c r="H6" s="104"/>
      <c r="I6" s="104"/>
      <c r="J6" s="103"/>
      <c r="K6" s="103"/>
      <c r="L6" s="103"/>
      <c r="Q6" s="103"/>
      <c r="R6" s="103"/>
    </row>
    <row r="7" spans="2:21" ht="20.100000000000001" customHeight="1">
      <c r="B7" s="1045" t="s">
        <v>117</v>
      </c>
      <c r="C7" s="1046"/>
      <c r="D7" s="104"/>
      <c r="E7" s="104"/>
      <c r="F7" s="104"/>
      <c r="G7" s="104"/>
      <c r="H7" s="104"/>
      <c r="I7" s="104"/>
      <c r="J7" s="103"/>
      <c r="K7" s="103"/>
      <c r="L7" s="103"/>
      <c r="Q7" s="103"/>
      <c r="R7" s="103"/>
    </row>
    <row r="8" spans="2:21" ht="20.100000000000001" customHeight="1">
      <c r="B8" s="1047" t="s">
        <v>110</v>
      </c>
      <c r="C8" s="1091" t="s">
        <v>108</v>
      </c>
      <c r="D8" s="1092"/>
      <c r="E8" s="1092"/>
      <c r="F8" s="1093"/>
      <c r="G8" s="109"/>
      <c r="H8" s="589"/>
      <c r="I8" s="593"/>
      <c r="J8" s="119"/>
      <c r="K8" s="589"/>
      <c r="L8" s="593"/>
      <c r="M8" s="119"/>
      <c r="N8" s="589"/>
      <c r="O8" s="593"/>
      <c r="Q8" s="589"/>
      <c r="R8" s="593"/>
      <c r="S8" s="119"/>
      <c r="T8" s="589"/>
      <c r="U8" s="593"/>
    </row>
    <row r="9" spans="2:21" ht="20.100000000000001" customHeight="1">
      <c r="B9" s="1048"/>
      <c r="C9" s="1050" t="s">
        <v>109</v>
      </c>
      <c r="D9" s="1051"/>
      <c r="E9" s="1051"/>
      <c r="F9" s="1052"/>
      <c r="G9" s="109"/>
      <c r="H9" s="590"/>
      <c r="I9" s="594"/>
      <c r="J9" s="119"/>
      <c r="K9" s="590"/>
      <c r="L9" s="594"/>
      <c r="M9" s="119"/>
      <c r="N9" s="590"/>
      <c r="O9" s="594"/>
      <c r="Q9" s="590"/>
      <c r="R9" s="594"/>
      <c r="S9" s="119"/>
      <c r="T9" s="590"/>
      <c r="U9" s="594"/>
    </row>
    <row r="10" spans="2:21" ht="20.100000000000001" customHeight="1">
      <c r="B10" s="1048"/>
      <c r="C10" s="1050"/>
      <c r="D10" s="1051"/>
      <c r="E10" s="1051"/>
      <c r="F10" s="1052"/>
      <c r="G10" s="109"/>
      <c r="H10" s="590"/>
      <c r="I10" s="594"/>
      <c r="J10" s="119"/>
      <c r="K10" s="590"/>
      <c r="L10" s="594"/>
      <c r="M10" s="119"/>
      <c r="N10" s="590"/>
      <c r="O10" s="594"/>
      <c r="Q10" s="590"/>
      <c r="R10" s="594"/>
      <c r="S10" s="119"/>
      <c r="T10" s="590"/>
      <c r="U10" s="594"/>
    </row>
    <row r="11" spans="2:21" ht="20.100000000000001" customHeight="1">
      <c r="B11" s="1049"/>
      <c r="C11" s="1094"/>
      <c r="D11" s="1053"/>
      <c r="E11" s="1053"/>
      <c r="F11" s="1095"/>
      <c r="G11" s="109"/>
      <c r="H11" s="591"/>
      <c r="I11" s="595"/>
      <c r="J11" s="119"/>
      <c r="K11" s="591"/>
      <c r="L11" s="595"/>
      <c r="M11" s="119"/>
      <c r="N11" s="591"/>
      <c r="O11" s="595"/>
      <c r="Q11" s="591"/>
      <c r="R11" s="595"/>
      <c r="S11" s="119"/>
      <c r="T11" s="591"/>
      <c r="U11" s="595"/>
    </row>
    <row r="12" spans="2:21" s="111" customFormat="1" ht="3" customHeight="1">
      <c r="B12" s="112"/>
      <c r="C12" s="113"/>
      <c r="D12" s="113"/>
      <c r="E12" s="114"/>
      <c r="F12" s="114"/>
      <c r="G12" s="113"/>
      <c r="H12" s="112"/>
      <c r="I12" s="112"/>
      <c r="J12" s="113" t="s">
        <v>106</v>
      </c>
      <c r="K12" s="114"/>
      <c r="L12" s="112"/>
      <c r="M12" s="115"/>
      <c r="N12" s="116"/>
      <c r="O12" s="112"/>
      <c r="Q12" s="114"/>
      <c r="R12" s="112" t="s">
        <v>102</v>
      </c>
      <c r="S12" s="115"/>
      <c r="T12" s="116"/>
      <c r="U12" s="112"/>
    </row>
    <row r="13" spans="2:21" ht="21.9" customHeight="1">
      <c r="C13" s="121"/>
      <c r="D13" s="121"/>
      <c r="F13" s="122" t="s">
        <v>0</v>
      </c>
      <c r="G13" s="108"/>
      <c r="H13" s="592">
        <f>SUM(H8:H11)</f>
        <v>0</v>
      </c>
      <c r="I13" s="596">
        <f>SUM(I8:I11)</f>
        <v>0</v>
      </c>
      <c r="J13" s="120"/>
      <c r="K13" s="592">
        <f>SUM(K8:K11)</f>
        <v>0</v>
      </c>
      <c r="L13" s="596">
        <f>SUM(L8:L11)</f>
        <v>0</v>
      </c>
      <c r="M13" s="120"/>
      <c r="N13" s="592">
        <f>SUM(N8:N11)</f>
        <v>0</v>
      </c>
      <c r="O13" s="596">
        <f>SUM(O8:O11)</f>
        <v>0</v>
      </c>
      <c r="Q13" s="592">
        <f>SUM(Q8:Q11)</f>
        <v>0</v>
      </c>
      <c r="R13" s="596">
        <f>SUM(R8:R11)</f>
        <v>0</v>
      </c>
      <c r="S13" s="120"/>
      <c r="T13" s="592">
        <f>SUM(T8:T11)</f>
        <v>0</v>
      </c>
      <c r="U13" s="596">
        <f>SUM(U8:U11)</f>
        <v>0</v>
      </c>
    </row>
    <row r="15" spans="2:21" ht="20.100000000000001" customHeight="1">
      <c r="B15" s="1085" t="s">
        <v>112</v>
      </c>
      <c r="C15" s="1090" t="s">
        <v>93</v>
      </c>
      <c r="D15" s="1090"/>
      <c r="E15" s="1090"/>
      <c r="F15" s="573"/>
      <c r="G15" s="105"/>
      <c r="H15" s="589"/>
      <c r="I15" s="593"/>
      <c r="J15" s="119"/>
      <c r="K15" s="589"/>
      <c r="L15" s="593"/>
      <c r="M15" s="119"/>
      <c r="N15" s="589"/>
      <c r="O15" s="593"/>
      <c r="Q15" s="589"/>
      <c r="R15" s="593"/>
      <c r="S15" s="119"/>
      <c r="T15" s="589"/>
      <c r="U15" s="593"/>
    </row>
    <row r="16" spans="2:21" ht="20.100000000000001" customHeight="1">
      <c r="B16" s="1086"/>
      <c r="C16" s="1055" t="s">
        <v>94</v>
      </c>
      <c r="D16" s="1056"/>
      <c r="E16" s="1056"/>
      <c r="F16" s="574"/>
      <c r="G16" s="105"/>
      <c r="H16" s="590"/>
      <c r="I16" s="594"/>
      <c r="J16" s="119"/>
      <c r="K16" s="590"/>
      <c r="L16" s="594"/>
      <c r="M16" s="119"/>
      <c r="N16" s="590"/>
      <c r="O16" s="594"/>
      <c r="Q16" s="590"/>
      <c r="R16" s="594"/>
      <c r="S16" s="119"/>
      <c r="T16" s="590"/>
      <c r="U16" s="594"/>
    </row>
    <row r="17" spans="2:21" ht="20.100000000000001" customHeight="1">
      <c r="B17" s="1086"/>
      <c r="C17" s="1055" t="s">
        <v>95</v>
      </c>
      <c r="D17" s="1056"/>
      <c r="E17" s="1056"/>
      <c r="F17" s="574"/>
      <c r="G17" s="105"/>
      <c r="H17" s="590"/>
      <c r="I17" s="594"/>
      <c r="J17" s="119"/>
      <c r="K17" s="590"/>
      <c r="L17" s="594"/>
      <c r="M17" s="119"/>
      <c r="N17" s="590"/>
      <c r="O17" s="594"/>
      <c r="Q17" s="590"/>
      <c r="R17" s="594"/>
      <c r="S17" s="119"/>
      <c r="T17" s="590"/>
      <c r="U17" s="594"/>
    </row>
    <row r="18" spans="2:21" ht="20.100000000000001" customHeight="1">
      <c r="B18" s="1087"/>
      <c r="C18" s="1055" t="s">
        <v>96</v>
      </c>
      <c r="D18" s="1055"/>
      <c r="E18" s="1055"/>
      <c r="F18" s="574"/>
      <c r="G18" s="105"/>
      <c r="H18" s="590"/>
      <c r="I18" s="594"/>
      <c r="J18" s="119"/>
      <c r="K18" s="590"/>
      <c r="L18" s="594"/>
      <c r="M18" s="119"/>
      <c r="N18" s="590"/>
      <c r="O18" s="594"/>
      <c r="Q18" s="590"/>
      <c r="R18" s="594"/>
      <c r="S18" s="119"/>
      <c r="T18" s="590"/>
      <c r="U18" s="594"/>
    </row>
    <row r="19" spans="2:21" ht="20.100000000000001" customHeight="1">
      <c r="B19" s="1088"/>
      <c r="C19" s="1055" t="s">
        <v>97</v>
      </c>
      <c r="D19" s="1055"/>
      <c r="E19" s="1055"/>
      <c r="F19" s="574"/>
      <c r="G19" s="105"/>
      <c r="H19" s="590"/>
      <c r="I19" s="594"/>
      <c r="J19" s="119"/>
      <c r="K19" s="590"/>
      <c r="L19" s="594"/>
      <c r="M19" s="119"/>
      <c r="N19" s="590"/>
      <c r="O19" s="594"/>
      <c r="Q19" s="590"/>
      <c r="R19" s="594"/>
      <c r="S19" s="119"/>
      <c r="T19" s="590"/>
      <c r="U19" s="594"/>
    </row>
    <row r="20" spans="2:21" ht="20.100000000000001" customHeight="1">
      <c r="B20" s="1088"/>
      <c r="C20" s="1055" t="s">
        <v>98</v>
      </c>
      <c r="D20" s="1055"/>
      <c r="E20" s="1055"/>
      <c r="F20" s="574"/>
      <c r="G20" s="105"/>
      <c r="H20" s="590"/>
      <c r="I20" s="594"/>
      <c r="J20" s="119"/>
      <c r="K20" s="590"/>
      <c r="L20" s="594"/>
      <c r="M20" s="119"/>
      <c r="N20" s="590"/>
      <c r="O20" s="594"/>
      <c r="Q20" s="590"/>
      <c r="R20" s="594"/>
      <c r="S20" s="119"/>
      <c r="T20" s="590"/>
      <c r="U20" s="594"/>
    </row>
    <row r="21" spans="2:21" ht="20.100000000000001" customHeight="1">
      <c r="B21" s="1089"/>
      <c r="C21" s="1053"/>
      <c r="D21" s="1053"/>
      <c r="E21" s="1053"/>
      <c r="F21" s="575"/>
      <c r="G21" s="105"/>
      <c r="H21" s="591"/>
      <c r="I21" s="598"/>
      <c r="J21" s="119"/>
      <c r="K21" s="591"/>
      <c r="L21" s="598"/>
      <c r="M21" s="119"/>
      <c r="N21" s="591"/>
      <c r="O21" s="598"/>
      <c r="Q21" s="591"/>
      <c r="R21" s="598"/>
      <c r="S21" s="119"/>
      <c r="T21" s="591"/>
      <c r="U21" s="598"/>
    </row>
    <row r="22" spans="2:21" s="111" customFormat="1" ht="21" customHeight="1">
      <c r="B22" s="112"/>
      <c r="C22" s="113"/>
      <c r="D22" s="113"/>
      <c r="E22" s="114"/>
      <c r="F22" s="114"/>
      <c r="G22" s="113"/>
      <c r="H22" s="112"/>
      <c r="I22" s="112"/>
      <c r="J22" s="113"/>
      <c r="K22" s="114"/>
      <c r="L22" s="112"/>
      <c r="M22" s="115"/>
      <c r="N22" s="116"/>
      <c r="O22" s="112"/>
      <c r="Q22" s="114"/>
      <c r="R22" s="112"/>
      <c r="S22" s="115"/>
      <c r="T22" s="116"/>
      <c r="U22" s="112"/>
    </row>
    <row r="23" spans="2:21" ht="21" customHeight="1">
      <c r="C23" s="121"/>
      <c r="D23" s="121"/>
      <c r="F23" s="122" t="s">
        <v>0</v>
      </c>
      <c r="G23" s="108"/>
      <c r="H23" s="592">
        <f>SUM(H15:H21)</f>
        <v>0</v>
      </c>
      <c r="I23" s="596">
        <f>SUM(I15:I21)</f>
        <v>0</v>
      </c>
      <c r="J23" s="120"/>
      <c r="K23" s="592">
        <f>SUM(K15:K21)</f>
        <v>0</v>
      </c>
      <c r="L23" s="596">
        <f>SUM(L15:L21)</f>
        <v>0</v>
      </c>
      <c r="M23" s="120"/>
      <c r="N23" s="592">
        <f>SUM(N15:N21)</f>
        <v>0</v>
      </c>
      <c r="O23" s="596">
        <f>SUM(O15:O21)</f>
        <v>0</v>
      </c>
      <c r="Q23" s="592">
        <f>SUM(Q15:Q21)</f>
        <v>0</v>
      </c>
      <c r="R23" s="596">
        <f>SUM(R15:R21)</f>
        <v>0</v>
      </c>
      <c r="S23" s="120"/>
      <c r="T23" s="592">
        <f>SUM(T15:T21)</f>
        <v>0</v>
      </c>
      <c r="U23" s="596">
        <f>SUM(U15:U21)</f>
        <v>0</v>
      </c>
    </row>
    <row r="24" spans="2:21" ht="21" customHeight="1">
      <c r="B24" s="1045" t="s">
        <v>111</v>
      </c>
      <c r="C24" s="1046"/>
      <c r="D24" s="104"/>
      <c r="E24" s="104"/>
      <c r="F24" s="104"/>
      <c r="G24" s="104"/>
      <c r="H24" s="287">
        <f>SUMIF(F15:F21,"oui",H15:H21)</f>
        <v>0</v>
      </c>
      <c r="I24" s="579"/>
      <c r="J24" s="580"/>
      <c r="K24" s="580"/>
      <c r="L24" s="580"/>
      <c r="M24" s="581"/>
      <c r="N24" s="581"/>
      <c r="O24" s="581"/>
      <c r="Q24" s="580"/>
      <c r="R24" s="580"/>
      <c r="S24" s="581"/>
      <c r="T24" s="581"/>
      <c r="U24" s="581"/>
    </row>
    <row r="25" spans="2:21" ht="20.100000000000001" customHeight="1">
      <c r="B25" s="1083" t="s">
        <v>115</v>
      </c>
      <c r="C25" s="123" t="s">
        <v>88</v>
      </c>
      <c r="D25" s="124" t="s">
        <v>114</v>
      </c>
      <c r="E25" s="125"/>
      <c r="F25" s="573"/>
      <c r="G25" s="107"/>
      <c r="H25" s="589"/>
      <c r="I25" s="593"/>
      <c r="J25" s="119"/>
      <c r="K25" s="589"/>
      <c r="L25" s="593"/>
      <c r="M25" s="119"/>
      <c r="N25" s="589"/>
      <c r="O25" s="593"/>
      <c r="Q25" s="589"/>
      <c r="R25" s="593"/>
      <c r="S25" s="119"/>
      <c r="T25" s="589"/>
      <c r="U25" s="593"/>
    </row>
    <row r="26" spans="2:21" ht="20.100000000000001" customHeight="1">
      <c r="B26" s="1084"/>
      <c r="C26" s="126" t="s">
        <v>89</v>
      </c>
      <c r="D26" s="127" t="s">
        <v>114</v>
      </c>
      <c r="E26" s="128"/>
      <c r="F26" s="575"/>
      <c r="G26" s="105"/>
      <c r="H26" s="597"/>
      <c r="I26" s="598"/>
      <c r="J26" s="119"/>
      <c r="K26" s="597"/>
      <c r="L26" s="598"/>
      <c r="M26" s="119"/>
      <c r="N26" s="597"/>
      <c r="O26" s="598"/>
      <c r="Q26" s="597"/>
      <c r="R26" s="598"/>
      <c r="S26" s="119"/>
      <c r="T26" s="597"/>
      <c r="U26" s="598"/>
    </row>
    <row r="27" spans="2:21" s="111" customFormat="1" ht="3" customHeight="1">
      <c r="B27" s="112"/>
      <c r="C27" s="113"/>
      <c r="D27" s="113"/>
      <c r="E27" s="114"/>
      <c r="F27" s="114"/>
      <c r="G27" s="113"/>
      <c r="H27" s="112"/>
      <c r="I27" s="131"/>
      <c r="J27" s="113"/>
      <c r="K27" s="114"/>
      <c r="L27" s="131"/>
      <c r="M27" s="115"/>
      <c r="N27" s="116"/>
      <c r="O27" s="131"/>
      <c r="Q27" s="114"/>
      <c r="R27" s="131"/>
      <c r="S27" s="115"/>
      <c r="T27" s="116"/>
      <c r="U27" s="131"/>
    </row>
    <row r="28" spans="2:21" ht="21.9" customHeight="1">
      <c r="C28" s="121"/>
      <c r="D28" s="121"/>
      <c r="F28" s="122" t="s">
        <v>0</v>
      </c>
      <c r="G28" s="108"/>
      <c r="H28" s="592">
        <f>SUM(H24:H26)</f>
        <v>0</v>
      </c>
      <c r="I28" s="596">
        <f>SUM(I24:I26)</f>
        <v>0</v>
      </c>
      <c r="J28" s="120"/>
      <c r="K28" s="592">
        <f>SUM(K24:K26)</f>
        <v>0</v>
      </c>
      <c r="L28" s="596">
        <f>SUM(L24:L26)</f>
        <v>0</v>
      </c>
      <c r="M28" s="120"/>
      <c r="N28" s="592">
        <f>SUM(N24:N26)</f>
        <v>0</v>
      </c>
      <c r="O28" s="596">
        <f>SUM(O24:O26)</f>
        <v>0</v>
      </c>
      <c r="Q28" s="592">
        <f>SUM(Q24:Q26)</f>
        <v>0</v>
      </c>
      <c r="R28" s="596">
        <f>SUM(R24:R26)</f>
        <v>0</v>
      </c>
      <c r="S28" s="120"/>
      <c r="T28" s="592">
        <f>SUM(T24:T26)</f>
        <v>0</v>
      </c>
      <c r="U28" s="596">
        <f>SUM(U24:U26)</f>
        <v>0</v>
      </c>
    </row>
    <row r="29" spans="2:21" ht="9.9" customHeight="1">
      <c r="H29" s="287">
        <f>SUMIF(F25:F26,"oui",H25:H26)</f>
        <v>0</v>
      </c>
    </row>
    <row r="30" spans="2:21" ht="20.100000000000001" customHeight="1">
      <c r="B30" s="1041" t="s">
        <v>90</v>
      </c>
      <c r="C30" s="1054"/>
      <c r="D30" s="1054"/>
      <c r="E30" s="1054"/>
      <c r="F30" s="576"/>
      <c r="G30" s="107"/>
      <c r="H30" s="589"/>
      <c r="I30" s="593"/>
      <c r="J30" s="119"/>
      <c r="K30" s="589"/>
      <c r="L30" s="593"/>
      <c r="M30" s="119"/>
      <c r="N30" s="589"/>
      <c r="O30" s="593"/>
      <c r="Q30" s="589"/>
      <c r="R30" s="593"/>
      <c r="S30" s="119"/>
      <c r="T30" s="589"/>
      <c r="U30" s="593"/>
    </row>
    <row r="31" spans="2:21" ht="20.100000000000001" customHeight="1">
      <c r="B31" s="1096"/>
      <c r="C31" s="1051"/>
      <c r="D31" s="1051"/>
      <c r="E31" s="1051"/>
      <c r="F31" s="577"/>
      <c r="G31" s="107"/>
      <c r="H31" s="590"/>
      <c r="I31" s="594"/>
      <c r="J31" s="119"/>
      <c r="K31" s="590"/>
      <c r="L31" s="594"/>
      <c r="M31" s="119"/>
      <c r="N31" s="590"/>
      <c r="O31" s="594"/>
      <c r="Q31" s="590"/>
      <c r="R31" s="594"/>
      <c r="S31" s="119"/>
      <c r="T31" s="590"/>
      <c r="U31" s="594"/>
    </row>
    <row r="32" spans="2:21" ht="20.100000000000001" customHeight="1">
      <c r="B32" s="1042"/>
      <c r="C32" s="1051"/>
      <c r="D32" s="1051"/>
      <c r="E32" s="1051"/>
      <c r="F32" s="577"/>
      <c r="G32" s="105"/>
      <c r="H32" s="590"/>
      <c r="I32" s="594"/>
      <c r="J32" s="119"/>
      <c r="K32" s="590"/>
      <c r="L32" s="594"/>
      <c r="M32" s="119"/>
      <c r="N32" s="590"/>
      <c r="O32" s="594"/>
      <c r="Q32" s="590"/>
      <c r="R32" s="594"/>
      <c r="S32" s="119"/>
      <c r="T32" s="590"/>
      <c r="U32" s="594"/>
    </row>
    <row r="33" spans="2:21" ht="20.100000000000001" customHeight="1">
      <c r="B33" s="1044"/>
      <c r="C33" s="1053"/>
      <c r="D33" s="1053"/>
      <c r="E33" s="1053"/>
      <c r="F33" s="578"/>
      <c r="G33" s="105"/>
      <c r="H33" s="591"/>
      <c r="I33" s="595"/>
      <c r="J33" s="119"/>
      <c r="K33" s="591"/>
      <c r="L33" s="595"/>
      <c r="M33" s="119"/>
      <c r="N33" s="591"/>
      <c r="O33" s="595"/>
      <c r="Q33" s="591"/>
      <c r="R33" s="595"/>
      <c r="S33" s="119"/>
      <c r="T33" s="591"/>
      <c r="U33" s="595"/>
    </row>
    <row r="34" spans="2:21" s="111" customFormat="1" ht="3" customHeight="1">
      <c r="B34" s="112"/>
      <c r="C34" s="113"/>
      <c r="D34" s="113"/>
      <c r="E34" s="114"/>
      <c r="F34" s="114"/>
      <c r="G34" s="113"/>
      <c r="H34" s="112"/>
      <c r="I34" s="112"/>
      <c r="J34" s="113"/>
      <c r="K34" s="114"/>
      <c r="L34" s="112"/>
      <c r="M34" s="115"/>
      <c r="N34" s="116"/>
      <c r="O34" s="112"/>
      <c r="Q34" s="114"/>
      <c r="R34" s="112"/>
      <c r="S34" s="115"/>
      <c r="T34" s="116"/>
      <c r="U34" s="112"/>
    </row>
    <row r="35" spans="2:21" ht="21.9" customHeight="1">
      <c r="C35" s="121"/>
      <c r="D35" s="121"/>
      <c r="F35" s="122" t="s">
        <v>0</v>
      </c>
      <c r="G35" s="108"/>
      <c r="H35" s="592">
        <f>SUM(H30:H33)</f>
        <v>0</v>
      </c>
      <c r="I35" s="596">
        <f>SUM(I30:I33)</f>
        <v>0</v>
      </c>
      <c r="J35" s="120"/>
      <c r="K35" s="592">
        <f>SUM(K30:K33)</f>
        <v>0</v>
      </c>
      <c r="L35" s="596">
        <f>SUM(L30:L33)</f>
        <v>0</v>
      </c>
      <c r="M35" s="120"/>
      <c r="N35" s="592">
        <f>SUM(N30:N33)</f>
        <v>0</v>
      </c>
      <c r="O35" s="596">
        <f>SUM(O30:O33)</f>
        <v>0</v>
      </c>
      <c r="Q35" s="592">
        <f>SUM(Q30:Q33)</f>
        <v>0</v>
      </c>
      <c r="R35" s="596">
        <f>SUM(R30:R33)</f>
        <v>0</v>
      </c>
      <c r="S35" s="120"/>
      <c r="T35" s="592">
        <f>SUM(T30:T33)</f>
        <v>0</v>
      </c>
      <c r="U35" s="596">
        <f>SUM(U30:U33)</f>
        <v>0</v>
      </c>
    </row>
    <row r="36" spans="2:21" ht="9.9" customHeight="1">
      <c r="H36" s="287">
        <f>SUMIF(F30:F33,"oui",H30:H33)</f>
        <v>0</v>
      </c>
    </row>
    <row r="37" spans="2:21" ht="20.100000000000001" customHeight="1">
      <c r="B37" s="1097" t="s">
        <v>107</v>
      </c>
      <c r="C37" s="1101"/>
      <c r="D37" s="1101"/>
      <c r="E37" s="1101"/>
      <c r="F37" s="573"/>
      <c r="G37" s="107"/>
      <c r="H37" s="589"/>
      <c r="I37" s="593"/>
      <c r="J37" s="119"/>
      <c r="K37" s="589"/>
      <c r="L37" s="593"/>
      <c r="M37" s="119"/>
      <c r="N37" s="589"/>
      <c r="O37" s="593"/>
      <c r="Q37" s="589"/>
      <c r="R37" s="593"/>
      <c r="S37" s="119"/>
      <c r="T37" s="589"/>
      <c r="U37" s="593"/>
    </row>
    <row r="38" spans="2:21" ht="20.100000000000001" customHeight="1">
      <c r="B38" s="1098"/>
      <c r="C38" s="1051"/>
      <c r="D38" s="1051"/>
      <c r="E38" s="1051"/>
      <c r="F38" s="574"/>
      <c r="G38" s="105"/>
      <c r="H38" s="590"/>
      <c r="I38" s="594"/>
      <c r="J38" s="119"/>
      <c r="K38" s="590"/>
      <c r="L38" s="594"/>
      <c r="M38" s="119"/>
      <c r="N38" s="590"/>
      <c r="O38" s="594"/>
      <c r="Q38" s="590"/>
      <c r="R38" s="594"/>
      <c r="S38" s="119"/>
      <c r="T38" s="590"/>
      <c r="U38" s="594"/>
    </row>
    <row r="39" spans="2:21" ht="20.100000000000001" customHeight="1">
      <c r="B39" s="1099"/>
      <c r="C39" s="1051"/>
      <c r="D39" s="1051"/>
      <c r="E39" s="1051"/>
      <c r="F39" s="574"/>
      <c r="G39" s="105"/>
      <c r="H39" s="590"/>
      <c r="I39" s="594"/>
      <c r="J39" s="119"/>
      <c r="K39" s="590"/>
      <c r="L39" s="594"/>
      <c r="M39" s="119"/>
      <c r="N39" s="590"/>
      <c r="O39" s="594"/>
      <c r="Q39" s="590"/>
      <c r="R39" s="594"/>
      <c r="S39" s="119"/>
      <c r="T39" s="590"/>
      <c r="U39" s="594"/>
    </row>
    <row r="40" spans="2:21" ht="20.100000000000001" customHeight="1">
      <c r="B40" s="1100"/>
      <c r="C40" s="1077"/>
      <c r="D40" s="1077"/>
      <c r="E40" s="1077"/>
      <c r="F40" s="575"/>
      <c r="G40" s="105"/>
      <c r="H40" s="591"/>
      <c r="I40" s="595"/>
      <c r="J40" s="119"/>
      <c r="K40" s="591"/>
      <c r="L40" s="595"/>
      <c r="M40" s="119"/>
      <c r="N40" s="591"/>
      <c r="O40" s="595"/>
      <c r="Q40" s="591"/>
      <c r="R40" s="595"/>
      <c r="S40" s="119"/>
      <c r="T40" s="591"/>
      <c r="U40" s="595"/>
    </row>
    <row r="41" spans="2:21" s="111" customFormat="1" ht="3" customHeight="1">
      <c r="B41" s="112"/>
      <c r="C41" s="113"/>
      <c r="D41" s="113"/>
      <c r="E41" s="114"/>
      <c r="F41" s="114"/>
      <c r="G41" s="113"/>
      <c r="H41" s="112"/>
      <c r="I41" s="112"/>
      <c r="J41" s="113"/>
      <c r="K41" s="114"/>
      <c r="L41" s="112"/>
      <c r="M41" s="115"/>
      <c r="N41" s="116"/>
      <c r="O41" s="112"/>
      <c r="Q41" s="114"/>
      <c r="R41" s="112"/>
      <c r="S41" s="115"/>
      <c r="T41" s="116"/>
      <c r="U41" s="112"/>
    </row>
    <row r="42" spans="2:21" ht="21.9" customHeight="1">
      <c r="C42" s="121"/>
      <c r="D42" s="121"/>
      <c r="F42" s="122" t="s">
        <v>0</v>
      </c>
      <c r="G42" s="108"/>
      <c r="H42" s="592">
        <f>SUM(H37:H40)</f>
        <v>0</v>
      </c>
      <c r="I42" s="596">
        <f>SUM(I37:I40)</f>
        <v>0</v>
      </c>
      <c r="J42" s="120"/>
      <c r="K42" s="592">
        <f>SUM(K37:K40)</f>
        <v>0</v>
      </c>
      <c r="L42" s="596">
        <f>SUM(L37:L40)</f>
        <v>0</v>
      </c>
      <c r="M42" s="120"/>
      <c r="N42" s="592">
        <f>SUM(N37:N40)</f>
        <v>0</v>
      </c>
      <c r="O42" s="596">
        <f>SUM(O37:O40)</f>
        <v>0</v>
      </c>
      <c r="Q42" s="592">
        <f>SUM(Q37:Q40)</f>
        <v>0</v>
      </c>
      <c r="R42" s="596">
        <f>SUM(R37:R40)</f>
        <v>0</v>
      </c>
      <c r="S42" s="120"/>
      <c r="T42" s="592">
        <f>SUM(T37:T40)</f>
        <v>0</v>
      </c>
      <c r="U42" s="596">
        <f>SUM(U37:U40)</f>
        <v>0</v>
      </c>
    </row>
    <row r="43" spans="2:21" ht="9.9" customHeight="1">
      <c r="H43" s="287">
        <f>SUMIF(F37:F40,"oui",H37:H40)</f>
        <v>0</v>
      </c>
    </row>
    <row r="44" spans="2:21" ht="20.100000000000001" customHeight="1">
      <c r="B44" s="1041" t="s">
        <v>91</v>
      </c>
      <c r="C44" s="1054"/>
      <c r="D44" s="1054"/>
      <c r="E44" s="1054"/>
      <c r="F44" s="573"/>
      <c r="G44" s="107"/>
      <c r="H44" s="589"/>
      <c r="I44" s="593"/>
      <c r="J44" s="119"/>
      <c r="K44" s="589"/>
      <c r="L44" s="593"/>
      <c r="M44" s="119"/>
      <c r="N44" s="589"/>
      <c r="O44" s="593"/>
      <c r="Q44" s="589"/>
      <c r="R44" s="593"/>
      <c r="S44" s="119"/>
      <c r="T44" s="589"/>
      <c r="U44" s="593"/>
    </row>
    <row r="45" spans="2:21" ht="20.100000000000001" customHeight="1">
      <c r="B45" s="1042"/>
      <c r="C45" s="1051"/>
      <c r="D45" s="1051"/>
      <c r="E45" s="1051"/>
      <c r="F45" s="574"/>
      <c r="G45" s="105"/>
      <c r="H45" s="590"/>
      <c r="I45" s="594"/>
      <c r="J45" s="119"/>
      <c r="K45" s="590"/>
      <c r="L45" s="594"/>
      <c r="M45" s="119"/>
      <c r="N45" s="590"/>
      <c r="O45" s="594"/>
      <c r="Q45" s="590"/>
      <c r="R45" s="594"/>
      <c r="S45" s="119"/>
      <c r="T45" s="590"/>
      <c r="U45" s="594"/>
    </row>
    <row r="46" spans="2:21" ht="20.100000000000001" customHeight="1">
      <c r="B46" s="1043"/>
      <c r="C46" s="1051"/>
      <c r="D46" s="1051"/>
      <c r="E46" s="1051"/>
      <c r="F46" s="574"/>
      <c r="G46" s="105"/>
      <c r="H46" s="590"/>
      <c r="I46" s="594"/>
      <c r="J46" s="119"/>
      <c r="K46" s="590"/>
      <c r="L46" s="594"/>
      <c r="M46" s="119"/>
      <c r="N46" s="590"/>
      <c r="O46" s="594"/>
      <c r="Q46" s="590"/>
      <c r="R46" s="594"/>
      <c r="S46" s="119"/>
      <c r="T46" s="590"/>
      <c r="U46" s="594"/>
    </row>
    <row r="47" spans="2:21" ht="20.100000000000001" customHeight="1">
      <c r="B47" s="1044"/>
      <c r="C47" s="1053"/>
      <c r="D47" s="1053"/>
      <c r="E47" s="1053"/>
      <c r="F47" s="575"/>
      <c r="G47" s="105"/>
      <c r="H47" s="591"/>
      <c r="I47" s="595"/>
      <c r="J47" s="119"/>
      <c r="K47" s="591"/>
      <c r="L47" s="595"/>
      <c r="M47" s="119"/>
      <c r="N47" s="591"/>
      <c r="O47" s="595"/>
      <c r="Q47" s="591"/>
      <c r="R47" s="595"/>
      <c r="S47" s="119"/>
      <c r="T47" s="591"/>
      <c r="U47" s="595"/>
    </row>
    <row r="48" spans="2:21" s="111" customFormat="1" ht="3" customHeight="1">
      <c r="B48" s="112"/>
      <c r="C48" s="113"/>
      <c r="D48" s="113"/>
      <c r="E48" s="114"/>
      <c r="F48" s="114"/>
      <c r="G48" s="113"/>
      <c r="H48" s="112"/>
      <c r="I48" s="112"/>
      <c r="J48" s="113"/>
      <c r="K48" s="114"/>
      <c r="L48" s="112"/>
      <c r="M48" s="115"/>
      <c r="N48" s="116"/>
      <c r="O48" s="112"/>
      <c r="Q48" s="114"/>
      <c r="R48" s="112"/>
      <c r="S48" s="115"/>
      <c r="T48" s="116"/>
      <c r="U48" s="112"/>
    </row>
    <row r="49" spans="2:21" ht="21.9" customHeight="1">
      <c r="C49" s="121"/>
      <c r="D49" s="121"/>
      <c r="F49" s="122" t="s">
        <v>0</v>
      </c>
      <c r="G49" s="108"/>
      <c r="H49" s="592">
        <f>SUM(H44:H47)</f>
        <v>0</v>
      </c>
      <c r="I49" s="596">
        <f>SUM(I44:I47)</f>
        <v>0</v>
      </c>
      <c r="J49" s="120"/>
      <c r="K49" s="592">
        <f>SUM(K44:K47)</f>
        <v>0</v>
      </c>
      <c r="L49" s="596">
        <f>SUM(L44:L47)</f>
        <v>0</v>
      </c>
      <c r="M49" s="120"/>
      <c r="N49" s="592">
        <f>SUM(N44:N47)</f>
        <v>0</v>
      </c>
      <c r="O49" s="596">
        <f>SUM(O44:O47)</f>
        <v>0</v>
      </c>
      <c r="Q49" s="592">
        <f>SUM(Q44:Q47)</f>
        <v>0</v>
      </c>
      <c r="R49" s="596">
        <f>SUM(R44:R47)</f>
        <v>0</v>
      </c>
      <c r="S49" s="120"/>
      <c r="T49" s="592">
        <f>SUM(T44:T47)</f>
        <v>0</v>
      </c>
      <c r="U49" s="596">
        <f>SUM(U44:U47)</f>
        <v>0</v>
      </c>
    </row>
    <row r="50" spans="2:21" ht="9.9" customHeight="1">
      <c r="H50" s="287">
        <f>SUMIF(F44:F47,"oui",H44:H47)</f>
        <v>0</v>
      </c>
    </row>
    <row r="51" spans="2:21" ht="20.100000000000001" customHeight="1">
      <c r="B51" s="1041" t="s">
        <v>92</v>
      </c>
      <c r="C51" s="1054"/>
      <c r="D51" s="1054"/>
      <c r="E51" s="1054"/>
      <c r="F51" s="573"/>
      <c r="G51" s="107"/>
      <c r="H51" s="589"/>
      <c r="I51" s="593"/>
      <c r="J51" s="119"/>
      <c r="K51" s="589"/>
      <c r="L51" s="593"/>
      <c r="M51" s="119"/>
      <c r="N51" s="589"/>
      <c r="O51" s="593"/>
      <c r="Q51" s="589"/>
      <c r="R51" s="593"/>
      <c r="S51" s="119"/>
      <c r="T51" s="589"/>
      <c r="U51" s="593"/>
    </row>
    <row r="52" spans="2:21" ht="20.100000000000001" customHeight="1">
      <c r="B52" s="1042"/>
      <c r="C52" s="1051"/>
      <c r="D52" s="1051"/>
      <c r="E52" s="1051"/>
      <c r="F52" s="574"/>
      <c r="G52" s="105"/>
      <c r="H52" s="590"/>
      <c r="I52" s="594"/>
      <c r="J52" s="119"/>
      <c r="K52" s="590"/>
      <c r="L52" s="594"/>
      <c r="M52" s="119"/>
      <c r="N52" s="590"/>
      <c r="O52" s="594"/>
      <c r="Q52" s="590"/>
      <c r="R52" s="594"/>
      <c r="S52" s="119"/>
      <c r="T52" s="590"/>
      <c r="U52" s="594"/>
    </row>
    <row r="53" spans="2:21" ht="20.100000000000001" customHeight="1">
      <c r="B53" s="1043"/>
      <c r="C53" s="1051"/>
      <c r="D53" s="1051"/>
      <c r="E53" s="1051"/>
      <c r="F53" s="574"/>
      <c r="G53" s="105"/>
      <c r="H53" s="590"/>
      <c r="I53" s="594"/>
      <c r="J53" s="119"/>
      <c r="K53" s="590"/>
      <c r="L53" s="594"/>
      <c r="M53" s="119"/>
      <c r="N53" s="590"/>
      <c r="O53" s="594"/>
      <c r="Q53" s="590"/>
      <c r="R53" s="594"/>
      <c r="S53" s="119"/>
      <c r="T53" s="590"/>
      <c r="U53" s="594"/>
    </row>
    <row r="54" spans="2:21" ht="20.100000000000001" customHeight="1">
      <c r="B54" s="1044"/>
      <c r="C54" s="1053"/>
      <c r="D54" s="1053"/>
      <c r="E54" s="1053"/>
      <c r="F54" s="575"/>
      <c r="G54" s="105"/>
      <c r="H54" s="591"/>
      <c r="I54" s="595"/>
      <c r="J54" s="119"/>
      <c r="K54" s="591"/>
      <c r="L54" s="595"/>
      <c r="M54" s="119"/>
      <c r="N54" s="591"/>
      <c r="O54" s="595"/>
      <c r="Q54" s="591"/>
      <c r="R54" s="595"/>
      <c r="S54" s="119"/>
      <c r="T54" s="591"/>
      <c r="U54" s="595"/>
    </row>
    <row r="55" spans="2:21" s="111" customFormat="1" ht="3" customHeight="1">
      <c r="B55" s="112"/>
      <c r="C55" s="113"/>
      <c r="D55" s="113"/>
      <c r="E55" s="114"/>
      <c r="F55" s="114"/>
      <c r="G55" s="113"/>
      <c r="H55" s="112"/>
      <c r="I55" s="112"/>
      <c r="J55" s="113"/>
      <c r="K55" s="114"/>
      <c r="L55" s="112"/>
      <c r="M55" s="115"/>
      <c r="N55" s="116"/>
      <c r="O55" s="112"/>
      <c r="Q55" s="114"/>
      <c r="R55" s="112"/>
      <c r="S55" s="115"/>
      <c r="T55" s="116"/>
      <c r="U55" s="112"/>
    </row>
    <row r="56" spans="2:21" ht="21.9" customHeight="1">
      <c r="C56" s="121"/>
      <c r="D56" s="121"/>
      <c r="E56" s="122"/>
      <c r="F56" s="122" t="s">
        <v>0</v>
      </c>
      <c r="G56" s="108"/>
      <c r="H56" s="592">
        <f>SUM(H51:H54)</f>
        <v>0</v>
      </c>
      <c r="I56" s="596">
        <f>SUM(I51:I54)</f>
        <v>0</v>
      </c>
      <c r="J56" s="120"/>
      <c r="K56" s="592">
        <f>SUM(K51:K54)</f>
        <v>0</v>
      </c>
      <c r="L56" s="596">
        <f>SUM(L51:L54)</f>
        <v>0</v>
      </c>
      <c r="M56" s="120"/>
      <c r="N56" s="592">
        <f>SUM(N51:N54)</f>
        <v>0</v>
      </c>
      <c r="O56" s="596">
        <f>SUM(O51:O54)</f>
        <v>0</v>
      </c>
      <c r="Q56" s="592">
        <f>SUM(Q51:Q54)</f>
        <v>0</v>
      </c>
      <c r="R56" s="596">
        <f>SUM(R51:R54)</f>
        <v>0</v>
      </c>
      <c r="S56" s="120"/>
      <c r="T56" s="592">
        <f>SUM(T51:T54)</f>
        <v>0</v>
      </c>
      <c r="U56" s="596">
        <f>SUM(U51:U54)</f>
        <v>0</v>
      </c>
    </row>
    <row r="57" spans="2:21" ht="9.9" customHeight="1">
      <c r="H57" s="287">
        <f>SUMIF(F51:F54,"oui",H51:H54)</f>
        <v>0</v>
      </c>
    </row>
    <row r="58" spans="2:21" ht="20.100000000000001" customHeight="1">
      <c r="B58" s="1041" t="s">
        <v>138</v>
      </c>
      <c r="C58" s="1054"/>
      <c r="D58" s="1054"/>
      <c r="E58" s="1054"/>
      <c r="F58" s="573"/>
      <c r="G58" s="107"/>
      <c r="H58" s="589"/>
      <c r="I58" s="593"/>
      <c r="J58" s="119"/>
      <c r="K58" s="589"/>
      <c r="L58" s="593"/>
      <c r="M58" s="119"/>
      <c r="N58" s="589"/>
      <c r="O58" s="593"/>
      <c r="Q58" s="589"/>
      <c r="R58" s="593"/>
      <c r="S58" s="119"/>
      <c r="T58" s="589"/>
      <c r="U58" s="593"/>
    </row>
    <row r="59" spans="2:21" ht="20.100000000000001" customHeight="1">
      <c r="B59" s="1042"/>
      <c r="C59" s="1050"/>
      <c r="D59" s="1051"/>
      <c r="E59" s="1051"/>
      <c r="F59" s="574"/>
      <c r="G59" s="107"/>
      <c r="H59" s="590"/>
      <c r="I59" s="594"/>
      <c r="J59" s="119"/>
      <c r="K59" s="590"/>
      <c r="L59" s="594"/>
      <c r="M59" s="119"/>
      <c r="N59" s="590"/>
      <c r="O59" s="594"/>
      <c r="Q59" s="590"/>
      <c r="R59" s="594"/>
      <c r="S59" s="119"/>
      <c r="T59" s="590"/>
      <c r="U59" s="594"/>
    </row>
    <row r="60" spans="2:21" ht="20.100000000000001" customHeight="1">
      <c r="B60" s="1043"/>
      <c r="C60" s="1050"/>
      <c r="D60" s="1051"/>
      <c r="E60" s="1051"/>
      <c r="F60" s="574"/>
      <c r="G60" s="107"/>
      <c r="H60" s="590"/>
      <c r="I60" s="594"/>
      <c r="J60" s="119"/>
      <c r="K60" s="590"/>
      <c r="L60" s="594"/>
      <c r="M60" s="119"/>
      <c r="N60" s="590"/>
      <c r="O60" s="594"/>
      <c r="Q60" s="590"/>
      <c r="R60" s="594"/>
      <c r="S60" s="119"/>
      <c r="T60" s="590"/>
      <c r="U60" s="594"/>
    </row>
    <row r="61" spans="2:21" ht="20.100000000000001" customHeight="1">
      <c r="B61" s="1044"/>
      <c r="C61" s="1053"/>
      <c r="D61" s="1053"/>
      <c r="E61" s="1053"/>
      <c r="F61" s="575"/>
      <c r="G61" s="105"/>
      <c r="H61" s="591"/>
      <c r="I61" s="595"/>
      <c r="J61" s="119"/>
      <c r="K61" s="591"/>
      <c r="L61" s="595"/>
      <c r="M61" s="119"/>
      <c r="N61" s="591"/>
      <c r="O61" s="595"/>
      <c r="Q61" s="591"/>
      <c r="R61" s="595"/>
      <c r="S61" s="119"/>
      <c r="T61" s="591"/>
      <c r="U61" s="595"/>
    </row>
    <row r="62" spans="2:21" s="111" customFormat="1" ht="3" customHeight="1">
      <c r="B62" s="112"/>
      <c r="C62" s="113"/>
      <c r="D62" s="113"/>
      <c r="E62" s="114"/>
      <c r="F62" s="114"/>
      <c r="G62" s="113"/>
      <c r="H62" s="112"/>
      <c r="I62" s="112"/>
      <c r="J62" s="113"/>
      <c r="K62" s="114"/>
      <c r="L62" s="112"/>
      <c r="M62" s="115"/>
      <c r="N62" s="116"/>
      <c r="O62" s="112"/>
      <c r="Q62" s="114"/>
      <c r="R62" s="112"/>
      <c r="S62" s="115"/>
      <c r="T62" s="116"/>
      <c r="U62" s="112"/>
    </row>
    <row r="63" spans="2:21" ht="21.9" customHeight="1">
      <c r="C63" s="121"/>
      <c r="D63" s="121"/>
      <c r="E63" s="122"/>
      <c r="F63" s="122" t="s">
        <v>0</v>
      </c>
      <c r="G63" s="108"/>
      <c r="H63" s="592">
        <f>SUM(H58:H61)</f>
        <v>0</v>
      </c>
      <c r="I63" s="596">
        <f>SUM(I58:I61)</f>
        <v>0</v>
      </c>
      <c r="J63" s="120"/>
      <c r="K63" s="592">
        <f>SUM(K58:K61)</f>
        <v>0</v>
      </c>
      <c r="L63" s="596">
        <f>SUM(L58:L61)</f>
        <v>0</v>
      </c>
      <c r="M63" s="120"/>
      <c r="N63" s="592">
        <f>SUM(N58:N61)</f>
        <v>0</v>
      </c>
      <c r="O63" s="596">
        <f>SUM(O58:O61)</f>
        <v>0</v>
      </c>
      <c r="Q63" s="592">
        <f>SUM(Q58:Q61)</f>
        <v>0</v>
      </c>
      <c r="R63" s="596">
        <f>SUM(R58:R61)</f>
        <v>0</v>
      </c>
      <c r="S63" s="120"/>
      <c r="T63" s="592">
        <f>SUM(T58:T61)</f>
        <v>0</v>
      </c>
      <c r="U63" s="596">
        <f>SUM(U58:U61)</f>
        <v>0</v>
      </c>
    </row>
    <row r="64" spans="2:21" ht="24.9" customHeight="1">
      <c r="B64" s="1045" t="s">
        <v>119</v>
      </c>
      <c r="C64" s="1046"/>
      <c r="D64" s="104"/>
      <c r="E64" s="104"/>
      <c r="F64" s="104"/>
      <c r="G64" s="104"/>
      <c r="H64" s="287">
        <f>SUMIF(F58:F61,"oui",H58:H61)</f>
        <v>0</v>
      </c>
      <c r="I64" s="104"/>
      <c r="J64" s="103"/>
      <c r="K64" s="103"/>
      <c r="L64" s="103"/>
      <c r="Q64" s="103"/>
      <c r="R64" s="103"/>
    </row>
    <row r="65" spans="2:21" ht="20.100000000000001" customHeight="1">
      <c r="B65" s="1072" t="s">
        <v>99</v>
      </c>
      <c r="C65" s="1066" t="s">
        <v>100</v>
      </c>
      <c r="D65" s="1067"/>
      <c r="E65" s="1067"/>
      <c r="F65" s="573"/>
      <c r="G65" s="106"/>
      <c r="H65" s="589"/>
      <c r="I65" s="593"/>
      <c r="J65" s="119"/>
      <c r="K65" s="589"/>
      <c r="L65" s="593"/>
      <c r="M65" s="119"/>
      <c r="N65" s="589"/>
      <c r="O65" s="593"/>
      <c r="Q65" s="589"/>
      <c r="R65" s="593"/>
      <c r="S65" s="119"/>
      <c r="T65" s="589"/>
      <c r="U65" s="593"/>
    </row>
    <row r="66" spans="2:21" ht="20.100000000000001" customHeight="1">
      <c r="B66" s="1073"/>
      <c r="C66" s="1068" t="s">
        <v>101</v>
      </c>
      <c r="D66" s="957"/>
      <c r="E66" s="1069"/>
      <c r="F66" s="574"/>
      <c r="G66" s="106"/>
      <c r="H66" s="590"/>
      <c r="I66" s="594"/>
      <c r="J66" s="119"/>
      <c r="K66" s="590"/>
      <c r="L66" s="594"/>
      <c r="M66" s="119"/>
      <c r="N66" s="590"/>
      <c r="O66" s="594"/>
      <c r="Q66" s="590"/>
      <c r="R66" s="594"/>
      <c r="S66" s="119"/>
      <c r="T66" s="590"/>
      <c r="U66" s="594"/>
    </row>
    <row r="67" spans="2:21" ht="20.100000000000001" customHeight="1">
      <c r="B67" s="1073"/>
      <c r="C67" s="1068"/>
      <c r="D67" s="957"/>
      <c r="E67" s="1069"/>
      <c r="F67" s="574"/>
      <c r="G67" s="106"/>
      <c r="H67" s="590"/>
      <c r="I67" s="594"/>
      <c r="J67" s="119"/>
      <c r="K67" s="590"/>
      <c r="L67" s="594"/>
      <c r="M67" s="119"/>
      <c r="N67" s="590"/>
      <c r="O67" s="594"/>
      <c r="Q67" s="590"/>
      <c r="R67" s="594"/>
      <c r="S67" s="119"/>
      <c r="T67" s="590"/>
      <c r="U67" s="594"/>
    </row>
    <row r="68" spans="2:21" ht="20.100000000000001" customHeight="1">
      <c r="B68" s="1074"/>
      <c r="C68" s="1070"/>
      <c r="D68" s="1071"/>
      <c r="E68" s="1071"/>
      <c r="F68" s="575"/>
      <c r="G68" s="106"/>
      <c r="H68" s="591"/>
      <c r="I68" s="595"/>
      <c r="J68" s="119"/>
      <c r="K68" s="591"/>
      <c r="L68" s="595"/>
      <c r="M68" s="119"/>
      <c r="N68" s="591"/>
      <c r="O68" s="595"/>
      <c r="Q68" s="591"/>
      <c r="R68" s="595"/>
      <c r="S68" s="119"/>
      <c r="T68" s="591"/>
      <c r="U68" s="595"/>
    </row>
    <row r="69" spans="2:21" s="111" customFormat="1" ht="3" customHeight="1">
      <c r="B69" s="112"/>
      <c r="C69" s="113"/>
      <c r="D69" s="113"/>
      <c r="E69" s="114"/>
      <c r="F69" s="114"/>
      <c r="G69" s="113"/>
      <c r="H69" s="112"/>
      <c r="I69" s="112"/>
      <c r="J69" s="113"/>
      <c r="K69" s="114"/>
      <c r="L69" s="112"/>
      <c r="M69" s="115"/>
      <c r="N69" s="116"/>
      <c r="O69" s="112"/>
      <c r="Q69" s="114"/>
      <c r="R69" s="112"/>
      <c r="S69" s="115"/>
      <c r="T69" s="116"/>
      <c r="U69" s="112"/>
    </row>
    <row r="70" spans="2:21" ht="21.9" customHeight="1">
      <c r="C70" s="121"/>
      <c r="D70" s="121"/>
      <c r="E70" s="122"/>
      <c r="F70" s="122" t="s">
        <v>0</v>
      </c>
      <c r="G70" s="108"/>
      <c r="H70" s="592">
        <f>SUM(H65:H68)</f>
        <v>0</v>
      </c>
      <c r="I70" s="596">
        <f>SUM(I65:I68)</f>
        <v>0</v>
      </c>
      <c r="J70" s="120"/>
      <c r="K70" s="592">
        <f>SUM(K65:K68)</f>
        <v>0</v>
      </c>
      <c r="L70" s="596">
        <f>SUM(L65:L68)</f>
        <v>0</v>
      </c>
      <c r="M70" s="120"/>
      <c r="N70" s="592">
        <f>SUM(N65:N68)</f>
        <v>0</v>
      </c>
      <c r="O70" s="596">
        <f>SUM(O65:O68)</f>
        <v>0</v>
      </c>
      <c r="Q70" s="592">
        <f>SUM(Q65:Q68)</f>
        <v>0</v>
      </c>
      <c r="R70" s="596">
        <f>SUM(R65:R68)</f>
        <v>0</v>
      </c>
      <c r="S70" s="120"/>
      <c r="T70" s="592">
        <f>SUM(T65:T68)</f>
        <v>0</v>
      </c>
      <c r="U70" s="596">
        <f>SUM(U65:U68)</f>
        <v>0</v>
      </c>
    </row>
    <row r="71" spans="2:21" ht="20.100000000000001" customHeight="1">
      <c r="C71" s="10"/>
      <c r="H71" s="287">
        <f>SUMIF(F65:F68,"oui",H65:H68)</f>
        <v>0</v>
      </c>
      <c r="N71" s="110"/>
      <c r="T71" s="110"/>
    </row>
    <row r="72" spans="2:21" ht="21.9" customHeight="1">
      <c r="B72" s="1038" t="s">
        <v>120</v>
      </c>
      <c r="C72" s="1039"/>
      <c r="D72" s="1039"/>
      <c r="E72" s="1039"/>
      <c r="F72" s="1040"/>
      <c r="H72" s="599" t="s">
        <v>123</v>
      </c>
      <c r="I72" s="603" t="s">
        <v>124</v>
      </c>
      <c r="J72" s="111"/>
      <c r="K72" s="599" t="s">
        <v>123</v>
      </c>
      <c r="L72" s="603" t="s">
        <v>124</v>
      </c>
      <c r="M72" s="111"/>
      <c r="N72" s="599" t="s">
        <v>123</v>
      </c>
      <c r="O72" s="603" t="s">
        <v>124</v>
      </c>
      <c r="Q72" s="599" t="s">
        <v>123</v>
      </c>
      <c r="R72" s="603" t="s">
        <v>124</v>
      </c>
      <c r="S72" s="111"/>
      <c r="T72" s="599" t="s">
        <v>123</v>
      </c>
      <c r="U72" s="603" t="s">
        <v>124</v>
      </c>
    </row>
    <row r="73" spans="2:21" ht="21.9" customHeight="1">
      <c r="B73" s="1063" t="s">
        <v>118</v>
      </c>
      <c r="C73" s="1064"/>
      <c r="D73" s="1064"/>
      <c r="E73" s="1064"/>
      <c r="F73" s="1065"/>
      <c r="H73" s="600">
        <f t="shared" ref="H73:I73" si="0">H13+H23</f>
        <v>0</v>
      </c>
      <c r="I73" s="604">
        <f t="shared" si="0"/>
        <v>0</v>
      </c>
      <c r="J73" s="129"/>
      <c r="K73" s="600">
        <f t="shared" ref="K73:L73" si="1">K13+K23</f>
        <v>0</v>
      </c>
      <c r="L73" s="604">
        <f t="shared" si="1"/>
        <v>0</v>
      </c>
      <c r="M73" s="129"/>
      <c r="N73" s="600">
        <f t="shared" ref="N73:O73" si="2">N13+N23</f>
        <v>0</v>
      </c>
      <c r="O73" s="604">
        <f t="shared" si="2"/>
        <v>0</v>
      </c>
      <c r="Q73" s="600">
        <f t="shared" ref="Q73:R73" si="3">Q13+Q23</f>
        <v>0</v>
      </c>
      <c r="R73" s="604">
        <f t="shared" si="3"/>
        <v>0</v>
      </c>
      <c r="S73" s="129"/>
      <c r="T73" s="600">
        <f t="shared" ref="T73:U73" si="4">T13+T23</f>
        <v>0</v>
      </c>
      <c r="U73" s="604">
        <f t="shared" si="4"/>
        <v>0</v>
      </c>
    </row>
    <row r="74" spans="2:21" ht="21.9" customHeight="1">
      <c r="B74" s="1057" t="s">
        <v>234</v>
      </c>
      <c r="C74" s="1058"/>
      <c r="D74" s="1058"/>
      <c r="E74" s="1058"/>
      <c r="F74" s="1059"/>
      <c r="H74" s="601">
        <f>H28+H35+H42+H49+H56+H63</f>
        <v>0</v>
      </c>
      <c r="I74" s="605">
        <f>I28+I35+I42+I49+I56+I63</f>
        <v>0</v>
      </c>
      <c r="J74" s="129"/>
      <c r="K74" s="601">
        <f>K28+K35+K42+K49+K56+K63</f>
        <v>0</v>
      </c>
      <c r="L74" s="605">
        <f>L28+L35+L42+L49+L56+L63</f>
        <v>0</v>
      </c>
      <c r="M74" s="129"/>
      <c r="N74" s="601">
        <f>N28+N35+N42+N49+N56+N63</f>
        <v>0</v>
      </c>
      <c r="O74" s="605">
        <f>O28+O35+O42+O49+O56+O63</f>
        <v>0</v>
      </c>
      <c r="Q74" s="601">
        <f>Q28+Q35+Q42+Q49+Q56+Q63</f>
        <v>0</v>
      </c>
      <c r="R74" s="605">
        <f>R28+R35+R42+R49+R56+R63</f>
        <v>0</v>
      </c>
      <c r="S74" s="129"/>
      <c r="T74" s="601">
        <f>T28+T35+T42+T49+T56+T63</f>
        <v>0</v>
      </c>
      <c r="U74" s="605">
        <f>U28+U35+U42+U49+U56+U63</f>
        <v>0</v>
      </c>
    </row>
    <row r="75" spans="2:21" ht="21.9" customHeight="1">
      <c r="B75" s="1060" t="s">
        <v>235</v>
      </c>
      <c r="C75" s="1061"/>
      <c r="D75" s="1061"/>
      <c r="E75" s="1061"/>
      <c r="F75" s="1062"/>
      <c r="H75" s="602">
        <f>H70</f>
        <v>0</v>
      </c>
      <c r="I75" s="606">
        <f>I70</f>
        <v>0</v>
      </c>
      <c r="J75" s="129"/>
      <c r="K75" s="602">
        <f t="shared" ref="K75:L75" si="5">K70</f>
        <v>0</v>
      </c>
      <c r="L75" s="606">
        <f t="shared" si="5"/>
        <v>0</v>
      </c>
      <c r="M75" s="129"/>
      <c r="N75" s="602">
        <f t="shared" ref="N75:O75" si="6">N70</f>
        <v>0</v>
      </c>
      <c r="O75" s="606">
        <f t="shared" si="6"/>
        <v>0</v>
      </c>
      <c r="Q75" s="602">
        <f t="shared" ref="Q75:R75" si="7">Q70</f>
        <v>0</v>
      </c>
      <c r="R75" s="606">
        <f t="shared" si="7"/>
        <v>0</v>
      </c>
      <c r="S75" s="129"/>
      <c r="T75" s="602">
        <f t="shared" ref="T75:U75" si="8">T70</f>
        <v>0</v>
      </c>
      <c r="U75" s="606">
        <f t="shared" si="8"/>
        <v>0</v>
      </c>
    </row>
    <row r="76" spans="2:21" ht="3" customHeight="1">
      <c r="C76" s="10"/>
      <c r="N76" s="110"/>
      <c r="T76" s="110"/>
    </row>
    <row r="77" spans="2:21" ht="21.9" customHeight="1">
      <c r="C77" s="121"/>
      <c r="D77" s="121"/>
      <c r="E77" s="122"/>
      <c r="F77" s="122" t="s">
        <v>0</v>
      </c>
      <c r="G77" s="108"/>
      <c r="H77" s="592">
        <f>SUM(H72:H75)</f>
        <v>0</v>
      </c>
      <c r="I77" s="596">
        <f>SUM(I72:I75)</f>
        <v>0</v>
      </c>
      <c r="J77" s="120"/>
      <c r="K77" s="592">
        <f>SUM(K72:K75)</f>
        <v>0</v>
      </c>
      <c r="L77" s="596">
        <f>SUM(L72:L75)</f>
        <v>0</v>
      </c>
      <c r="M77" s="120"/>
      <c r="N77" s="592">
        <f>SUM(N72:N75)</f>
        <v>0</v>
      </c>
      <c r="O77" s="596">
        <f>SUM(O72:O75)</f>
        <v>0</v>
      </c>
      <c r="Q77" s="592">
        <f>SUM(Q72:Q75)</f>
        <v>0</v>
      </c>
      <c r="R77" s="596">
        <f>SUM(R72:R75)</f>
        <v>0</v>
      </c>
      <c r="S77" s="120"/>
      <c r="T77" s="592">
        <f>SUM(T72:T75)</f>
        <v>0</v>
      </c>
      <c r="U77" s="596">
        <f>SUM(U72:U75)</f>
        <v>0</v>
      </c>
    </row>
    <row r="78" spans="2:21" ht="20.100000000000001" customHeight="1">
      <c r="C78" s="10"/>
      <c r="H78" s="582">
        <f>H24+H29+H36+H43+H50+H57+H64+H71</f>
        <v>0</v>
      </c>
      <c r="N78" s="110"/>
      <c r="T78" s="110"/>
    </row>
    <row r="79" spans="2:21" ht="20.100000000000001" customHeight="1">
      <c r="C79" s="10"/>
      <c r="N79" s="110"/>
      <c r="T79" s="110"/>
    </row>
    <row r="80" spans="2:21" ht="20.100000000000001" customHeight="1">
      <c r="C80" s="10"/>
      <c r="N80" s="110"/>
      <c r="T80" s="110"/>
    </row>
    <row r="81" spans="2:21" ht="20.100000000000001" customHeight="1">
      <c r="C81" s="10"/>
      <c r="N81" s="110"/>
      <c r="T81" s="110"/>
    </row>
    <row r="82" spans="2:21" ht="20.100000000000001" customHeight="1">
      <c r="C82" s="10"/>
      <c r="N82" s="110"/>
      <c r="T82" s="110"/>
    </row>
    <row r="83" spans="2:21" ht="15" customHeight="1">
      <c r="N83" s="110"/>
      <c r="T83" s="110"/>
    </row>
    <row r="84" spans="2:21" ht="15" customHeight="1">
      <c r="N84" s="110"/>
      <c r="T84" s="110"/>
    </row>
    <row r="85" spans="2:21" ht="15" customHeight="1">
      <c r="N85" s="110"/>
      <c r="T85" s="110"/>
    </row>
    <row r="86" spans="2:21" s="111" customFormat="1" ht="14.4">
      <c r="B86" s="112" t="s">
        <v>102</v>
      </c>
      <c r="C86" s="113" t="s">
        <v>103</v>
      </c>
      <c r="D86" s="113" t="s">
        <v>104</v>
      </c>
      <c r="E86" s="114" t="s">
        <v>105</v>
      </c>
      <c r="F86" s="114"/>
      <c r="G86" s="113"/>
      <c r="H86" s="112" t="s">
        <v>102</v>
      </c>
      <c r="I86" s="112"/>
      <c r="J86" s="113" t="s">
        <v>106</v>
      </c>
      <c r="K86" s="114" t="s">
        <v>105</v>
      </c>
      <c r="L86" s="114"/>
      <c r="M86" s="115"/>
      <c r="N86" s="116"/>
      <c r="Q86" s="114" t="s">
        <v>105</v>
      </c>
      <c r="R86" s="114"/>
      <c r="S86" s="115"/>
      <c r="T86" s="116"/>
    </row>
    <row r="92" spans="2:21">
      <c r="C92" s="10"/>
      <c r="O92" s="117"/>
      <c r="U92" s="117"/>
    </row>
  </sheetData>
  <sheetProtection algorithmName="SHA-512" hashValue="JkFaiNqnz9ymQRHc3RIYlIg6mYPaef7yYL4onCyPiMnWvGyVCbGUWnf3FRj5fbtByEqiAgawXUHc8+PD9iAjOQ==" saltValue="/6s4a8C6DiGKKyvOvseDEQ==" spinCount="100000" sheet="1" formatCells="0" formatColumns="0" formatRows="0" insertColumns="0" insertRows="0" insertHyperlinks="0" deleteColumns="0" deleteRows="0" sort="0" autoFilter="0" pivotTables="0"/>
  <mergeCells count="63">
    <mergeCell ref="B30:B33"/>
    <mergeCell ref="C30:E30"/>
    <mergeCell ref="C32:E32"/>
    <mergeCell ref="C33:E33"/>
    <mergeCell ref="C44:E44"/>
    <mergeCell ref="B44:B47"/>
    <mergeCell ref="B37:B40"/>
    <mergeCell ref="C38:E38"/>
    <mergeCell ref="C37:E37"/>
    <mergeCell ref="B2:C2"/>
    <mergeCell ref="C18:E18"/>
    <mergeCell ref="C40:E40"/>
    <mergeCell ref="C19:E19"/>
    <mergeCell ref="C20:E20"/>
    <mergeCell ref="C21:E21"/>
    <mergeCell ref="C39:E39"/>
    <mergeCell ref="C31:E31"/>
    <mergeCell ref="C4:E5"/>
    <mergeCell ref="B4:B5"/>
    <mergeCell ref="B25:B26"/>
    <mergeCell ref="B15:B21"/>
    <mergeCell ref="C15:E15"/>
    <mergeCell ref="C8:F8"/>
    <mergeCell ref="C9:F9"/>
    <mergeCell ref="C11:F11"/>
    <mergeCell ref="B74:F74"/>
    <mergeCell ref="B75:F75"/>
    <mergeCell ref="B51:B54"/>
    <mergeCell ref="C51:E51"/>
    <mergeCell ref="C52:E52"/>
    <mergeCell ref="C54:E54"/>
    <mergeCell ref="B73:F73"/>
    <mergeCell ref="B64:C64"/>
    <mergeCell ref="C65:E65"/>
    <mergeCell ref="C66:E66"/>
    <mergeCell ref="C67:E67"/>
    <mergeCell ref="C68:E68"/>
    <mergeCell ref="B65:B68"/>
    <mergeCell ref="C53:E53"/>
    <mergeCell ref="C61:E61"/>
    <mergeCell ref="C59:E59"/>
    <mergeCell ref="B72:F72"/>
    <mergeCell ref="B58:B61"/>
    <mergeCell ref="Q3:U3"/>
    <mergeCell ref="Q4:R4"/>
    <mergeCell ref="T4:U4"/>
    <mergeCell ref="B7:C7"/>
    <mergeCell ref="B24:C24"/>
    <mergeCell ref="B8:B11"/>
    <mergeCell ref="C10:F10"/>
    <mergeCell ref="C47:E47"/>
    <mergeCell ref="C46:E46"/>
    <mergeCell ref="C58:E58"/>
    <mergeCell ref="C45:E45"/>
    <mergeCell ref="C16:E16"/>
    <mergeCell ref="C17:E17"/>
    <mergeCell ref="C60:E60"/>
    <mergeCell ref="D2:U2"/>
    <mergeCell ref="K3:O3"/>
    <mergeCell ref="F4:F5"/>
    <mergeCell ref="K4:L4"/>
    <mergeCell ref="N4:O4"/>
    <mergeCell ref="H4:I4"/>
  </mergeCells>
  <conditionalFormatting sqref="F15:F21 F25:F26 F30:F33 F37:F40 F44:F47 F51:F54 F58:F61 F65:F68">
    <cfRule type="cellIs" dxfId="185" priority="1" operator="equal">
      <formula>"oui"</formula>
    </cfRule>
    <cfRule type="cellIs" dxfId="184" priority="2" operator="equal">
      <formula>0</formula>
    </cfRule>
  </conditionalFormatting>
  <dataValidations xWindow="454" yWindow="466" count="3">
    <dataValidation allowBlank="1" showInputMessage="1" showErrorMessage="1" prompt="N'oubliez pas de préciser s'il s'agit de biens neufs ou d'occasion en renseignant la précédente colonne _x000a_N pour neuf, O pour occasion_x000a__x000a_Si l'élément fait l'objet d'un apport en nature, inscrire A dans la case suivante_x000a_" sqref="D30:E33 D44:E47 D37:E40 D51:E54 D58:E60" xr:uid="{00000000-0002-0000-0200-000000000000}"/>
    <dataValidation type="list" allowBlank="1" showInputMessage="1" showErrorMessage="1" prompt="Si oui,_x000a_vérifiez si cet apport en nature ne nécessite pas l'intervention d'un commissaire aux apports" sqref="F25:F26 F44:F47 F37:F40 F30:F33 F51:F54 F58:F61 F15:F21 F65:F68" xr:uid="{00000000-0002-0000-0200-000001000000}">
      <formula1>"oui,non"</formula1>
    </dataValidation>
    <dataValidation allowBlank="1" showInputMessage="1" showErrorMessage="1" prompt="le nom de l'entreprise est à renseigner dans l'onglet Compte de résultat" sqref="B2:C2" xr:uid="{00000000-0002-0000-0200-000002000000}"/>
  </dataValidations>
  <pageMargins left="0" right="0" top="0" bottom="0" header="0" footer="0"/>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8"/>
  <sheetViews>
    <sheetView showGridLines="0" showRowColHeaders="0" workbookViewId="0">
      <selection activeCell="B2" sqref="B2:R2"/>
    </sheetView>
  </sheetViews>
  <sheetFormatPr baseColWidth="10" defaultColWidth="11.44140625" defaultRowHeight="13.8"/>
  <cols>
    <col min="1" max="1" width="1.6640625" style="653" customWidth="1"/>
    <col min="2" max="2" width="8.6640625" style="652" customWidth="1"/>
    <col min="3" max="6" width="11.6640625" style="653" customWidth="1"/>
    <col min="7" max="7" width="2.6640625" style="653" customWidth="1"/>
    <col min="8" max="8" width="8.6640625" style="653" customWidth="1"/>
    <col min="9" max="12" width="11.6640625" style="653" customWidth="1"/>
    <col min="13" max="13" width="2.6640625" style="653" customWidth="1"/>
    <col min="14" max="14" width="8.6640625" style="653" customWidth="1"/>
    <col min="15" max="18" width="11.6640625" style="653" customWidth="1"/>
    <col min="19" max="16384" width="11.44140625" style="653"/>
  </cols>
  <sheetData>
    <row r="1" spans="2:21" ht="6" customHeight="1"/>
    <row r="2" spans="2:21" s="655" customFormat="1" ht="21.9" customHeight="1">
      <c r="B2" s="1105" t="s">
        <v>256</v>
      </c>
      <c r="C2" s="1106"/>
      <c r="D2" s="1106"/>
      <c r="E2" s="1106"/>
      <c r="F2" s="1106"/>
      <c r="G2" s="1106"/>
      <c r="H2" s="1106"/>
      <c r="I2" s="1106"/>
      <c r="J2" s="1106"/>
      <c r="K2" s="1106"/>
      <c r="L2" s="1106"/>
      <c r="M2" s="1107"/>
      <c r="N2" s="1107"/>
      <c r="O2" s="1107"/>
      <c r="P2" s="1107"/>
      <c r="Q2" s="1107"/>
      <c r="R2" s="1108"/>
      <c r="S2" s="654"/>
      <c r="T2" s="654"/>
      <c r="U2" s="654"/>
    </row>
    <row r="3" spans="2:21" s="658" customFormat="1" ht="9" customHeight="1">
      <c r="B3" s="656"/>
      <c r="C3" s="656"/>
      <c r="D3" s="656"/>
      <c r="E3" s="656"/>
      <c r="F3" s="656"/>
      <c r="G3" s="656"/>
      <c r="H3" s="656"/>
      <c r="I3" s="656"/>
      <c r="J3" s="656"/>
      <c r="K3" s="656"/>
      <c r="L3" s="656"/>
      <c r="M3" s="657"/>
      <c r="N3" s="657"/>
      <c r="O3" s="657"/>
      <c r="P3" s="657"/>
      <c r="Q3" s="657"/>
      <c r="R3" s="657"/>
      <c r="S3" s="657"/>
      <c r="T3" s="657"/>
      <c r="U3" s="657"/>
    </row>
    <row r="4" spans="2:21" ht="19.95" customHeight="1">
      <c r="B4" s="1109" t="s">
        <v>257</v>
      </c>
      <c r="C4" s="1110"/>
      <c r="D4" s="1111"/>
      <c r="E4" s="1111"/>
      <c r="F4" s="1112"/>
      <c r="H4" s="1109" t="s">
        <v>258</v>
      </c>
      <c r="I4" s="1110"/>
      <c r="J4" s="1111"/>
      <c r="K4" s="1111"/>
      <c r="L4" s="1112"/>
      <c r="N4" s="1109" t="s">
        <v>259</v>
      </c>
      <c r="O4" s="1110"/>
      <c r="P4" s="1111"/>
      <c r="Q4" s="1111"/>
      <c r="R4" s="1112"/>
    </row>
    <row r="5" spans="2:21" ht="9" customHeight="1"/>
    <row r="6" spans="2:21" s="652" customFormat="1" ht="20.100000000000001" customHeight="1">
      <c r="B6" s="659" t="s">
        <v>260</v>
      </c>
      <c r="C6" s="660"/>
      <c r="D6" s="1102" t="s">
        <v>261</v>
      </c>
      <c r="E6" s="1103"/>
      <c r="F6" s="661"/>
      <c r="G6" s="662"/>
      <c r="H6" s="659" t="s">
        <v>260</v>
      </c>
      <c r="I6" s="660"/>
      <c r="J6" s="1102" t="s">
        <v>261</v>
      </c>
      <c r="K6" s="1103"/>
      <c r="L6" s="661"/>
      <c r="N6" s="659" t="s">
        <v>260</v>
      </c>
      <c r="O6" s="660"/>
      <c r="P6" s="1102" t="s">
        <v>261</v>
      </c>
      <c r="Q6" s="1103"/>
      <c r="R6" s="661"/>
    </row>
    <row r="7" spans="2:21" s="652" customFormat="1" ht="3" customHeight="1">
      <c r="B7" s="659"/>
      <c r="C7" s="663"/>
      <c r="E7" s="664"/>
      <c r="H7" s="659"/>
      <c r="I7" s="663"/>
      <c r="K7" s="664"/>
      <c r="N7" s="659"/>
      <c r="O7" s="663"/>
      <c r="Q7" s="664"/>
    </row>
    <row r="8" spans="2:21" s="652" customFormat="1" ht="20.399999999999999" customHeight="1">
      <c r="B8" s="659" t="s">
        <v>262</v>
      </c>
      <c r="C8" s="665"/>
      <c r="D8" s="1102" t="s">
        <v>263</v>
      </c>
      <c r="E8" s="1103"/>
      <c r="F8" s="666"/>
      <c r="H8" s="659" t="s">
        <v>262</v>
      </c>
      <c r="I8" s="665"/>
      <c r="J8" s="1102" t="s">
        <v>263</v>
      </c>
      <c r="K8" s="1103"/>
      <c r="L8" s="666"/>
      <c r="N8" s="659" t="s">
        <v>262</v>
      </c>
      <c r="O8" s="665"/>
      <c r="P8" s="1102" t="s">
        <v>263</v>
      </c>
      <c r="Q8" s="1103"/>
      <c r="R8" s="666"/>
    </row>
    <row r="9" spans="2:21" ht="6" customHeight="1">
      <c r="B9" s="1104"/>
      <c r="C9" s="1104"/>
      <c r="F9" s="667">
        <f>différé1/12</f>
        <v>0</v>
      </c>
      <c r="H9" s="1104"/>
      <c r="I9" s="1104"/>
      <c r="L9" s="667">
        <f>différé2/12</f>
        <v>0</v>
      </c>
      <c r="N9" s="1104"/>
      <c r="O9" s="1104"/>
      <c r="R9" s="667">
        <f>différé3/12</f>
        <v>0</v>
      </c>
    </row>
    <row r="10" spans="2:21" ht="30" customHeight="1">
      <c r="B10" s="668" t="s">
        <v>264</v>
      </c>
      <c r="C10" s="669" t="s">
        <v>265</v>
      </c>
      <c r="D10" s="669" t="s">
        <v>266</v>
      </c>
      <c r="E10" s="670" t="s">
        <v>267</v>
      </c>
      <c r="F10" s="671" t="s">
        <v>268</v>
      </c>
      <c r="H10" s="668" t="s">
        <v>264</v>
      </c>
      <c r="I10" s="669" t="s">
        <v>265</v>
      </c>
      <c r="J10" s="669" t="s">
        <v>266</v>
      </c>
      <c r="K10" s="670" t="s">
        <v>267</v>
      </c>
      <c r="L10" s="671" t="s">
        <v>268</v>
      </c>
      <c r="N10" s="668" t="s">
        <v>264</v>
      </c>
      <c r="O10" s="669" t="s">
        <v>265</v>
      </c>
      <c r="P10" s="669" t="s">
        <v>266</v>
      </c>
      <c r="Q10" s="670" t="s">
        <v>267</v>
      </c>
      <c r="R10" s="671" t="s">
        <v>268</v>
      </c>
    </row>
    <row r="11" spans="2:21" ht="20.100000000000001" customHeight="1">
      <c r="B11" s="672">
        <v>1</v>
      </c>
      <c r="C11" s="673">
        <f t="shared" ref="C11:C35" si="0">IF(ISERROR(IF(B11&gt;(durée_emprunt1),0,IF(B11&lt;=différé1_an,D11,(emprunt1*tx_emprunt1)/(1-(1+tx_emprunt1)^-(durée_emprunt1-différé1_an))))),0,IF(B11&gt;(durée_emprunt1),0,IF(B11&lt;=différé1_an,D11,(emprunt1*tx_emprunt1)/(1-(1+tx_emprunt1)^-(durée_emprunt1-différé1_an)))))</f>
        <v>0</v>
      </c>
      <c r="D11" s="674">
        <f>emprunt1*tx_emprunt1</f>
        <v>0</v>
      </c>
      <c r="E11" s="674">
        <f t="shared" ref="E11:E35" si="1">IF(ISERROR(IF(B11&lt;=différé1_an,0,C11-D11)),0,IF(B11&lt;=différé1_an,0,C11-D11))</f>
        <v>0</v>
      </c>
      <c r="F11" s="675">
        <f>IF(emprunt1-E11&lt;1,0,emprunt1-E11)</f>
        <v>0</v>
      </c>
      <c r="H11" s="672">
        <v>1</v>
      </c>
      <c r="I11" s="673">
        <f t="shared" ref="I11:I35" si="2">IF(ISERROR(IF(H11&gt;(durée_emprunt2),0,IF(H11&lt;=différé2_an,J11,(emprunt2*tx_emprunt2)/(1-(1+tx_emprunt2)^-(durée_emprunt2-différé2_an))))),0,IF(H11&gt;(durée_emprunt2),0,IF(H11&lt;=différé2_an,J11,(emprunt2*tx_emprunt2)/(1-(1+tx_emprunt2)^-(durée_emprunt2-différé2_an)))))</f>
        <v>0</v>
      </c>
      <c r="J11" s="674">
        <f>emprunt2*tx_emprunt2</f>
        <v>0</v>
      </c>
      <c r="K11" s="674">
        <f>IF(ISERROR(IF(H11&lt;=différé2,0,I11-J11)),0,IF(H11&lt;=différé2_an,0,I11-J11))</f>
        <v>0</v>
      </c>
      <c r="L11" s="675">
        <f>IF(emprunt2-K11&lt;1,0,emprunt2-K11)</f>
        <v>0</v>
      </c>
      <c r="N11" s="672">
        <v>1</v>
      </c>
      <c r="O11" s="673">
        <f t="shared" ref="O11:O35" si="3">IF(ISERROR(IF(N11&gt;(durée_emprunt3),0,IF(N11&lt;=différé3_an,P11,(emprunt3*tx_emprunt3)/(1-(1+tx_emprunt3)^-(durée_emprunt3-différé3_an))))),0,IF(N11&gt;(durée_emprunt3),0,IF(N11&lt;=différé3_an,P11,(emprunt3*tx_emprunt3)/(1-(1+tx_emprunt3)^-(durée_emprunt3-différé3_an)))))</f>
        <v>0</v>
      </c>
      <c r="P11" s="674">
        <f>emprunt3*tx_emprunt3</f>
        <v>0</v>
      </c>
      <c r="Q11" s="674">
        <f>IF(ISERROR(IF(N11&lt;=différé3_an,0,O11-P11)),0,IF(N11&lt;=différé3_an,0,O11-P11))</f>
        <v>0</v>
      </c>
      <c r="R11" s="675">
        <f>IF(emprunt3-Q11&lt;1,0,emprunt3-Q11)</f>
        <v>0</v>
      </c>
    </row>
    <row r="12" spans="2:21" ht="20.100000000000001" customHeight="1">
      <c r="B12" s="676">
        <v>2</v>
      </c>
      <c r="C12" s="677">
        <f t="shared" si="0"/>
        <v>0</v>
      </c>
      <c r="D12" s="678">
        <f t="shared" ref="D12:D35" si="4">F11*tx_emprunt1</f>
        <v>0</v>
      </c>
      <c r="E12" s="678">
        <f t="shared" si="1"/>
        <v>0</v>
      </c>
      <c r="F12" s="679">
        <f t="shared" ref="F12:F35" si="5">IF(F11-E12&lt;1,0,F11-E12)</f>
        <v>0</v>
      </c>
      <c r="H12" s="676">
        <v>2</v>
      </c>
      <c r="I12" s="677">
        <f t="shared" si="2"/>
        <v>0</v>
      </c>
      <c r="J12" s="678">
        <f t="shared" ref="J12:J35" si="6">L11*tx_emprunt2</f>
        <v>0</v>
      </c>
      <c r="K12" s="678">
        <f t="shared" ref="K12:K35" si="7">IF(ISERROR(IF(H12&lt;=différé2_an,0,I12-J12)),0,IF(H12&lt;=différé2_an,0,I12-J12))</f>
        <v>0</v>
      </c>
      <c r="L12" s="679">
        <f t="shared" ref="L12:L35" si="8">IF(L11-K12&lt;1,0,L11-K12)</f>
        <v>0</v>
      </c>
      <c r="N12" s="676">
        <v>2</v>
      </c>
      <c r="O12" s="677">
        <f t="shared" si="3"/>
        <v>0</v>
      </c>
      <c r="P12" s="678">
        <f t="shared" ref="P12:P35" si="9">R11*tx_emprunt3</f>
        <v>0</v>
      </c>
      <c r="Q12" s="678">
        <f>IF(ISERROR(IF(N12&lt;=différé3_an,0,O12-P12)),0,IF(N12&lt;=différé3_an,0,O12-P12))</f>
        <v>0</v>
      </c>
      <c r="R12" s="679">
        <f t="shared" ref="R12:R35" si="10">IF(R11-Q12&lt;1,0,R11-Q12)</f>
        <v>0</v>
      </c>
    </row>
    <row r="13" spans="2:21" ht="20.100000000000001" customHeight="1">
      <c r="B13" s="676">
        <v>3</v>
      </c>
      <c r="C13" s="677">
        <f t="shared" si="0"/>
        <v>0</v>
      </c>
      <c r="D13" s="678">
        <f t="shared" si="4"/>
        <v>0</v>
      </c>
      <c r="E13" s="678">
        <f t="shared" si="1"/>
        <v>0</v>
      </c>
      <c r="F13" s="679">
        <f t="shared" si="5"/>
        <v>0</v>
      </c>
      <c r="H13" s="676">
        <v>3</v>
      </c>
      <c r="I13" s="677">
        <f t="shared" si="2"/>
        <v>0</v>
      </c>
      <c r="J13" s="678">
        <f t="shared" si="6"/>
        <v>0</v>
      </c>
      <c r="K13" s="678">
        <f t="shared" si="7"/>
        <v>0</v>
      </c>
      <c r="L13" s="679">
        <f t="shared" si="8"/>
        <v>0</v>
      </c>
      <c r="N13" s="676">
        <v>3</v>
      </c>
      <c r="O13" s="677">
        <f t="shared" si="3"/>
        <v>0</v>
      </c>
      <c r="P13" s="678">
        <f t="shared" si="9"/>
        <v>0</v>
      </c>
      <c r="Q13" s="678">
        <f t="shared" ref="Q13:Q35" si="11">IF(ISERROR(IF(N13&lt;=différé1_an,0,O13-P13)),0,IF(N13&lt;=différé1_an,0,O13-P13))</f>
        <v>0</v>
      </c>
      <c r="R13" s="679">
        <f t="shared" si="10"/>
        <v>0</v>
      </c>
    </row>
    <row r="14" spans="2:21" ht="20.100000000000001" customHeight="1">
      <c r="B14" s="676">
        <v>4</v>
      </c>
      <c r="C14" s="677">
        <f t="shared" si="0"/>
        <v>0</v>
      </c>
      <c r="D14" s="678">
        <f t="shared" si="4"/>
        <v>0</v>
      </c>
      <c r="E14" s="678">
        <f t="shared" si="1"/>
        <v>0</v>
      </c>
      <c r="F14" s="679">
        <f t="shared" si="5"/>
        <v>0</v>
      </c>
      <c r="H14" s="676">
        <v>4</v>
      </c>
      <c r="I14" s="677">
        <f t="shared" si="2"/>
        <v>0</v>
      </c>
      <c r="J14" s="678">
        <f t="shared" si="6"/>
        <v>0</v>
      </c>
      <c r="K14" s="678">
        <f t="shared" si="7"/>
        <v>0</v>
      </c>
      <c r="L14" s="679">
        <f t="shared" si="8"/>
        <v>0</v>
      </c>
      <c r="N14" s="676">
        <v>4</v>
      </c>
      <c r="O14" s="677">
        <f t="shared" si="3"/>
        <v>0</v>
      </c>
      <c r="P14" s="678">
        <f t="shared" si="9"/>
        <v>0</v>
      </c>
      <c r="Q14" s="678">
        <f t="shared" si="11"/>
        <v>0</v>
      </c>
      <c r="R14" s="679">
        <f t="shared" si="10"/>
        <v>0</v>
      </c>
    </row>
    <row r="15" spans="2:21" ht="20.100000000000001" customHeight="1">
      <c r="B15" s="676">
        <v>5</v>
      </c>
      <c r="C15" s="677">
        <f t="shared" si="0"/>
        <v>0</v>
      </c>
      <c r="D15" s="678">
        <f t="shared" si="4"/>
        <v>0</v>
      </c>
      <c r="E15" s="678">
        <f t="shared" si="1"/>
        <v>0</v>
      </c>
      <c r="F15" s="679">
        <f t="shared" si="5"/>
        <v>0</v>
      </c>
      <c r="H15" s="676">
        <v>5</v>
      </c>
      <c r="I15" s="677">
        <f t="shared" si="2"/>
        <v>0</v>
      </c>
      <c r="J15" s="678">
        <f t="shared" si="6"/>
        <v>0</v>
      </c>
      <c r="K15" s="678">
        <f t="shared" si="7"/>
        <v>0</v>
      </c>
      <c r="L15" s="679">
        <f t="shared" si="8"/>
        <v>0</v>
      </c>
      <c r="N15" s="676">
        <v>5</v>
      </c>
      <c r="O15" s="677">
        <f t="shared" si="3"/>
        <v>0</v>
      </c>
      <c r="P15" s="678">
        <f t="shared" si="9"/>
        <v>0</v>
      </c>
      <c r="Q15" s="678">
        <f t="shared" si="11"/>
        <v>0</v>
      </c>
      <c r="R15" s="679">
        <f t="shared" si="10"/>
        <v>0</v>
      </c>
    </row>
    <row r="16" spans="2:21" ht="20.100000000000001" customHeight="1">
      <c r="B16" s="676">
        <v>6</v>
      </c>
      <c r="C16" s="677">
        <f t="shared" si="0"/>
        <v>0</v>
      </c>
      <c r="D16" s="678">
        <f t="shared" si="4"/>
        <v>0</v>
      </c>
      <c r="E16" s="678">
        <f t="shared" si="1"/>
        <v>0</v>
      </c>
      <c r="F16" s="679">
        <f t="shared" si="5"/>
        <v>0</v>
      </c>
      <c r="H16" s="676">
        <v>6</v>
      </c>
      <c r="I16" s="677">
        <f t="shared" si="2"/>
        <v>0</v>
      </c>
      <c r="J16" s="678">
        <f t="shared" si="6"/>
        <v>0</v>
      </c>
      <c r="K16" s="678">
        <f t="shared" si="7"/>
        <v>0</v>
      </c>
      <c r="L16" s="679">
        <f t="shared" si="8"/>
        <v>0</v>
      </c>
      <c r="N16" s="676">
        <v>6</v>
      </c>
      <c r="O16" s="677">
        <f t="shared" si="3"/>
        <v>0</v>
      </c>
      <c r="P16" s="678">
        <f t="shared" si="9"/>
        <v>0</v>
      </c>
      <c r="Q16" s="678">
        <f t="shared" si="11"/>
        <v>0</v>
      </c>
      <c r="R16" s="679">
        <f t="shared" si="10"/>
        <v>0</v>
      </c>
    </row>
    <row r="17" spans="2:18" ht="20.100000000000001" customHeight="1">
      <c r="B17" s="676">
        <v>7</v>
      </c>
      <c r="C17" s="677">
        <f t="shared" si="0"/>
        <v>0</v>
      </c>
      <c r="D17" s="678">
        <f t="shared" si="4"/>
        <v>0</v>
      </c>
      <c r="E17" s="678">
        <f t="shared" si="1"/>
        <v>0</v>
      </c>
      <c r="F17" s="679">
        <f t="shared" si="5"/>
        <v>0</v>
      </c>
      <c r="H17" s="676">
        <v>7</v>
      </c>
      <c r="I17" s="677">
        <f t="shared" si="2"/>
        <v>0</v>
      </c>
      <c r="J17" s="678">
        <f t="shared" si="6"/>
        <v>0</v>
      </c>
      <c r="K17" s="678">
        <f t="shared" si="7"/>
        <v>0</v>
      </c>
      <c r="L17" s="679">
        <f t="shared" si="8"/>
        <v>0</v>
      </c>
      <c r="N17" s="676">
        <v>7</v>
      </c>
      <c r="O17" s="677">
        <f t="shared" si="3"/>
        <v>0</v>
      </c>
      <c r="P17" s="678">
        <f t="shared" si="9"/>
        <v>0</v>
      </c>
      <c r="Q17" s="678">
        <f t="shared" si="11"/>
        <v>0</v>
      </c>
      <c r="R17" s="679">
        <f t="shared" si="10"/>
        <v>0</v>
      </c>
    </row>
    <row r="18" spans="2:18" ht="20.100000000000001" customHeight="1">
      <c r="B18" s="676">
        <v>8</v>
      </c>
      <c r="C18" s="677">
        <f t="shared" si="0"/>
        <v>0</v>
      </c>
      <c r="D18" s="678">
        <f t="shared" si="4"/>
        <v>0</v>
      </c>
      <c r="E18" s="678">
        <f t="shared" si="1"/>
        <v>0</v>
      </c>
      <c r="F18" s="679">
        <f t="shared" si="5"/>
        <v>0</v>
      </c>
      <c r="H18" s="676">
        <v>8</v>
      </c>
      <c r="I18" s="677">
        <f t="shared" si="2"/>
        <v>0</v>
      </c>
      <c r="J18" s="678">
        <f t="shared" si="6"/>
        <v>0</v>
      </c>
      <c r="K18" s="678">
        <f t="shared" si="7"/>
        <v>0</v>
      </c>
      <c r="L18" s="679">
        <f t="shared" si="8"/>
        <v>0</v>
      </c>
      <c r="N18" s="676">
        <v>8</v>
      </c>
      <c r="O18" s="677">
        <f t="shared" si="3"/>
        <v>0</v>
      </c>
      <c r="P18" s="678">
        <f t="shared" si="9"/>
        <v>0</v>
      </c>
      <c r="Q18" s="678">
        <f t="shared" si="11"/>
        <v>0</v>
      </c>
      <c r="R18" s="679">
        <f t="shared" si="10"/>
        <v>0</v>
      </c>
    </row>
    <row r="19" spans="2:18" ht="20.100000000000001" customHeight="1">
      <c r="B19" s="676">
        <v>9</v>
      </c>
      <c r="C19" s="677">
        <f t="shared" si="0"/>
        <v>0</v>
      </c>
      <c r="D19" s="678">
        <f t="shared" si="4"/>
        <v>0</v>
      </c>
      <c r="E19" s="678">
        <f t="shared" si="1"/>
        <v>0</v>
      </c>
      <c r="F19" s="679">
        <f t="shared" si="5"/>
        <v>0</v>
      </c>
      <c r="H19" s="676">
        <v>9</v>
      </c>
      <c r="I19" s="677">
        <f t="shared" si="2"/>
        <v>0</v>
      </c>
      <c r="J19" s="678">
        <f t="shared" si="6"/>
        <v>0</v>
      </c>
      <c r="K19" s="678">
        <f t="shared" si="7"/>
        <v>0</v>
      </c>
      <c r="L19" s="679">
        <f t="shared" si="8"/>
        <v>0</v>
      </c>
      <c r="N19" s="676">
        <v>9</v>
      </c>
      <c r="O19" s="677">
        <f t="shared" si="3"/>
        <v>0</v>
      </c>
      <c r="P19" s="678">
        <f t="shared" si="9"/>
        <v>0</v>
      </c>
      <c r="Q19" s="678">
        <f t="shared" si="11"/>
        <v>0</v>
      </c>
      <c r="R19" s="679">
        <f t="shared" si="10"/>
        <v>0</v>
      </c>
    </row>
    <row r="20" spans="2:18" ht="20.100000000000001" customHeight="1">
      <c r="B20" s="676">
        <v>10</v>
      </c>
      <c r="C20" s="677">
        <f t="shared" si="0"/>
        <v>0</v>
      </c>
      <c r="D20" s="678">
        <f t="shared" si="4"/>
        <v>0</v>
      </c>
      <c r="E20" s="678">
        <f t="shared" si="1"/>
        <v>0</v>
      </c>
      <c r="F20" s="679">
        <f t="shared" si="5"/>
        <v>0</v>
      </c>
      <c r="H20" s="676">
        <v>10</v>
      </c>
      <c r="I20" s="677">
        <f t="shared" si="2"/>
        <v>0</v>
      </c>
      <c r="J20" s="678">
        <f t="shared" si="6"/>
        <v>0</v>
      </c>
      <c r="K20" s="678">
        <f t="shared" si="7"/>
        <v>0</v>
      </c>
      <c r="L20" s="679">
        <f t="shared" si="8"/>
        <v>0</v>
      </c>
      <c r="N20" s="676">
        <v>10</v>
      </c>
      <c r="O20" s="677">
        <f t="shared" si="3"/>
        <v>0</v>
      </c>
      <c r="P20" s="678">
        <f t="shared" si="9"/>
        <v>0</v>
      </c>
      <c r="Q20" s="678">
        <f t="shared" si="11"/>
        <v>0</v>
      </c>
      <c r="R20" s="679">
        <f t="shared" si="10"/>
        <v>0</v>
      </c>
    </row>
    <row r="21" spans="2:18" ht="20.100000000000001" customHeight="1">
      <c r="B21" s="676">
        <v>11</v>
      </c>
      <c r="C21" s="677">
        <f t="shared" si="0"/>
        <v>0</v>
      </c>
      <c r="D21" s="678">
        <f t="shared" si="4"/>
        <v>0</v>
      </c>
      <c r="E21" s="678">
        <f t="shared" si="1"/>
        <v>0</v>
      </c>
      <c r="F21" s="679">
        <f t="shared" si="5"/>
        <v>0</v>
      </c>
      <c r="H21" s="676">
        <v>11</v>
      </c>
      <c r="I21" s="677">
        <f t="shared" si="2"/>
        <v>0</v>
      </c>
      <c r="J21" s="678">
        <f t="shared" si="6"/>
        <v>0</v>
      </c>
      <c r="K21" s="678">
        <f t="shared" si="7"/>
        <v>0</v>
      </c>
      <c r="L21" s="679">
        <f t="shared" si="8"/>
        <v>0</v>
      </c>
      <c r="N21" s="676">
        <v>11</v>
      </c>
      <c r="O21" s="677">
        <f t="shared" si="3"/>
        <v>0</v>
      </c>
      <c r="P21" s="678">
        <f t="shared" si="9"/>
        <v>0</v>
      </c>
      <c r="Q21" s="678">
        <f t="shared" si="11"/>
        <v>0</v>
      </c>
      <c r="R21" s="679">
        <f t="shared" si="10"/>
        <v>0</v>
      </c>
    </row>
    <row r="22" spans="2:18" ht="20.100000000000001" customHeight="1">
      <c r="B22" s="676">
        <v>12</v>
      </c>
      <c r="C22" s="677">
        <f t="shared" si="0"/>
        <v>0</v>
      </c>
      <c r="D22" s="678">
        <f t="shared" si="4"/>
        <v>0</v>
      </c>
      <c r="E22" s="678">
        <f t="shared" si="1"/>
        <v>0</v>
      </c>
      <c r="F22" s="679">
        <f t="shared" si="5"/>
        <v>0</v>
      </c>
      <c r="H22" s="676">
        <v>12</v>
      </c>
      <c r="I22" s="677">
        <f t="shared" si="2"/>
        <v>0</v>
      </c>
      <c r="J22" s="678">
        <f t="shared" si="6"/>
        <v>0</v>
      </c>
      <c r="K22" s="678">
        <f t="shared" si="7"/>
        <v>0</v>
      </c>
      <c r="L22" s="679">
        <f t="shared" si="8"/>
        <v>0</v>
      </c>
      <c r="N22" s="676">
        <v>12</v>
      </c>
      <c r="O22" s="677">
        <f t="shared" si="3"/>
        <v>0</v>
      </c>
      <c r="P22" s="678">
        <f t="shared" si="9"/>
        <v>0</v>
      </c>
      <c r="Q22" s="678">
        <f t="shared" si="11"/>
        <v>0</v>
      </c>
      <c r="R22" s="679">
        <f t="shared" si="10"/>
        <v>0</v>
      </c>
    </row>
    <row r="23" spans="2:18" ht="20.100000000000001" customHeight="1">
      <c r="B23" s="676">
        <v>13</v>
      </c>
      <c r="C23" s="677">
        <f t="shared" si="0"/>
        <v>0</v>
      </c>
      <c r="D23" s="678">
        <f t="shared" si="4"/>
        <v>0</v>
      </c>
      <c r="E23" s="678">
        <f t="shared" si="1"/>
        <v>0</v>
      </c>
      <c r="F23" s="679">
        <f t="shared" si="5"/>
        <v>0</v>
      </c>
      <c r="H23" s="676">
        <v>13</v>
      </c>
      <c r="I23" s="677">
        <f t="shared" si="2"/>
        <v>0</v>
      </c>
      <c r="J23" s="678">
        <f t="shared" si="6"/>
        <v>0</v>
      </c>
      <c r="K23" s="678">
        <f t="shared" si="7"/>
        <v>0</v>
      </c>
      <c r="L23" s="679">
        <f t="shared" si="8"/>
        <v>0</v>
      </c>
      <c r="N23" s="676">
        <v>13</v>
      </c>
      <c r="O23" s="677">
        <f t="shared" si="3"/>
        <v>0</v>
      </c>
      <c r="P23" s="678">
        <f t="shared" si="9"/>
        <v>0</v>
      </c>
      <c r="Q23" s="678">
        <f t="shared" si="11"/>
        <v>0</v>
      </c>
      <c r="R23" s="679">
        <f t="shared" si="10"/>
        <v>0</v>
      </c>
    </row>
    <row r="24" spans="2:18" ht="20.100000000000001" customHeight="1">
      <c r="B24" s="676">
        <v>14</v>
      </c>
      <c r="C24" s="677">
        <f t="shared" si="0"/>
        <v>0</v>
      </c>
      <c r="D24" s="678">
        <f t="shared" si="4"/>
        <v>0</v>
      </c>
      <c r="E24" s="678">
        <f t="shared" si="1"/>
        <v>0</v>
      </c>
      <c r="F24" s="679">
        <f t="shared" si="5"/>
        <v>0</v>
      </c>
      <c r="H24" s="676">
        <v>14</v>
      </c>
      <c r="I24" s="677">
        <f t="shared" si="2"/>
        <v>0</v>
      </c>
      <c r="J24" s="678">
        <f t="shared" si="6"/>
        <v>0</v>
      </c>
      <c r="K24" s="678">
        <f t="shared" si="7"/>
        <v>0</v>
      </c>
      <c r="L24" s="679">
        <f t="shared" si="8"/>
        <v>0</v>
      </c>
      <c r="N24" s="676">
        <v>14</v>
      </c>
      <c r="O24" s="677">
        <f t="shared" si="3"/>
        <v>0</v>
      </c>
      <c r="P24" s="678">
        <f t="shared" si="9"/>
        <v>0</v>
      </c>
      <c r="Q24" s="678">
        <f t="shared" si="11"/>
        <v>0</v>
      </c>
      <c r="R24" s="679">
        <f t="shared" si="10"/>
        <v>0</v>
      </c>
    </row>
    <row r="25" spans="2:18" ht="20.100000000000001" customHeight="1">
      <c r="B25" s="676">
        <v>15</v>
      </c>
      <c r="C25" s="677">
        <f t="shared" si="0"/>
        <v>0</v>
      </c>
      <c r="D25" s="678">
        <f t="shared" si="4"/>
        <v>0</v>
      </c>
      <c r="E25" s="678">
        <f t="shared" si="1"/>
        <v>0</v>
      </c>
      <c r="F25" s="679">
        <f t="shared" si="5"/>
        <v>0</v>
      </c>
      <c r="H25" s="676">
        <v>15</v>
      </c>
      <c r="I25" s="677">
        <f t="shared" si="2"/>
        <v>0</v>
      </c>
      <c r="J25" s="678">
        <f t="shared" si="6"/>
        <v>0</v>
      </c>
      <c r="K25" s="678">
        <f t="shared" si="7"/>
        <v>0</v>
      </c>
      <c r="L25" s="679">
        <f t="shared" si="8"/>
        <v>0</v>
      </c>
      <c r="N25" s="676">
        <v>15</v>
      </c>
      <c r="O25" s="677">
        <f t="shared" si="3"/>
        <v>0</v>
      </c>
      <c r="P25" s="678">
        <f t="shared" si="9"/>
        <v>0</v>
      </c>
      <c r="Q25" s="678">
        <f t="shared" si="11"/>
        <v>0</v>
      </c>
      <c r="R25" s="679">
        <f t="shared" si="10"/>
        <v>0</v>
      </c>
    </row>
    <row r="26" spans="2:18" ht="20.100000000000001" customHeight="1">
      <c r="B26" s="676">
        <v>16</v>
      </c>
      <c r="C26" s="677">
        <f t="shared" si="0"/>
        <v>0</v>
      </c>
      <c r="D26" s="678">
        <f t="shared" si="4"/>
        <v>0</v>
      </c>
      <c r="E26" s="678">
        <f t="shared" si="1"/>
        <v>0</v>
      </c>
      <c r="F26" s="679">
        <f t="shared" si="5"/>
        <v>0</v>
      </c>
      <c r="H26" s="676">
        <v>16</v>
      </c>
      <c r="I26" s="677">
        <f t="shared" si="2"/>
        <v>0</v>
      </c>
      <c r="J26" s="678">
        <f t="shared" si="6"/>
        <v>0</v>
      </c>
      <c r="K26" s="678">
        <f t="shared" si="7"/>
        <v>0</v>
      </c>
      <c r="L26" s="679">
        <f t="shared" si="8"/>
        <v>0</v>
      </c>
      <c r="N26" s="676">
        <v>16</v>
      </c>
      <c r="O26" s="677">
        <f t="shared" si="3"/>
        <v>0</v>
      </c>
      <c r="P26" s="678">
        <f t="shared" si="9"/>
        <v>0</v>
      </c>
      <c r="Q26" s="678">
        <f t="shared" si="11"/>
        <v>0</v>
      </c>
      <c r="R26" s="679">
        <f t="shared" si="10"/>
        <v>0</v>
      </c>
    </row>
    <row r="27" spans="2:18" ht="20.100000000000001" customHeight="1">
      <c r="B27" s="676">
        <v>17</v>
      </c>
      <c r="C27" s="677">
        <f t="shared" si="0"/>
        <v>0</v>
      </c>
      <c r="D27" s="678">
        <f t="shared" si="4"/>
        <v>0</v>
      </c>
      <c r="E27" s="678">
        <f t="shared" si="1"/>
        <v>0</v>
      </c>
      <c r="F27" s="679">
        <f t="shared" si="5"/>
        <v>0</v>
      </c>
      <c r="H27" s="676">
        <v>17</v>
      </c>
      <c r="I27" s="677">
        <f t="shared" si="2"/>
        <v>0</v>
      </c>
      <c r="J27" s="678">
        <f t="shared" si="6"/>
        <v>0</v>
      </c>
      <c r="K27" s="678">
        <f t="shared" si="7"/>
        <v>0</v>
      </c>
      <c r="L27" s="679">
        <f t="shared" si="8"/>
        <v>0</v>
      </c>
      <c r="N27" s="676">
        <v>17</v>
      </c>
      <c r="O27" s="677">
        <f t="shared" si="3"/>
        <v>0</v>
      </c>
      <c r="P27" s="678">
        <f t="shared" si="9"/>
        <v>0</v>
      </c>
      <c r="Q27" s="678">
        <f t="shared" si="11"/>
        <v>0</v>
      </c>
      <c r="R27" s="679">
        <f t="shared" si="10"/>
        <v>0</v>
      </c>
    </row>
    <row r="28" spans="2:18" ht="20.100000000000001" customHeight="1">
      <c r="B28" s="676">
        <v>18</v>
      </c>
      <c r="C28" s="677">
        <f t="shared" si="0"/>
        <v>0</v>
      </c>
      <c r="D28" s="678">
        <f t="shared" si="4"/>
        <v>0</v>
      </c>
      <c r="E28" s="678">
        <f t="shared" si="1"/>
        <v>0</v>
      </c>
      <c r="F28" s="679">
        <f t="shared" si="5"/>
        <v>0</v>
      </c>
      <c r="H28" s="676">
        <v>18</v>
      </c>
      <c r="I28" s="677">
        <f t="shared" si="2"/>
        <v>0</v>
      </c>
      <c r="J28" s="678">
        <f t="shared" si="6"/>
        <v>0</v>
      </c>
      <c r="K28" s="678">
        <f t="shared" si="7"/>
        <v>0</v>
      </c>
      <c r="L28" s="679">
        <f t="shared" si="8"/>
        <v>0</v>
      </c>
      <c r="N28" s="676">
        <v>18</v>
      </c>
      <c r="O28" s="677">
        <f t="shared" si="3"/>
        <v>0</v>
      </c>
      <c r="P28" s="678">
        <f t="shared" si="9"/>
        <v>0</v>
      </c>
      <c r="Q28" s="678">
        <f t="shared" si="11"/>
        <v>0</v>
      </c>
      <c r="R28" s="679">
        <f t="shared" si="10"/>
        <v>0</v>
      </c>
    </row>
    <row r="29" spans="2:18" ht="20.100000000000001" customHeight="1">
      <c r="B29" s="676">
        <v>19</v>
      </c>
      <c r="C29" s="677">
        <f t="shared" si="0"/>
        <v>0</v>
      </c>
      <c r="D29" s="678">
        <f t="shared" si="4"/>
        <v>0</v>
      </c>
      <c r="E29" s="678">
        <f t="shared" si="1"/>
        <v>0</v>
      </c>
      <c r="F29" s="679">
        <f t="shared" si="5"/>
        <v>0</v>
      </c>
      <c r="H29" s="676">
        <v>19</v>
      </c>
      <c r="I29" s="677">
        <f t="shared" si="2"/>
        <v>0</v>
      </c>
      <c r="J29" s="678">
        <f t="shared" si="6"/>
        <v>0</v>
      </c>
      <c r="K29" s="678">
        <f t="shared" si="7"/>
        <v>0</v>
      </c>
      <c r="L29" s="679">
        <f t="shared" si="8"/>
        <v>0</v>
      </c>
      <c r="N29" s="676">
        <v>19</v>
      </c>
      <c r="O29" s="677">
        <f t="shared" si="3"/>
        <v>0</v>
      </c>
      <c r="P29" s="678">
        <f t="shared" si="9"/>
        <v>0</v>
      </c>
      <c r="Q29" s="678">
        <f t="shared" si="11"/>
        <v>0</v>
      </c>
      <c r="R29" s="679">
        <f t="shared" si="10"/>
        <v>0</v>
      </c>
    </row>
    <row r="30" spans="2:18" ht="20.100000000000001" customHeight="1">
      <c r="B30" s="676">
        <v>20</v>
      </c>
      <c r="C30" s="677">
        <f t="shared" si="0"/>
        <v>0</v>
      </c>
      <c r="D30" s="678">
        <f t="shared" si="4"/>
        <v>0</v>
      </c>
      <c r="E30" s="678">
        <f t="shared" si="1"/>
        <v>0</v>
      </c>
      <c r="F30" s="679">
        <f t="shared" si="5"/>
        <v>0</v>
      </c>
      <c r="H30" s="676">
        <v>20</v>
      </c>
      <c r="I30" s="677">
        <f t="shared" si="2"/>
        <v>0</v>
      </c>
      <c r="J30" s="678">
        <f t="shared" si="6"/>
        <v>0</v>
      </c>
      <c r="K30" s="678">
        <f t="shared" si="7"/>
        <v>0</v>
      </c>
      <c r="L30" s="679">
        <f t="shared" si="8"/>
        <v>0</v>
      </c>
      <c r="N30" s="676">
        <v>20</v>
      </c>
      <c r="O30" s="677">
        <f t="shared" si="3"/>
        <v>0</v>
      </c>
      <c r="P30" s="678">
        <f t="shared" si="9"/>
        <v>0</v>
      </c>
      <c r="Q30" s="678">
        <f t="shared" si="11"/>
        <v>0</v>
      </c>
      <c r="R30" s="679">
        <f t="shared" si="10"/>
        <v>0</v>
      </c>
    </row>
    <row r="31" spans="2:18" ht="20.100000000000001" customHeight="1">
      <c r="B31" s="676">
        <v>21</v>
      </c>
      <c r="C31" s="677">
        <f t="shared" si="0"/>
        <v>0</v>
      </c>
      <c r="D31" s="678">
        <f t="shared" si="4"/>
        <v>0</v>
      </c>
      <c r="E31" s="678">
        <f t="shared" si="1"/>
        <v>0</v>
      </c>
      <c r="F31" s="679">
        <f t="shared" si="5"/>
        <v>0</v>
      </c>
      <c r="H31" s="676">
        <v>21</v>
      </c>
      <c r="I31" s="677">
        <f t="shared" si="2"/>
        <v>0</v>
      </c>
      <c r="J31" s="678">
        <f t="shared" si="6"/>
        <v>0</v>
      </c>
      <c r="K31" s="678">
        <f t="shared" si="7"/>
        <v>0</v>
      </c>
      <c r="L31" s="679">
        <f t="shared" si="8"/>
        <v>0</v>
      </c>
      <c r="N31" s="676">
        <v>21</v>
      </c>
      <c r="O31" s="677">
        <f t="shared" si="3"/>
        <v>0</v>
      </c>
      <c r="P31" s="678">
        <f t="shared" si="9"/>
        <v>0</v>
      </c>
      <c r="Q31" s="678">
        <f t="shared" si="11"/>
        <v>0</v>
      </c>
      <c r="R31" s="679">
        <f t="shared" si="10"/>
        <v>0</v>
      </c>
    </row>
    <row r="32" spans="2:18" ht="20.100000000000001" customHeight="1">
      <c r="B32" s="676">
        <v>22</v>
      </c>
      <c r="C32" s="677">
        <f t="shared" si="0"/>
        <v>0</v>
      </c>
      <c r="D32" s="678">
        <f t="shared" si="4"/>
        <v>0</v>
      </c>
      <c r="E32" s="678">
        <f t="shared" si="1"/>
        <v>0</v>
      </c>
      <c r="F32" s="679">
        <f t="shared" si="5"/>
        <v>0</v>
      </c>
      <c r="H32" s="676">
        <v>22</v>
      </c>
      <c r="I32" s="677">
        <f t="shared" si="2"/>
        <v>0</v>
      </c>
      <c r="J32" s="678">
        <f t="shared" si="6"/>
        <v>0</v>
      </c>
      <c r="K32" s="678">
        <f t="shared" si="7"/>
        <v>0</v>
      </c>
      <c r="L32" s="679">
        <f t="shared" si="8"/>
        <v>0</v>
      </c>
      <c r="N32" s="676">
        <v>22</v>
      </c>
      <c r="O32" s="677">
        <f t="shared" si="3"/>
        <v>0</v>
      </c>
      <c r="P32" s="678">
        <f t="shared" si="9"/>
        <v>0</v>
      </c>
      <c r="Q32" s="678">
        <f t="shared" si="11"/>
        <v>0</v>
      </c>
      <c r="R32" s="679">
        <f t="shared" si="10"/>
        <v>0</v>
      </c>
    </row>
    <row r="33" spans="2:18" ht="20.100000000000001" customHeight="1">
      <c r="B33" s="676">
        <v>23</v>
      </c>
      <c r="C33" s="677">
        <f t="shared" si="0"/>
        <v>0</v>
      </c>
      <c r="D33" s="678">
        <f t="shared" si="4"/>
        <v>0</v>
      </c>
      <c r="E33" s="678">
        <f t="shared" si="1"/>
        <v>0</v>
      </c>
      <c r="F33" s="679">
        <f t="shared" si="5"/>
        <v>0</v>
      </c>
      <c r="H33" s="676">
        <v>23</v>
      </c>
      <c r="I33" s="677">
        <f t="shared" si="2"/>
        <v>0</v>
      </c>
      <c r="J33" s="678">
        <f t="shared" si="6"/>
        <v>0</v>
      </c>
      <c r="K33" s="678">
        <f t="shared" si="7"/>
        <v>0</v>
      </c>
      <c r="L33" s="679">
        <f t="shared" si="8"/>
        <v>0</v>
      </c>
      <c r="N33" s="676">
        <v>23</v>
      </c>
      <c r="O33" s="677">
        <f t="shared" si="3"/>
        <v>0</v>
      </c>
      <c r="P33" s="678">
        <f t="shared" si="9"/>
        <v>0</v>
      </c>
      <c r="Q33" s="678">
        <f t="shared" si="11"/>
        <v>0</v>
      </c>
      <c r="R33" s="679">
        <f t="shared" si="10"/>
        <v>0</v>
      </c>
    </row>
    <row r="34" spans="2:18" ht="20.100000000000001" customHeight="1">
      <c r="B34" s="676">
        <v>24</v>
      </c>
      <c r="C34" s="677">
        <f t="shared" si="0"/>
        <v>0</v>
      </c>
      <c r="D34" s="678">
        <f t="shared" si="4"/>
        <v>0</v>
      </c>
      <c r="E34" s="678">
        <f t="shared" si="1"/>
        <v>0</v>
      </c>
      <c r="F34" s="679">
        <f t="shared" si="5"/>
        <v>0</v>
      </c>
      <c r="H34" s="676">
        <v>24</v>
      </c>
      <c r="I34" s="677">
        <f t="shared" si="2"/>
        <v>0</v>
      </c>
      <c r="J34" s="678">
        <f t="shared" si="6"/>
        <v>0</v>
      </c>
      <c r="K34" s="678">
        <f t="shared" si="7"/>
        <v>0</v>
      </c>
      <c r="L34" s="679">
        <f t="shared" si="8"/>
        <v>0</v>
      </c>
      <c r="N34" s="676">
        <v>24</v>
      </c>
      <c r="O34" s="677">
        <f t="shared" si="3"/>
        <v>0</v>
      </c>
      <c r="P34" s="678">
        <f t="shared" si="9"/>
        <v>0</v>
      </c>
      <c r="Q34" s="678">
        <f t="shared" si="11"/>
        <v>0</v>
      </c>
      <c r="R34" s="679">
        <f t="shared" si="10"/>
        <v>0</v>
      </c>
    </row>
    <row r="35" spans="2:18" ht="20.100000000000001" customHeight="1">
      <c r="B35" s="680">
        <v>25</v>
      </c>
      <c r="C35" s="681">
        <f t="shared" si="0"/>
        <v>0</v>
      </c>
      <c r="D35" s="682">
        <f t="shared" si="4"/>
        <v>0</v>
      </c>
      <c r="E35" s="682">
        <f t="shared" si="1"/>
        <v>0</v>
      </c>
      <c r="F35" s="683">
        <f t="shared" si="5"/>
        <v>0</v>
      </c>
      <c r="H35" s="680">
        <v>25</v>
      </c>
      <c r="I35" s="681">
        <f t="shared" si="2"/>
        <v>0</v>
      </c>
      <c r="J35" s="682">
        <f t="shared" si="6"/>
        <v>0</v>
      </c>
      <c r="K35" s="682">
        <f t="shared" si="7"/>
        <v>0</v>
      </c>
      <c r="L35" s="683">
        <f t="shared" si="8"/>
        <v>0</v>
      </c>
      <c r="N35" s="680">
        <v>25</v>
      </c>
      <c r="O35" s="681">
        <f t="shared" si="3"/>
        <v>0</v>
      </c>
      <c r="P35" s="682">
        <f t="shared" si="9"/>
        <v>0</v>
      </c>
      <c r="Q35" s="682">
        <f t="shared" si="11"/>
        <v>0</v>
      </c>
      <c r="R35" s="683">
        <f t="shared" si="10"/>
        <v>0</v>
      </c>
    </row>
    <row r="36" spans="2:18" s="652" customFormat="1" ht="20.100000000000001" customHeight="1">
      <c r="B36" s="684" t="s">
        <v>0</v>
      </c>
      <c r="C36" s="685">
        <f>SUM(C11:C35)</f>
        <v>0</v>
      </c>
      <c r="D36" s="685">
        <f t="shared" ref="D36:E36" si="12">SUM(D11:D35)</f>
        <v>0</v>
      </c>
      <c r="E36" s="685">
        <f t="shared" si="12"/>
        <v>0</v>
      </c>
      <c r="F36" s="686"/>
      <c r="H36" s="684" t="s">
        <v>0</v>
      </c>
      <c r="I36" s="685">
        <f>SUM(I11:I35)</f>
        <v>0</v>
      </c>
      <c r="J36" s="685">
        <f t="shared" ref="J36:K36" si="13">SUM(J11:J35)</f>
        <v>0</v>
      </c>
      <c r="K36" s="685">
        <f t="shared" si="13"/>
        <v>0</v>
      </c>
      <c r="L36" s="686"/>
      <c r="N36" s="684" t="s">
        <v>0</v>
      </c>
      <c r="O36" s="685">
        <f>SUM(O11:O35)</f>
        <v>0</v>
      </c>
      <c r="P36" s="685">
        <f t="shared" ref="P36:Q36" si="14">SUM(P11:P35)</f>
        <v>0</v>
      </c>
      <c r="Q36" s="685">
        <f t="shared" si="14"/>
        <v>0</v>
      </c>
      <c r="R36" s="686"/>
    </row>
    <row r="37" spans="2:18">
      <c r="B37" s="687"/>
      <c r="C37" s="688"/>
      <c r="D37" s="688"/>
      <c r="E37" s="688"/>
      <c r="F37" s="688"/>
    </row>
    <row r="38" spans="2:18">
      <c r="B38" s="687"/>
      <c r="C38" s="688"/>
      <c r="D38" s="688"/>
      <c r="E38" s="688"/>
      <c r="F38" s="688"/>
    </row>
  </sheetData>
  <sheetProtection algorithmName="SHA-512" hashValue="ArkssH7tJ4NsEWMkBbtHyURQzb4pIZ//qvUr9JlUwAWv2YVr2KJ74Nct+sYaa0VHQGzQmeBuCtSDIlhS5ERnAg==" saltValue="Fz4rpPkbOcPa5oBKkUX1vg==" spinCount="100000" sheet="1" formatCells="0" formatColumns="0" formatRows="0" insertColumns="0" insertRows="0" insertHyperlinks="0" deleteColumns="0" deleteRows="0" sort="0" autoFilter="0" pivotTables="0"/>
  <mergeCells count="13">
    <mergeCell ref="B2:R2"/>
    <mergeCell ref="B4:F4"/>
    <mergeCell ref="H4:L4"/>
    <mergeCell ref="N4:R4"/>
    <mergeCell ref="D6:E6"/>
    <mergeCell ref="J6:K6"/>
    <mergeCell ref="P6:Q6"/>
    <mergeCell ref="D8:E8"/>
    <mergeCell ref="J8:K8"/>
    <mergeCell ref="P8:Q8"/>
    <mergeCell ref="B9:C9"/>
    <mergeCell ref="H9:I9"/>
    <mergeCell ref="N9:O9"/>
  </mergeCells>
  <conditionalFormatting sqref="D11:F35">
    <cfRule type="cellIs" dxfId="183" priority="10" operator="equal">
      <formula>0</formula>
    </cfRule>
  </conditionalFormatting>
  <conditionalFormatting sqref="J13:L35">
    <cfRule type="cellIs" dxfId="182" priority="7" operator="equal">
      <formula>0</formula>
    </cfRule>
  </conditionalFormatting>
  <conditionalFormatting sqref="C11:C35">
    <cfRule type="cellIs" dxfId="181" priority="9" operator="equal">
      <formula>0</formula>
    </cfRule>
  </conditionalFormatting>
  <conditionalFormatting sqref="B11:B35">
    <cfRule type="cellIs" dxfId="180" priority="11" operator="greaterThan">
      <formula>$C$8</formula>
    </cfRule>
  </conditionalFormatting>
  <conditionalFormatting sqref="I13:I35">
    <cfRule type="cellIs" dxfId="179" priority="6" operator="equal">
      <formula>0</formula>
    </cfRule>
  </conditionalFormatting>
  <conditionalFormatting sqref="H11:H35">
    <cfRule type="cellIs" dxfId="178" priority="8" operator="greaterThan">
      <formula>$I$8</formula>
    </cfRule>
  </conditionalFormatting>
  <conditionalFormatting sqref="O11:O35">
    <cfRule type="cellIs" dxfId="177" priority="3" operator="equal">
      <formula>0</formula>
    </cfRule>
  </conditionalFormatting>
  <conditionalFormatting sqref="P11:R35">
    <cfRule type="cellIs" dxfId="176" priority="4" operator="equal">
      <formula>0</formula>
    </cfRule>
  </conditionalFormatting>
  <conditionalFormatting sqref="N11:N35">
    <cfRule type="cellIs" dxfId="175" priority="5" operator="greaterThan">
      <formula>$O$8</formula>
    </cfRule>
  </conditionalFormatting>
  <conditionalFormatting sqref="J11:L12">
    <cfRule type="cellIs" dxfId="174" priority="2" operator="equal">
      <formula>0</formula>
    </cfRule>
  </conditionalFormatting>
  <conditionalFormatting sqref="I11:I12">
    <cfRule type="cellIs" dxfId="173" priority="1" operator="equal">
      <formula>0</formula>
    </cfRule>
  </conditionalFormatting>
  <dataValidations count="1">
    <dataValidation type="whole" allowBlank="1" showInputMessage="1" showErrorMessage="1" errorTitle="Années" error="Entrez un nombre d'années compris entre 1 et 25" sqref="C8 I8 O8" xr:uid="{00000000-0002-0000-0300-000000000000}">
      <formula1>1</formula1>
      <formula2>25</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B1:T39"/>
  <sheetViews>
    <sheetView showGridLines="0" showRowColHeaders="0" zoomScaleNormal="100" workbookViewId="0">
      <pane ySplit="4" topLeftCell="A5" activePane="bottomLeft" state="frozenSplit"/>
      <selection activeCell="L8" sqref="L8"/>
      <selection pane="bottomLeft" activeCell="B1" sqref="B1:C1"/>
    </sheetView>
  </sheetViews>
  <sheetFormatPr baseColWidth="10" defaultColWidth="11.44140625" defaultRowHeight="13.8"/>
  <cols>
    <col min="1" max="1" width="1.6640625" style="2" customWidth="1"/>
    <col min="2" max="2" width="19.6640625" style="250" customWidth="1"/>
    <col min="3" max="3" width="29.6640625" style="250" customWidth="1"/>
    <col min="4" max="4" width="0.88671875" style="250" customWidth="1"/>
    <col min="5" max="5" width="10.6640625" style="250" customWidth="1"/>
    <col min="6" max="6" width="8.6640625" style="251" customWidth="1"/>
    <col min="7" max="7" width="0.88671875" style="250" customWidth="1"/>
    <col min="8" max="8" width="10.6640625" style="250" customWidth="1"/>
    <col min="9" max="9" width="8.6640625" style="251" customWidth="1"/>
    <col min="10" max="10" width="0.88671875" style="250" customWidth="1"/>
    <col min="11" max="11" width="10.6640625" style="250" customWidth="1"/>
    <col min="12" max="12" width="8.6640625" style="251" customWidth="1"/>
    <col min="13" max="13" width="0.88671875" style="250" customWidth="1"/>
    <col min="14" max="14" width="10.6640625" style="250" customWidth="1"/>
    <col min="15" max="15" width="8.6640625" style="251" customWidth="1"/>
    <col min="16" max="16" width="0.88671875" style="250" customWidth="1"/>
    <col min="17" max="17" width="10.6640625" style="250" customWidth="1"/>
    <col min="18" max="18" width="8.6640625" style="251" customWidth="1"/>
    <col min="19" max="16384" width="11.44140625" style="2"/>
  </cols>
  <sheetData>
    <row r="1" spans="2:19" ht="15" customHeight="1">
      <c r="B1" s="1117" t="s">
        <v>241</v>
      </c>
      <c r="C1" s="1117"/>
      <c r="H1" s="617"/>
      <c r="J1" s="617"/>
      <c r="K1" s="617"/>
      <c r="L1" s="617"/>
      <c r="N1" s="617"/>
      <c r="P1" s="617"/>
      <c r="Q1" s="617"/>
      <c r="R1" s="617"/>
    </row>
    <row r="2" spans="2:19" ht="18" customHeight="1">
      <c r="B2" s="1132" t="str">
        <f>IF(ISBLANK(entreprise)," ",entreprise)</f>
        <v xml:space="preserve"> </v>
      </c>
      <c r="C2" s="1133" t="str">
        <f>IF(ISBLANK(entreprise)," ",entreprise)</f>
        <v xml:space="preserve"> </v>
      </c>
      <c r="E2" s="867" t="str">
        <f>IF(ISBLANK('Compte de résultat'!F4)," ",'Compte de résultat'!F4)</f>
        <v xml:space="preserve"> </v>
      </c>
      <c r="F2" s="868" t="e">
        <f>IF(ISBLANK('Compte de résultat'!#REF!)," ",'Compte de résultat'!#REF!)</f>
        <v>#REF!</v>
      </c>
      <c r="H2" s="867" t="str">
        <f>IF(ISBLANK('Compte de résultat'!F4)," ",'Compte de résultat'!I4)</f>
        <v xml:space="preserve"> </v>
      </c>
      <c r="I2" s="868" t="e">
        <f>IF(ISBLANK('Compte de résultat'!#REF!)," ",'Compte de résultat'!#REF!)</f>
        <v>#REF!</v>
      </c>
      <c r="K2" s="867" t="str">
        <f>IF(ISBLANK('Compte de résultat'!F4)," ",'Compte de résultat'!L4)</f>
        <v xml:space="preserve"> </v>
      </c>
      <c r="L2" s="868" t="e">
        <f>IF(ISBLANK('Compte de résultat'!#REF!)," ",'Compte de résultat'!#REF!)</f>
        <v>#REF!</v>
      </c>
      <c r="N2" s="867" t="str">
        <f>IF(ISBLANK('Compte de résultat'!F4)," ",'Compte de résultat'!O4)</f>
        <v xml:space="preserve"> </v>
      </c>
      <c r="O2" s="868" t="e">
        <f>IF(ISBLANK('Compte de résultat'!#REF!)," ",'Compte de résultat'!#REF!)</f>
        <v>#REF!</v>
      </c>
      <c r="Q2" s="867" t="str">
        <f>IF(ISBLANK('Compte de résultat'!F4)," ",'Compte de résultat'!R4)</f>
        <v xml:space="preserve"> </v>
      </c>
      <c r="R2" s="868" t="e">
        <f>IF(ISBLANK('Compte de résultat'!#REF!)," ",'Compte de résultat'!#REF!)</f>
        <v>#REF!</v>
      </c>
    </row>
    <row r="3" spans="2:19" ht="18" customHeight="1">
      <c r="B3" s="1124" t="s">
        <v>121</v>
      </c>
      <c r="C3" s="1125"/>
      <c r="E3" s="850" t="str">
        <f>IF(ISBLANK(durée_1)," ",durée_1)</f>
        <v xml:space="preserve"> </v>
      </c>
      <c r="F3" s="851"/>
      <c r="H3" s="850" t="str">
        <f>IF(ISBLANK(durée_2)," ",durée_2)</f>
        <v xml:space="preserve"> </v>
      </c>
      <c r="I3" s="851"/>
      <c r="K3" s="850" t="str">
        <f>IF(ISBLANK(durée_3)," ",durée_3)</f>
        <v xml:space="preserve"> </v>
      </c>
      <c r="L3" s="851"/>
      <c r="N3" s="850" t="str">
        <f>IF(ISBLANK(durée_4)," ",durée_4)</f>
        <v xml:space="preserve"> </v>
      </c>
      <c r="O3" s="851"/>
      <c r="Q3" s="850" t="str">
        <f>IF(ISBLANK(durée_5)," ",durée_5)</f>
        <v xml:space="preserve"> </v>
      </c>
      <c r="R3" s="851"/>
    </row>
    <row r="4" spans="2:19" ht="6" customHeight="1"/>
    <row r="5" spans="2:19" s="488" customFormat="1" ht="21.9" customHeight="1">
      <c r="B5" s="1134" t="s">
        <v>3</v>
      </c>
      <c r="C5" s="1135"/>
      <c r="D5" s="539"/>
      <c r="E5" s="1115" t="s">
        <v>3</v>
      </c>
      <c r="F5" s="1116"/>
      <c r="G5" s="539"/>
      <c r="H5" s="1115" t="s">
        <v>3</v>
      </c>
      <c r="I5" s="1116"/>
      <c r="J5" s="539"/>
      <c r="K5" s="1115" t="s">
        <v>3</v>
      </c>
      <c r="L5" s="1116"/>
      <c r="M5" s="539"/>
      <c r="N5" s="1115" t="s">
        <v>3</v>
      </c>
      <c r="O5" s="1116"/>
      <c r="P5" s="539"/>
      <c r="Q5" s="1115" t="s">
        <v>3</v>
      </c>
      <c r="R5" s="1116"/>
    </row>
    <row r="6" spans="2:19" ht="3" customHeight="1">
      <c r="B6" s="552"/>
      <c r="C6" s="552"/>
    </row>
    <row r="7" spans="2:19" ht="20.100000000000001" customHeight="1">
      <c r="B7" s="1136" t="s">
        <v>126</v>
      </c>
      <c r="C7" s="1137"/>
      <c r="E7" s="553">
        <f>SUM(E8:E10)</f>
        <v>0</v>
      </c>
      <c r="F7" s="540" t="str">
        <f>IF(ISERROR(E7/E21)," ",E7/E21)</f>
        <v xml:space="preserve"> </v>
      </c>
      <c r="G7" s="541"/>
      <c r="H7" s="553">
        <f>SUM(H8:H10)</f>
        <v>0</v>
      </c>
      <c r="I7" s="540" t="str">
        <f>IF(ISERROR(H7/H21)," ",H7/H21)</f>
        <v xml:space="preserve"> </v>
      </c>
      <c r="J7" s="541"/>
      <c r="K7" s="553">
        <f>SUM(K8:K10)</f>
        <v>0</v>
      </c>
      <c r="L7" s="540" t="str">
        <f>IF(ISERROR(K7/K21)," ",K7/K21)</f>
        <v xml:space="preserve"> </v>
      </c>
      <c r="M7" s="541"/>
      <c r="N7" s="553">
        <f>SUM(N8:N10)</f>
        <v>0</v>
      </c>
      <c r="O7" s="540" t="str">
        <f>IF(ISERROR(N7/N21)," ",N7/N21)</f>
        <v xml:space="preserve"> </v>
      </c>
      <c r="P7" s="541"/>
      <c r="Q7" s="553">
        <f>SUM(Q8:Q10)</f>
        <v>0</v>
      </c>
      <c r="R7" s="540" t="str">
        <f>IF(ISERROR(Q7/Q21)," ",Q7/Q21)</f>
        <v xml:space="preserve"> </v>
      </c>
    </row>
    <row r="8" spans="2:19" ht="20.100000000000001" customHeight="1">
      <c r="B8" s="1129" t="s">
        <v>246</v>
      </c>
      <c r="C8" s="1130"/>
      <c r="E8" s="554">
        <f>Investissements!H73</f>
        <v>0</v>
      </c>
      <c r="F8" s="542" t="str">
        <f>IF(ISERROR(E8/E7)," ",E8/E7)</f>
        <v xml:space="preserve"> </v>
      </c>
      <c r="G8" s="543"/>
      <c r="H8" s="554">
        <f>Investissements!K73</f>
        <v>0</v>
      </c>
      <c r="I8" s="542" t="str">
        <f>IF(ISERROR(H8/H7)," ",H8/H7)</f>
        <v xml:space="preserve"> </v>
      </c>
      <c r="J8" s="543"/>
      <c r="K8" s="554">
        <f>Investissements!N73</f>
        <v>0</v>
      </c>
      <c r="L8" s="542" t="str">
        <f>IF(ISERROR(K8/K7)," ",K8/K7)</f>
        <v xml:space="preserve"> </v>
      </c>
      <c r="M8" s="543"/>
      <c r="N8" s="554">
        <f>Investissements!Q73</f>
        <v>0</v>
      </c>
      <c r="O8" s="542" t="str">
        <f>IF(ISERROR(N8/N7)," ",N8/N7)</f>
        <v xml:space="preserve"> </v>
      </c>
      <c r="P8" s="543"/>
      <c r="Q8" s="554">
        <f>Investissements!T73</f>
        <v>0</v>
      </c>
      <c r="R8" s="542" t="str">
        <f>IF(ISERROR(Q8/Q7)," ",Q8/Q7)</f>
        <v xml:space="preserve"> </v>
      </c>
      <c r="S8" s="570"/>
    </row>
    <row r="9" spans="2:19" ht="20.100000000000001" customHeight="1">
      <c r="B9" s="1120" t="s">
        <v>247</v>
      </c>
      <c r="C9" s="1121"/>
      <c r="E9" s="555">
        <f>Investissements!H74</f>
        <v>0</v>
      </c>
      <c r="F9" s="544" t="str">
        <f>IF(ISERROR(E9/E7)," ",E9/E7)</f>
        <v xml:space="preserve"> </v>
      </c>
      <c r="G9" s="543"/>
      <c r="H9" s="555">
        <f>Investissements!K74</f>
        <v>0</v>
      </c>
      <c r="I9" s="544" t="str">
        <f>IF(ISERROR(H9/H7)," ",H9/H7)</f>
        <v xml:space="preserve"> </v>
      </c>
      <c r="J9" s="543"/>
      <c r="K9" s="555">
        <f>Investissements!N74</f>
        <v>0</v>
      </c>
      <c r="L9" s="544" t="str">
        <f>IF(ISERROR(K9/K7)," ",K9/K7)</f>
        <v xml:space="preserve"> </v>
      </c>
      <c r="M9" s="543"/>
      <c r="N9" s="555">
        <f>Investissements!Q74</f>
        <v>0</v>
      </c>
      <c r="O9" s="544" t="str">
        <f>IF(ISERROR(N9/N7)," ",N9/N7)</f>
        <v xml:space="preserve"> </v>
      </c>
      <c r="P9" s="543"/>
      <c r="Q9" s="555">
        <f>Investissements!T74</f>
        <v>0</v>
      </c>
      <c r="R9" s="544" t="str">
        <f>IF(ISERROR(Q9/Q7)," ",Q9/Q7)</f>
        <v xml:space="preserve"> </v>
      </c>
      <c r="S9" s="570"/>
    </row>
    <row r="10" spans="2:19" ht="20.100000000000001" customHeight="1">
      <c r="B10" s="1128" t="s">
        <v>248</v>
      </c>
      <c r="C10" s="1131"/>
      <c r="E10" s="556">
        <f>Investissements!H75</f>
        <v>0</v>
      </c>
      <c r="F10" s="545" t="str">
        <f>IF(ISERROR(E10/E7)," ",E10/E7)</f>
        <v xml:space="preserve"> </v>
      </c>
      <c r="G10" s="543"/>
      <c r="H10" s="556">
        <f>Investissements!K75</f>
        <v>0</v>
      </c>
      <c r="I10" s="545" t="str">
        <f>IF(ISERROR(H10/H7)," ",H10/H7)</f>
        <v xml:space="preserve"> </v>
      </c>
      <c r="J10" s="543"/>
      <c r="K10" s="556">
        <f>Investissements!N75</f>
        <v>0</v>
      </c>
      <c r="L10" s="545" t="str">
        <f>IF(ISERROR(K10/K7)," ",K10/K7)</f>
        <v xml:space="preserve"> </v>
      </c>
      <c r="M10" s="543"/>
      <c r="N10" s="556">
        <f>Investissements!Q75</f>
        <v>0</v>
      </c>
      <c r="O10" s="545" t="str">
        <f>IF(ISERROR(N10/N7)," ",N10/N7)</f>
        <v xml:space="preserve"> </v>
      </c>
      <c r="P10" s="543"/>
      <c r="Q10" s="556">
        <f>Investissements!T75</f>
        <v>0</v>
      </c>
      <c r="R10" s="545" t="str">
        <f>IF(ISERROR(Q10/Q7)," ",Q10/Q7)</f>
        <v xml:space="preserve"> </v>
      </c>
      <c r="S10" s="570"/>
    </row>
    <row r="11" spans="2:19" ht="20.100000000000001" customHeight="1">
      <c r="B11" s="1138" t="s">
        <v>232</v>
      </c>
      <c r="C11" s="1139"/>
      <c r="E11" s="557">
        <f>SUM(E12:E14)</f>
        <v>0</v>
      </c>
      <c r="F11" s="546" t="str">
        <f>IF(ISERROR(E11/E21)," ",E11/E21)</f>
        <v xml:space="preserve"> </v>
      </c>
      <c r="G11" s="541"/>
      <c r="H11" s="557">
        <f>SUM(H12:H14)</f>
        <v>0</v>
      </c>
      <c r="I11" s="546" t="str">
        <f>IF(ISERROR(H11/H21)," ",H11/H21)</f>
        <v xml:space="preserve"> </v>
      </c>
      <c r="J11" s="541"/>
      <c r="K11" s="557">
        <f>SUM(K12:K14)</f>
        <v>0</v>
      </c>
      <c r="L11" s="546" t="str">
        <f>IF(ISERROR(K11/K21)," ",K11/K21)</f>
        <v xml:space="preserve"> </v>
      </c>
      <c r="M11" s="541"/>
      <c r="N11" s="557">
        <f>SUM(N12:N14)</f>
        <v>0</v>
      </c>
      <c r="O11" s="546" t="str">
        <f>IF(ISERROR(N11/N21)," ",N11/N21)</f>
        <v xml:space="preserve"> </v>
      </c>
      <c r="P11" s="541"/>
      <c r="Q11" s="557">
        <f>SUM(Q12:Q14)</f>
        <v>0</v>
      </c>
      <c r="R11" s="546" t="str">
        <f>IF(ISERROR(Q11/Q21)," ",Q11/Q21)</f>
        <v xml:space="preserve"> </v>
      </c>
    </row>
    <row r="12" spans="2:19" ht="20.100000000000001" customHeight="1">
      <c r="B12" s="1129" t="s">
        <v>249</v>
      </c>
      <c r="C12" s="1130"/>
      <c r="E12" s="554">
        <f>Investissements!I73</f>
        <v>0</v>
      </c>
      <c r="F12" s="542" t="str">
        <f>IF(ISERROR(E12/E11)," ",E12/E11)</f>
        <v xml:space="preserve"> </v>
      </c>
      <c r="G12" s="543"/>
      <c r="H12" s="554">
        <f>Investissements!L73</f>
        <v>0</v>
      </c>
      <c r="I12" s="542" t="str">
        <f>IF(ISERROR(H12/H11)," ",H12/H11)</f>
        <v xml:space="preserve"> </v>
      </c>
      <c r="J12" s="543"/>
      <c r="K12" s="554">
        <f>Investissements!O73</f>
        <v>0</v>
      </c>
      <c r="L12" s="542" t="str">
        <f>IF(ISERROR(K12/K11)," ",K12/K11)</f>
        <v xml:space="preserve"> </v>
      </c>
      <c r="M12" s="543"/>
      <c r="N12" s="554">
        <f>Investissements!R73</f>
        <v>0</v>
      </c>
      <c r="O12" s="542" t="str">
        <f>IF(ISERROR(N12/N11)," ",N12/N11)</f>
        <v xml:space="preserve"> </v>
      </c>
      <c r="P12" s="543"/>
      <c r="Q12" s="554">
        <f>Investissements!U73</f>
        <v>0</v>
      </c>
      <c r="R12" s="542" t="str">
        <f>IF(ISERROR(Q12/Q11)," ",Q12/Q11)</f>
        <v xml:space="preserve"> </v>
      </c>
    </row>
    <row r="13" spans="2:19" ht="20.100000000000001" customHeight="1">
      <c r="B13" s="1120" t="s">
        <v>250</v>
      </c>
      <c r="C13" s="1121"/>
      <c r="E13" s="555">
        <f>Investissements!I74</f>
        <v>0</v>
      </c>
      <c r="F13" s="544" t="str">
        <f>IF(ISERROR(E13/E11)," ",E13/E11)</f>
        <v xml:space="preserve"> </v>
      </c>
      <c r="G13" s="543"/>
      <c r="H13" s="555">
        <f>Investissements!L74</f>
        <v>0</v>
      </c>
      <c r="I13" s="544" t="str">
        <f>IF(ISERROR(H13/H11)," ",H13/H11)</f>
        <v xml:space="preserve"> </v>
      </c>
      <c r="J13" s="543"/>
      <c r="K13" s="555">
        <f>Investissements!O74</f>
        <v>0</v>
      </c>
      <c r="L13" s="544" t="str">
        <f>IF(ISERROR(K13/K11)," ",K13/K11)</f>
        <v xml:space="preserve"> </v>
      </c>
      <c r="M13" s="543"/>
      <c r="N13" s="555">
        <f>Investissements!R74</f>
        <v>0</v>
      </c>
      <c r="O13" s="544" t="str">
        <f>IF(ISERROR(N13/N11)," ",N13/N11)</f>
        <v xml:space="preserve"> </v>
      </c>
      <c r="P13" s="543"/>
      <c r="Q13" s="555">
        <f>Investissements!U74</f>
        <v>0</v>
      </c>
      <c r="R13" s="544" t="str">
        <f>IF(ISERROR(Q13/Q11)," ",Q13/Q11)</f>
        <v xml:space="preserve"> </v>
      </c>
    </row>
    <row r="14" spans="2:19" ht="20.100000000000001" customHeight="1">
      <c r="B14" s="1128" t="s">
        <v>251</v>
      </c>
      <c r="C14" s="1131"/>
      <c r="E14" s="556">
        <f>Investissements!I75</f>
        <v>0</v>
      </c>
      <c r="F14" s="545" t="str">
        <f>IF(ISERROR(E14/E11)," ",E14/E11)</f>
        <v xml:space="preserve"> </v>
      </c>
      <c r="G14" s="543"/>
      <c r="H14" s="556">
        <f>Investissements!L75</f>
        <v>0</v>
      </c>
      <c r="I14" s="545" t="str">
        <f>IF(ISERROR(H14/H11)," ",H14/H11)</f>
        <v xml:space="preserve"> </v>
      </c>
      <c r="J14" s="543"/>
      <c r="K14" s="556">
        <f>Investissements!O75</f>
        <v>0</v>
      </c>
      <c r="L14" s="545" t="str">
        <f>IF(ISERROR(K14/K11)," ",K14/K11)</f>
        <v xml:space="preserve"> </v>
      </c>
      <c r="M14" s="543"/>
      <c r="N14" s="556">
        <f>Investissements!R75</f>
        <v>0</v>
      </c>
      <c r="O14" s="545" t="str">
        <f>IF(ISERROR(N14/N11)," ",N14/N11)</f>
        <v xml:space="preserve"> </v>
      </c>
      <c r="P14" s="543"/>
      <c r="Q14" s="556">
        <f>Investissements!U75</f>
        <v>0</v>
      </c>
      <c r="R14" s="545" t="str">
        <f>IF(ISERROR(Q14/Q11)," ",Q14/Q11)</f>
        <v xml:space="preserve"> </v>
      </c>
    </row>
    <row r="15" spans="2:19" ht="20.100000000000001" customHeight="1">
      <c r="B15" s="1128" t="s">
        <v>113</v>
      </c>
      <c r="C15" s="624" t="s">
        <v>254</v>
      </c>
      <c r="E15" s="555">
        <f>IF(sté_existante="oui",0,bfr_1)</f>
        <v>0</v>
      </c>
      <c r="F15" s="545" t="str">
        <f>IF(ISERROR(IF(E15=0," ",E15/E21))," ",IF(E15=0," ",E15/E21))</f>
        <v xml:space="preserve"> </v>
      </c>
      <c r="G15" s="543"/>
      <c r="H15" s="561"/>
      <c r="I15" s="547"/>
      <c r="J15" s="543"/>
      <c r="K15" s="627"/>
      <c r="L15" s="628"/>
      <c r="M15" s="543"/>
      <c r="N15" s="627"/>
      <c r="O15" s="630"/>
      <c r="P15" s="543"/>
      <c r="Q15" s="627"/>
      <c r="R15" s="628"/>
    </row>
    <row r="16" spans="2:19" ht="20.100000000000001" customHeight="1">
      <c r="B16" s="1129"/>
      <c r="C16" s="624" t="s">
        <v>255</v>
      </c>
      <c r="E16" s="625">
        <f>IF(sté_existante="oui",bfr_1-bfr_0,0)</f>
        <v>0</v>
      </c>
      <c r="F16" s="626" t="str">
        <f>IF(ISERROR(E16/E21)," ",E16/E21)</f>
        <v xml:space="preserve"> </v>
      </c>
      <c r="G16" s="543"/>
      <c r="H16" s="625">
        <f>bfr_2-bfr_1</f>
        <v>0</v>
      </c>
      <c r="I16" s="549" t="str">
        <f>IF(ISERROR(H16/H21)," ",H16/H21)</f>
        <v xml:space="preserve"> </v>
      </c>
      <c r="J16" s="543"/>
      <c r="K16" s="625">
        <f>bfr_3-bfr_2</f>
        <v>0</v>
      </c>
      <c r="L16" s="629" t="str">
        <f>IF(ISERROR(K16/K21)," ",K16/K21)</f>
        <v xml:space="preserve"> </v>
      </c>
      <c r="M16" s="543"/>
      <c r="N16" s="625">
        <f>bfr_4-bfr_3</f>
        <v>0</v>
      </c>
      <c r="O16" s="549" t="str">
        <f>IF(ISERROR(N16/N21)," ",N16/N21)</f>
        <v xml:space="preserve"> </v>
      </c>
      <c r="P16" s="543"/>
      <c r="Q16" s="625">
        <f>bfr_5-bfr_4</f>
        <v>0</v>
      </c>
      <c r="R16" s="629" t="str">
        <f>IF(ISERROR(Q16/Q21)," ",Q16/Q21)</f>
        <v xml:space="preserve"> </v>
      </c>
    </row>
    <row r="17" spans="2:20" ht="20.100000000000001" customHeight="1">
      <c r="B17" s="1153" t="s">
        <v>154</v>
      </c>
      <c r="C17" s="1154"/>
      <c r="E17" s="554">
        <f>IF(caf_1&gt;0,0,caf_1/-1)</f>
        <v>0</v>
      </c>
      <c r="F17" s="548" t="str">
        <f>IF(ISERROR(E17/E21)," ",E17/E21)</f>
        <v xml:space="preserve"> </v>
      </c>
      <c r="G17" s="543"/>
      <c r="H17" s="554">
        <f>IF(caf_2&gt;0,0,caf_2/-1)</f>
        <v>0</v>
      </c>
      <c r="I17" s="548" t="str">
        <f>IF(ISERROR(H17/H21)," ",H17/H21)</f>
        <v xml:space="preserve"> </v>
      </c>
      <c r="J17" s="543"/>
      <c r="K17" s="554">
        <f>IF(caf_3&gt;0,0,caf_3/-1)</f>
        <v>0</v>
      </c>
      <c r="L17" s="548" t="str">
        <f>IF(ISERROR(K17/K21)," ",K17/K21)</f>
        <v xml:space="preserve"> </v>
      </c>
      <c r="M17" s="543"/>
      <c r="N17" s="554">
        <f>IF(caf_4&gt;0,0,caf_4/-1)</f>
        <v>0</v>
      </c>
      <c r="O17" s="548" t="str">
        <f>IF(ISERROR(N17/N21)," ",N17/N21)</f>
        <v xml:space="preserve"> </v>
      </c>
      <c r="P17" s="543"/>
      <c r="Q17" s="554">
        <f>IF(caf_5&gt;0,0,caf_5/-1)</f>
        <v>0</v>
      </c>
      <c r="R17" s="548" t="str">
        <f>IF(ISERROR(Q17/Q21)," ",Q17/Q21)</f>
        <v xml:space="preserve"> </v>
      </c>
    </row>
    <row r="18" spans="2:20" ht="20.100000000000001" customHeight="1">
      <c r="B18" s="1120" t="s">
        <v>127</v>
      </c>
      <c r="C18" s="1121"/>
      <c r="E18" s="558"/>
      <c r="F18" s="549" t="str">
        <f>IF(ISERROR(E18/E21)," ",E18/E21)</f>
        <v xml:space="preserve"> </v>
      </c>
      <c r="G18" s="543"/>
      <c r="H18" s="562"/>
      <c r="I18" s="549" t="str">
        <f>IF(ISERROR(H18/H21)," ",H18/H21)</f>
        <v xml:space="preserve"> </v>
      </c>
      <c r="J18" s="543"/>
      <c r="K18" s="562"/>
      <c r="L18" s="549" t="str">
        <f>IF(ISERROR(K18/K21)," ",K18/K21)</f>
        <v xml:space="preserve"> </v>
      </c>
      <c r="M18" s="543"/>
      <c r="N18" s="562"/>
      <c r="O18" s="549" t="str">
        <f>IF(ISERROR(N18/N21)," ",N18/N21)</f>
        <v xml:space="preserve"> </v>
      </c>
      <c r="P18" s="543"/>
      <c r="Q18" s="562"/>
      <c r="R18" s="549" t="str">
        <f>IF(ISERROR(Q18/Q21)," ",Q18/Q21)</f>
        <v xml:space="preserve"> </v>
      </c>
    </row>
    <row r="19" spans="2:20" ht="20.100000000000001" customHeight="1">
      <c r="B19" s="1120" t="s">
        <v>156</v>
      </c>
      <c r="C19" s="1121"/>
      <c r="E19" s="558"/>
      <c r="F19" s="549" t="str">
        <f>IF(ISERROR(E19/E21)," ",E19/E21)</f>
        <v xml:space="preserve"> </v>
      </c>
      <c r="G19" s="543"/>
      <c r="H19" s="562"/>
      <c r="I19" s="549" t="str">
        <f>IF(ISERROR(H19/H21)," ",H19/H21)</f>
        <v xml:space="preserve"> </v>
      </c>
      <c r="J19" s="543"/>
      <c r="K19" s="562"/>
      <c r="L19" s="549" t="str">
        <f>IF(ISERROR(K19/K21)," ",K19/K21)</f>
        <v xml:space="preserve"> </v>
      </c>
      <c r="M19" s="543"/>
      <c r="N19" s="562"/>
      <c r="O19" s="549" t="str">
        <f>IF(ISERROR(N19/N21)," ",N19/N21)</f>
        <v xml:space="preserve"> </v>
      </c>
      <c r="P19" s="543"/>
      <c r="Q19" s="562"/>
      <c r="R19" s="549" t="str">
        <f>IF(ISERROR(Q19/Q21)," ",Q19/Q21)</f>
        <v xml:space="preserve"> </v>
      </c>
    </row>
    <row r="20" spans="2:20" ht="20.100000000000001" customHeight="1">
      <c r="B20" s="1153" t="s">
        <v>157</v>
      </c>
      <c r="C20" s="1154"/>
      <c r="E20" s="559"/>
      <c r="F20" s="548" t="str">
        <f>IF(ISERROR(E20/E21)," ",E20/E21)</f>
        <v xml:space="preserve"> </v>
      </c>
      <c r="G20" s="543"/>
      <c r="H20" s="563"/>
      <c r="I20" s="548" t="str">
        <f>IF(ISERROR(H20/H21)," ",H20/H21)</f>
        <v xml:space="preserve"> </v>
      </c>
      <c r="J20" s="543"/>
      <c r="K20" s="563"/>
      <c r="L20" s="548" t="str">
        <f>IF(ISERROR(K20/K21)," ",K20/K21)</f>
        <v xml:space="preserve"> </v>
      </c>
      <c r="M20" s="543"/>
      <c r="N20" s="563"/>
      <c r="O20" s="548" t="str">
        <f>IF(ISERROR(N20/N21)," ",N20/N21)</f>
        <v xml:space="preserve"> </v>
      </c>
      <c r="P20" s="543"/>
      <c r="Q20" s="563"/>
      <c r="R20" s="548" t="str">
        <f>IF(ISERROR(Q20/Q21)," ",Q20/Q21)</f>
        <v xml:space="preserve"> </v>
      </c>
    </row>
    <row r="21" spans="2:20" ht="21.9" customHeight="1">
      <c r="B21" s="1118" t="s">
        <v>135</v>
      </c>
      <c r="C21" s="1119"/>
      <c r="E21" s="560">
        <f>E7+E11+E15+E16+E17+E18+E19+E20</f>
        <v>0</v>
      </c>
      <c r="F21" s="550" t="str">
        <f>IF(E21&lt;&gt;0,100%," ")</f>
        <v xml:space="preserve"> </v>
      </c>
      <c r="G21" s="543"/>
      <c r="H21" s="560">
        <f>H7+H11+H16+H17+H18+H19+H20</f>
        <v>0</v>
      </c>
      <c r="I21" s="551" t="str">
        <f>IF(H21&lt;&gt;0,100%," ")</f>
        <v xml:space="preserve"> </v>
      </c>
      <c r="J21" s="543"/>
      <c r="K21" s="560">
        <f>K7+K11+K16+K17+K18+K19+K20</f>
        <v>0</v>
      </c>
      <c r="L21" s="551" t="str">
        <f>IF(K21&lt;&gt;0,100%," ")</f>
        <v xml:space="preserve"> </v>
      </c>
      <c r="M21" s="543"/>
      <c r="N21" s="560">
        <f>N7+N11+N16+N17+N18+N19+N20</f>
        <v>0</v>
      </c>
      <c r="O21" s="551" t="str">
        <f>IF(N21&lt;&gt;0,100%," ")</f>
        <v xml:space="preserve"> </v>
      </c>
      <c r="P21" s="543"/>
      <c r="Q21" s="560">
        <f>Q7+Q11+Q16+Q17+Q18+Q19+Q20</f>
        <v>0</v>
      </c>
      <c r="R21" s="551" t="str">
        <f>IF(Q21&lt;&gt;0,100%," ")</f>
        <v xml:space="preserve"> </v>
      </c>
    </row>
    <row r="22" spans="2:20" ht="9" customHeight="1"/>
    <row r="23" spans="2:20" s="488" customFormat="1" ht="21.9" customHeight="1">
      <c r="B23" s="1126" t="s">
        <v>4</v>
      </c>
      <c r="C23" s="1127"/>
      <c r="D23" s="463"/>
      <c r="E23" s="1113" t="s">
        <v>4</v>
      </c>
      <c r="F23" s="1114"/>
      <c r="G23" s="463"/>
      <c r="H23" s="1113" t="s">
        <v>4</v>
      </c>
      <c r="I23" s="1114"/>
      <c r="J23" s="463"/>
      <c r="K23" s="1113" t="s">
        <v>4</v>
      </c>
      <c r="L23" s="1114"/>
      <c r="M23" s="463"/>
      <c r="N23" s="1113" t="s">
        <v>4</v>
      </c>
      <c r="O23" s="1114"/>
      <c r="P23" s="463"/>
      <c r="Q23" s="1113" t="s">
        <v>4</v>
      </c>
      <c r="R23" s="1114"/>
    </row>
    <row r="24" spans="2:20" ht="3" customHeight="1"/>
    <row r="25" spans="2:20" ht="20.100000000000001" customHeight="1">
      <c r="B25" s="1122" t="s">
        <v>252</v>
      </c>
      <c r="C25" s="1123"/>
      <c r="E25" s="614">
        <f>IF(ISERROR(nature),0,nature)</f>
        <v>0</v>
      </c>
      <c r="F25" s="256" t="str">
        <f>IF(ISERROR(E25/E27)," ",E25/E27)</f>
        <v xml:space="preserve"> </v>
      </c>
      <c r="H25" s="567"/>
      <c r="I25" s="256" t="str">
        <f>IF(ISERROR(H25/H27)," ",H25/H27)</f>
        <v xml:space="preserve"> </v>
      </c>
      <c r="K25" s="567"/>
      <c r="L25" s="256" t="str">
        <f>IF(ISERROR(K25/K27)," ",K25/K27)</f>
        <v xml:space="preserve"> </v>
      </c>
      <c r="N25" s="567"/>
      <c r="O25" s="256" t="str">
        <f>IF(ISERROR(N25/N27)," ",N25/N27)</f>
        <v xml:space="preserve"> </v>
      </c>
      <c r="Q25" s="567"/>
      <c r="R25" s="256" t="str">
        <f>IF(ISERROR(Q25/Q27)," ",Q25/Q27)</f>
        <v xml:space="preserve"> </v>
      </c>
      <c r="T25" s="564"/>
    </row>
    <row r="26" spans="2:20" ht="20.100000000000001" customHeight="1">
      <c r="B26" s="1150" t="s">
        <v>253</v>
      </c>
      <c r="C26" s="1151"/>
      <c r="E26" s="583"/>
      <c r="F26" s="584" t="str">
        <f>IF(ISERROR(E26/E27)," ",E26/E27)</f>
        <v xml:space="preserve"> </v>
      </c>
      <c r="H26" s="585"/>
      <c r="I26" s="584" t="str">
        <f>IF(ISERROR(H26/H27)," ",H26/H27)</f>
        <v xml:space="preserve"> </v>
      </c>
      <c r="K26" s="585"/>
      <c r="L26" s="584" t="str">
        <f>IF(ISERROR(K26/K27)," ",K26/K27)</f>
        <v xml:space="preserve"> </v>
      </c>
      <c r="N26" s="585"/>
      <c r="O26" s="584" t="str">
        <f>IF(ISERROR(N26/N27)," ",N26/N27)</f>
        <v xml:space="preserve"> </v>
      </c>
      <c r="Q26" s="585"/>
      <c r="R26" s="584" t="str">
        <f>IF(ISERROR(Q26/Q27)," ",Q26/Q27)</f>
        <v xml:space="preserve"> </v>
      </c>
    </row>
    <row r="27" spans="2:20" ht="20.100000000000001" customHeight="1">
      <c r="B27" s="1156" t="s">
        <v>129</v>
      </c>
      <c r="C27" s="1157"/>
      <c r="D27" s="252"/>
      <c r="E27" s="586">
        <f>SUM(E25:E26)</f>
        <v>0</v>
      </c>
      <c r="F27" s="587" t="str">
        <f>IF(ISERROR(E27/E36)," ",E27/E36)</f>
        <v xml:space="preserve"> </v>
      </c>
      <c r="G27" s="252"/>
      <c r="H27" s="586">
        <f>SUM(H25:H26)</f>
        <v>0</v>
      </c>
      <c r="I27" s="587"/>
      <c r="J27" s="252"/>
      <c r="K27" s="586">
        <f>SUM(K25:K26)</f>
        <v>0</v>
      </c>
      <c r="L27" s="588"/>
      <c r="M27" s="252"/>
      <c r="N27" s="586">
        <f>SUM(N25:N26)</f>
        <v>0</v>
      </c>
      <c r="O27" s="587"/>
      <c r="P27" s="252"/>
      <c r="Q27" s="586">
        <f>SUM(Q25:Q26)</f>
        <v>0</v>
      </c>
      <c r="R27" s="588"/>
      <c r="S27" s="571"/>
      <c r="T27" s="572"/>
    </row>
    <row r="28" spans="2:20" ht="20.100000000000001" customHeight="1">
      <c r="B28" s="1148" t="s">
        <v>130</v>
      </c>
      <c r="C28" s="1155"/>
      <c r="E28" s="253">
        <f>cession_1</f>
        <v>0</v>
      </c>
      <c r="F28" s="255" t="str">
        <f>IF(ISERROR(E28/E36)," ",E28/E36)</f>
        <v xml:space="preserve"> </v>
      </c>
      <c r="H28" s="568">
        <f>cession_2</f>
        <v>0</v>
      </c>
      <c r="I28" s="255" t="str">
        <f>IF(ISERROR(H28/H36)," ",H28/H36)</f>
        <v xml:space="preserve"> </v>
      </c>
      <c r="K28" s="568">
        <f>cession_3</f>
        <v>0</v>
      </c>
      <c r="L28" s="255" t="str">
        <f>IF(ISERROR(K28/K36)," ",K28/K36)</f>
        <v xml:space="preserve"> </v>
      </c>
      <c r="N28" s="568">
        <f>cession_2</f>
        <v>0</v>
      </c>
      <c r="O28" s="255" t="str">
        <f>IF(ISERROR(N28/N36)," ",N28/N36)</f>
        <v xml:space="preserve"> </v>
      </c>
      <c r="Q28" s="568">
        <f>cession_3</f>
        <v>0</v>
      </c>
      <c r="R28" s="255" t="str">
        <f>IF(ISERROR(Q28/Q36)," ",Q28/Q36)</f>
        <v xml:space="preserve"> </v>
      </c>
      <c r="S28" s="571"/>
      <c r="T28" s="572"/>
    </row>
    <row r="29" spans="2:20" ht="20.100000000000001" customHeight="1">
      <c r="B29" s="1146" t="s">
        <v>128</v>
      </c>
      <c r="C29" s="1147"/>
      <c r="E29" s="565"/>
      <c r="F29" s="254" t="str">
        <f>IF(ISERROR(E29/E36)," ",E29/E36)</f>
        <v xml:space="preserve"> </v>
      </c>
      <c r="H29" s="569"/>
      <c r="I29" s="254" t="str">
        <f>IF(ISERROR(H29/H36)," ",H29/H36)</f>
        <v xml:space="preserve"> </v>
      </c>
      <c r="K29" s="569"/>
      <c r="L29" s="254" t="str">
        <f>IF(ISERROR(K29/K36)," ",K29/K36)</f>
        <v xml:space="preserve"> </v>
      </c>
      <c r="N29" s="569"/>
      <c r="O29" s="254" t="str">
        <f>IF(ISERROR(N29/N36)," ",N29/N36)</f>
        <v xml:space="preserve"> </v>
      </c>
      <c r="Q29" s="569"/>
      <c r="R29" s="254" t="str">
        <f>IF(ISERROR(Q29/Q36)," ",Q29/Q36)</f>
        <v xml:space="preserve"> </v>
      </c>
    </row>
    <row r="30" spans="2:20" ht="20.100000000000001" customHeight="1">
      <c r="B30" s="1146" t="s">
        <v>131</v>
      </c>
      <c r="C30" s="1147"/>
      <c r="E30" s="565"/>
      <c r="F30" s="254" t="str">
        <f>IF(ISERROR(E30/E36)," ",E30/E36)</f>
        <v xml:space="preserve"> </v>
      </c>
      <c r="H30" s="569"/>
      <c r="I30" s="254" t="str">
        <f>IF(ISERROR(H30/H36)," ",H30/H36)</f>
        <v xml:space="preserve"> </v>
      </c>
      <c r="K30" s="569"/>
      <c r="L30" s="254" t="str">
        <f>IF(ISERROR(K30/K36)," ",K30/K36)</f>
        <v xml:space="preserve"> </v>
      </c>
      <c r="N30" s="569"/>
      <c r="O30" s="254" t="str">
        <f>IF(ISERROR(N30/N36)," ",N30/N36)</f>
        <v xml:space="preserve"> </v>
      </c>
      <c r="Q30" s="569"/>
      <c r="R30" s="254" t="str">
        <f>IF(ISERROR(Q30/Q36)," ",Q30/Q36)</f>
        <v xml:space="preserve"> </v>
      </c>
    </row>
    <row r="31" spans="2:20" ht="20.100000000000001" customHeight="1">
      <c r="B31" s="1146" t="s">
        <v>233</v>
      </c>
      <c r="C31" s="1147"/>
      <c r="E31" s="565"/>
      <c r="F31" s="254" t="str">
        <f>IF(ISERROR(E31/E36)," ",E31/E36)</f>
        <v xml:space="preserve"> </v>
      </c>
      <c r="H31" s="569"/>
      <c r="I31" s="254" t="str">
        <f>IF(ISERROR(H31/H36)," ",H31/H36)</f>
        <v xml:space="preserve"> </v>
      </c>
      <c r="K31" s="569"/>
      <c r="L31" s="254" t="str">
        <f>IF(ISERROR(K31/K36)," ",K31/K36)</f>
        <v xml:space="preserve"> </v>
      </c>
      <c r="N31" s="569"/>
      <c r="O31" s="254" t="str">
        <f>IF(ISERROR(N31/N36)," ",N31/N36)</f>
        <v xml:space="preserve"> </v>
      </c>
      <c r="Q31" s="569"/>
      <c r="R31" s="254" t="str">
        <f>IF(ISERROR(Q31/Q36)," ",Q31/Q36)</f>
        <v xml:space="preserve"> </v>
      </c>
    </row>
    <row r="32" spans="2:20" ht="20.100000000000001" customHeight="1">
      <c r="B32" s="1150" t="s">
        <v>124</v>
      </c>
      <c r="C32" s="1151"/>
      <c r="E32" s="566">
        <f>créditbail_1</f>
        <v>0</v>
      </c>
      <c r="F32" s="631" t="str">
        <f>IF(ISERROR(E32/E36)," ",E32/E36)</f>
        <v xml:space="preserve"> </v>
      </c>
      <c r="H32" s="632">
        <f>créditbail_2</f>
        <v>0</v>
      </c>
      <c r="I32" s="631" t="str">
        <f>IF(ISERROR(H32/H36)," ",H32/H36)</f>
        <v xml:space="preserve"> </v>
      </c>
      <c r="K32" s="632">
        <f>créditbail_3</f>
        <v>0</v>
      </c>
      <c r="L32" s="631" t="str">
        <f>IF(ISERROR(K32/K36)," ",K32/K36)</f>
        <v xml:space="preserve"> </v>
      </c>
      <c r="N32" s="632">
        <f>créditbail_4</f>
        <v>0</v>
      </c>
      <c r="O32" s="631" t="str">
        <f>IF(ISERROR(N32/N36)," ",N32/N36)</f>
        <v xml:space="preserve"> </v>
      </c>
      <c r="Q32" s="632">
        <f>créditbail_5</f>
        <v>0</v>
      </c>
      <c r="R32" s="631" t="str">
        <f>IF(ISERROR(Q32/Q36)," ",Q32/Q36)</f>
        <v xml:space="preserve"> </v>
      </c>
    </row>
    <row r="33" spans="2:18" ht="20.100000000000001" customHeight="1">
      <c r="B33" s="1150" t="s">
        <v>158</v>
      </c>
      <c r="C33" s="634" t="s">
        <v>254</v>
      </c>
      <c r="E33" s="635">
        <f>IF(sté_existante="oui",0,dfr_1)</f>
        <v>0</v>
      </c>
      <c r="F33" s="631" t="str">
        <f>IF(ISERROR(IF(E33=0," ",E33/E36))," ",IF(E33=0," ",E33/E36))</f>
        <v xml:space="preserve"> </v>
      </c>
      <c r="H33" s="638"/>
      <c r="I33" s="639"/>
      <c r="K33" s="638"/>
      <c r="L33" s="640"/>
      <c r="N33" s="638"/>
      <c r="O33" s="639"/>
      <c r="Q33" s="638"/>
      <c r="R33" s="640"/>
    </row>
    <row r="34" spans="2:18" ht="20.100000000000001" customHeight="1">
      <c r="B34" s="1152"/>
      <c r="C34" s="634" t="s">
        <v>255</v>
      </c>
      <c r="E34" s="636">
        <f>IF(sté_existante="oui",dfr_1-dfr_0,0)</f>
        <v>0</v>
      </c>
      <c r="F34" s="637" t="str">
        <f>IF(ISERROR(E34/E36)," ",E34/E36)</f>
        <v xml:space="preserve"> </v>
      </c>
      <c r="H34" s="636">
        <f>dfr_2-dfr_1</f>
        <v>0</v>
      </c>
      <c r="I34" s="254" t="str">
        <f>IF(ISERROR(H34/H36)," ",H34/H36)</f>
        <v xml:space="preserve"> </v>
      </c>
      <c r="K34" s="636">
        <f>dfr_3-dfr_2</f>
        <v>0</v>
      </c>
      <c r="L34" s="254" t="str">
        <f>IF(ISERROR(K34/K36)," ",K34/K36)</f>
        <v xml:space="preserve"> </v>
      </c>
      <c r="N34" s="636">
        <f>dfr_4-dfr_3</f>
        <v>0</v>
      </c>
      <c r="O34" s="254" t="str">
        <f>IF(ISERROR(N34/N36)," ",N34/N36)</f>
        <v xml:space="preserve"> </v>
      </c>
      <c r="Q34" s="636">
        <f>dfr_5-dfr_4</f>
        <v>0</v>
      </c>
      <c r="R34" s="254" t="str">
        <f>IF(ISERROR(Q34/Q36)," ",Q34/Q36)</f>
        <v xml:space="preserve"> </v>
      </c>
    </row>
    <row r="35" spans="2:18" ht="20.100000000000001" customHeight="1">
      <c r="B35" s="1148" t="s">
        <v>132</v>
      </c>
      <c r="C35" s="1149"/>
      <c r="E35" s="633">
        <f>IF(caf_1&lt;0,0,caf_1)</f>
        <v>0</v>
      </c>
      <c r="F35" s="255" t="str">
        <f>IF(ISERROR(E35/E36)," ",E35/E36)</f>
        <v xml:space="preserve"> </v>
      </c>
      <c r="H35" s="633">
        <f>IF(caf_2&lt;0,0,caf_2)</f>
        <v>0</v>
      </c>
      <c r="I35" s="255" t="str">
        <f>IF(ISERROR(H35/H36)," ",H35/H36)</f>
        <v xml:space="preserve"> </v>
      </c>
      <c r="K35" s="633">
        <f>IF(caf_3&lt;0,0,caf_3)</f>
        <v>0</v>
      </c>
      <c r="L35" s="255" t="str">
        <f>IF(ISERROR(K35/K36)," ",K35/K36)</f>
        <v xml:space="preserve"> </v>
      </c>
      <c r="N35" s="633">
        <f>IF(caf_4&lt;0,0,caf_4)</f>
        <v>0</v>
      </c>
      <c r="O35" s="255" t="str">
        <f>IF(ISERROR(N35/N36)," ",N35/N36)</f>
        <v xml:space="preserve"> </v>
      </c>
      <c r="Q35" s="633">
        <f>IF(caf_5&lt;0,0,caf_5)</f>
        <v>0</v>
      </c>
      <c r="R35" s="255" t="str">
        <f>IF(ISERROR(Q35/Q36)," ",Q35/Q36)</f>
        <v xml:space="preserve"> </v>
      </c>
    </row>
    <row r="36" spans="2:18" ht="21.9" customHeight="1">
      <c r="B36" s="1140" t="s">
        <v>133</v>
      </c>
      <c r="C36" s="1141"/>
      <c r="E36" s="622">
        <f>SUM(E27:E35)</f>
        <v>0</v>
      </c>
      <c r="F36" s="623" t="str">
        <f>IF(E36&lt;&gt;0,100%," ")</f>
        <v xml:space="preserve"> </v>
      </c>
      <c r="H36" s="622">
        <f>SUM(H27:H35)</f>
        <v>0</v>
      </c>
      <c r="I36" s="623" t="str">
        <f>IF(H36&lt;&gt;0,100%," ")</f>
        <v xml:space="preserve"> </v>
      </c>
      <c r="K36" s="622">
        <f>SUM(K27:K35)</f>
        <v>0</v>
      </c>
      <c r="L36" s="623" t="str">
        <f>IF(K36&lt;&gt;0,100%," ")</f>
        <v xml:space="preserve"> </v>
      </c>
      <c r="N36" s="622">
        <f>SUM(N27:N35)</f>
        <v>0</v>
      </c>
      <c r="O36" s="623" t="str">
        <f>IF(N36&lt;&gt;0,100%," ")</f>
        <v xml:space="preserve"> </v>
      </c>
      <c r="Q36" s="622">
        <f>SUM(Q27:Q35)</f>
        <v>0</v>
      </c>
      <c r="R36" s="623" t="str">
        <f>IF(Q36&lt;&gt;0,100%," ")</f>
        <v xml:space="preserve"> </v>
      </c>
    </row>
    <row r="37" spans="2:18" ht="6" customHeight="1">
      <c r="H37" s="257"/>
      <c r="K37" s="257"/>
      <c r="N37" s="257"/>
      <c r="Q37" s="257"/>
    </row>
    <row r="38" spans="2:18" s="3" customFormat="1" ht="21.9" customHeight="1">
      <c r="B38" s="1142" t="s">
        <v>155</v>
      </c>
      <c r="C38" s="1143"/>
      <c r="D38" s="258"/>
      <c r="E38" s="259">
        <f>E36-E21</f>
        <v>0</v>
      </c>
      <c r="F38" s="260"/>
      <c r="G38" s="258"/>
      <c r="H38" s="261">
        <f>H36-H21</f>
        <v>0</v>
      </c>
      <c r="I38" s="260"/>
      <c r="J38" s="258"/>
      <c r="K38" s="261">
        <f>K36-K21</f>
        <v>0</v>
      </c>
      <c r="L38" s="260"/>
      <c r="M38" s="258"/>
      <c r="N38" s="261">
        <f>N36-N21</f>
        <v>0</v>
      </c>
      <c r="O38" s="260"/>
      <c r="P38" s="258"/>
      <c r="Q38" s="261">
        <f>Q36-Q21</f>
        <v>0</v>
      </c>
      <c r="R38" s="260"/>
    </row>
    <row r="39" spans="2:18" s="3" customFormat="1" ht="21.9" customHeight="1">
      <c r="B39" s="1144" t="s">
        <v>134</v>
      </c>
      <c r="C39" s="1145"/>
      <c r="D39" s="258"/>
      <c r="E39" s="262">
        <f>IF(sté_existante="oui",E38+tr0_positive+tr0_négative,E38)</f>
        <v>0</v>
      </c>
      <c r="F39" s="263"/>
      <c r="G39" s="258"/>
      <c r="H39" s="262">
        <f>E39+H38</f>
        <v>0</v>
      </c>
      <c r="I39" s="263"/>
      <c r="J39" s="258"/>
      <c r="K39" s="262">
        <f>H39+K38</f>
        <v>0</v>
      </c>
      <c r="L39" s="263"/>
      <c r="M39" s="258"/>
      <c r="N39" s="262">
        <f>K39+N38</f>
        <v>0</v>
      </c>
      <c r="O39" s="263"/>
      <c r="P39" s="258"/>
      <c r="Q39" s="262">
        <f>N39+Q38</f>
        <v>0</v>
      </c>
      <c r="R39" s="263"/>
    </row>
  </sheetData>
  <sheetProtection algorithmName="SHA-512" hashValue="EEvrji47BEEMF7nTaxlcRSiHQSry1gWqWHa95wFO5l3PvygnhDO/QIwW5Hb8jrt/G2+Dl7bpaaEi5BnruYKrfw==" saltValue="CIEJ0Rrl8ThheNNCM1141w==" spinCount="100000" sheet="1" formatCells="0" formatColumns="0" formatRows="0" insertColumns="0" insertRows="0" insertHyperlinks="0" deleteColumns="0" deleteRows="0" sort="0" autoFilter="0" pivotTables="0"/>
  <mergeCells count="52">
    <mergeCell ref="E3:F3"/>
    <mergeCell ref="B36:C36"/>
    <mergeCell ref="B38:C38"/>
    <mergeCell ref="B39:C39"/>
    <mergeCell ref="B29:C29"/>
    <mergeCell ref="B30:C30"/>
    <mergeCell ref="B31:C31"/>
    <mergeCell ref="B35:C35"/>
    <mergeCell ref="B32:C32"/>
    <mergeCell ref="B33:B34"/>
    <mergeCell ref="B20:C20"/>
    <mergeCell ref="B17:C17"/>
    <mergeCell ref="B28:C28"/>
    <mergeCell ref="E5:F5"/>
    <mergeCell ref="B27:C27"/>
    <mergeCell ref="B26:C26"/>
    <mergeCell ref="E2:F2"/>
    <mergeCell ref="H2:I2"/>
    <mergeCell ref="K2:L2"/>
    <mergeCell ref="B15:B16"/>
    <mergeCell ref="B8:C8"/>
    <mergeCell ref="B9:C9"/>
    <mergeCell ref="B10:C10"/>
    <mergeCell ref="B2:C2"/>
    <mergeCell ref="B5:C5"/>
    <mergeCell ref="B7:C7"/>
    <mergeCell ref="B11:C11"/>
    <mergeCell ref="B12:C12"/>
    <mergeCell ref="B13:C13"/>
    <mergeCell ref="B14:C14"/>
    <mergeCell ref="H3:I3"/>
    <mergeCell ref="K3:L3"/>
    <mergeCell ref="H5:I5"/>
    <mergeCell ref="K5:L5"/>
    <mergeCell ref="E23:F23"/>
    <mergeCell ref="H23:I23"/>
    <mergeCell ref="K23:L23"/>
    <mergeCell ref="B1:C1"/>
    <mergeCell ref="B21:C21"/>
    <mergeCell ref="B18:C18"/>
    <mergeCell ref="B19:C19"/>
    <mergeCell ref="B25:C25"/>
    <mergeCell ref="B3:C3"/>
    <mergeCell ref="B23:C23"/>
    <mergeCell ref="N23:O23"/>
    <mergeCell ref="Q23:R23"/>
    <mergeCell ref="N2:O2"/>
    <mergeCell ref="Q2:R2"/>
    <mergeCell ref="N3:O3"/>
    <mergeCell ref="Q3:R3"/>
    <mergeCell ref="N5:O5"/>
    <mergeCell ref="Q5:R5"/>
  </mergeCells>
  <phoneticPr fontId="2" type="noConversion"/>
  <conditionalFormatting sqref="F8:F10 F21 F18:F19 F25:F26 F35:F36 F28:F31">
    <cfRule type="cellIs" dxfId="172" priority="139" operator="equal">
      <formula>0</formula>
    </cfRule>
  </conditionalFormatting>
  <conditionalFormatting sqref="L36 I36">
    <cfRule type="cellIs" dxfId="171" priority="138" operator="equal">
      <formula>0</formula>
    </cfRule>
  </conditionalFormatting>
  <conditionalFormatting sqref="F11">
    <cfRule type="cellIs" dxfId="170" priority="134" operator="equal">
      <formula>0</formula>
    </cfRule>
  </conditionalFormatting>
  <conditionalFormatting sqref="F20">
    <cfRule type="cellIs" dxfId="169" priority="133" operator="equal">
      <formula>0</formula>
    </cfRule>
  </conditionalFormatting>
  <conditionalFormatting sqref="F32">
    <cfRule type="cellIs" dxfId="168" priority="132" operator="equal">
      <formula>0</formula>
    </cfRule>
  </conditionalFormatting>
  <conditionalFormatting sqref="F7">
    <cfRule type="cellIs" dxfId="167" priority="131" operator="equal">
      <formula>0</formula>
    </cfRule>
  </conditionalFormatting>
  <conditionalFormatting sqref="L8:L10">
    <cfRule type="cellIs" dxfId="166" priority="119" operator="equal">
      <formula>0</formula>
    </cfRule>
  </conditionalFormatting>
  <conditionalFormatting sqref="L12:L14">
    <cfRule type="cellIs" dxfId="165" priority="116" operator="equal">
      <formula>0</formula>
    </cfRule>
  </conditionalFormatting>
  <conditionalFormatting sqref="I8:I10">
    <cfRule type="cellIs" dxfId="164" priority="120" operator="equal">
      <formula>0</formula>
    </cfRule>
  </conditionalFormatting>
  <conditionalFormatting sqref="I12:I14">
    <cfRule type="cellIs" dxfId="163" priority="117" operator="equal">
      <formula>0</formula>
    </cfRule>
  </conditionalFormatting>
  <conditionalFormatting sqref="I11">
    <cfRule type="cellIs" dxfId="162" priority="124" operator="equal">
      <formula>0</formula>
    </cfRule>
  </conditionalFormatting>
  <conditionalFormatting sqref="L11">
    <cfRule type="cellIs" dxfId="161" priority="123" operator="equal">
      <formula>0</formula>
    </cfRule>
  </conditionalFormatting>
  <conditionalFormatting sqref="I7">
    <cfRule type="cellIs" dxfId="160" priority="122" operator="equal">
      <formula>0</formula>
    </cfRule>
  </conditionalFormatting>
  <conditionalFormatting sqref="L7">
    <cfRule type="cellIs" dxfId="159" priority="121" operator="equal">
      <formula>0</formula>
    </cfRule>
  </conditionalFormatting>
  <conditionalFormatting sqref="F12:F14">
    <cfRule type="cellIs" dxfId="158" priority="118" operator="equal">
      <formula>0</formula>
    </cfRule>
  </conditionalFormatting>
  <conditionalFormatting sqref="I18:I19">
    <cfRule type="cellIs" dxfId="157" priority="115" operator="equal">
      <formula>0</formula>
    </cfRule>
  </conditionalFormatting>
  <conditionalFormatting sqref="I20">
    <cfRule type="cellIs" dxfId="156" priority="114" operator="equal">
      <formula>0</formula>
    </cfRule>
  </conditionalFormatting>
  <conditionalFormatting sqref="L18:L19">
    <cfRule type="cellIs" dxfId="155" priority="113" operator="equal">
      <formula>0</formula>
    </cfRule>
  </conditionalFormatting>
  <conditionalFormatting sqref="L20">
    <cfRule type="cellIs" dxfId="154" priority="112" operator="equal">
      <formula>0</formula>
    </cfRule>
  </conditionalFormatting>
  <conditionalFormatting sqref="F17">
    <cfRule type="cellIs" dxfId="153" priority="111" operator="equal">
      <formula>0</formula>
    </cfRule>
  </conditionalFormatting>
  <conditionalFormatting sqref="I17">
    <cfRule type="cellIs" dxfId="152" priority="110" operator="equal">
      <formula>0</formula>
    </cfRule>
  </conditionalFormatting>
  <conditionalFormatting sqref="L17">
    <cfRule type="cellIs" dxfId="151" priority="109" operator="equal">
      <formula>0</formula>
    </cfRule>
  </conditionalFormatting>
  <conditionalFormatting sqref="E17">
    <cfRule type="cellIs" dxfId="150" priority="108" operator="equal">
      <formula>0</formula>
    </cfRule>
  </conditionalFormatting>
  <conditionalFormatting sqref="K17 H17">
    <cfRule type="cellIs" dxfId="149" priority="107" operator="equal">
      <formula>0</formula>
    </cfRule>
  </conditionalFormatting>
  <conditionalFormatting sqref="E35">
    <cfRule type="cellIs" dxfId="148" priority="106" operator="equal">
      <formula>0</formula>
    </cfRule>
  </conditionalFormatting>
  <conditionalFormatting sqref="I25:I26">
    <cfRule type="cellIs" dxfId="147" priority="105" operator="equal">
      <formula>0</formula>
    </cfRule>
  </conditionalFormatting>
  <conditionalFormatting sqref="L25:L26">
    <cfRule type="cellIs" dxfId="146" priority="104" operator="equal">
      <formula>0</formula>
    </cfRule>
  </conditionalFormatting>
  <conditionalFormatting sqref="K35">
    <cfRule type="cellIs" dxfId="145" priority="103" operator="equal">
      <formula>0</formula>
    </cfRule>
  </conditionalFormatting>
  <conditionalFormatting sqref="H35">
    <cfRule type="cellIs" dxfId="144" priority="102" operator="equal">
      <formula>0</formula>
    </cfRule>
  </conditionalFormatting>
  <conditionalFormatting sqref="E38 H38 K38">
    <cfRule type="cellIs" dxfId="143" priority="101" operator="lessThan">
      <formula>0</formula>
    </cfRule>
  </conditionalFormatting>
  <conditionalFormatting sqref="E39 H39 K39">
    <cfRule type="cellIs" dxfId="142" priority="98" operator="lessThan">
      <formula>0</formula>
    </cfRule>
  </conditionalFormatting>
  <conditionalFormatting sqref="H16">
    <cfRule type="cellIs" dxfId="141" priority="94" operator="equal">
      <formula>0</formula>
    </cfRule>
  </conditionalFormatting>
  <conditionalFormatting sqref="K16">
    <cfRule type="cellIs" dxfId="140" priority="93" operator="equal">
      <formula>0</formula>
    </cfRule>
  </conditionalFormatting>
  <conditionalFormatting sqref="H34">
    <cfRule type="cellIs" dxfId="139" priority="89" operator="equal">
      <formula>0</formula>
    </cfRule>
  </conditionalFormatting>
  <conditionalFormatting sqref="K34">
    <cfRule type="cellIs" dxfId="138" priority="88" operator="equal">
      <formula>0</formula>
    </cfRule>
  </conditionalFormatting>
  <conditionalFormatting sqref="E3:F3">
    <cfRule type="cellIs" dxfId="137" priority="87" stopIfTrue="1" operator="notEqual">
      <formula>12</formula>
    </cfRule>
  </conditionalFormatting>
  <conditionalFormatting sqref="E2:F2">
    <cfRule type="cellIs" dxfId="136" priority="82" operator="equal">
      <formula>0</formula>
    </cfRule>
    <cfRule type="expression" dxfId="135" priority="83">
      <formula>E3&lt;&gt;12</formula>
    </cfRule>
  </conditionalFormatting>
  <conditionalFormatting sqref="K3:L3 H3:I3">
    <cfRule type="cellIs" dxfId="134" priority="81" stopIfTrue="1" operator="notEqual">
      <formula>12</formula>
    </cfRule>
  </conditionalFormatting>
  <conditionalFormatting sqref="K2:L2 H2:I2">
    <cfRule type="cellIs" dxfId="133" priority="78" operator="equal">
      <formula>0</formula>
    </cfRule>
    <cfRule type="expression" dxfId="132" priority="79">
      <formula>H3&lt;&gt;12</formula>
    </cfRule>
  </conditionalFormatting>
  <conditionalFormatting sqref="F33">
    <cfRule type="cellIs" dxfId="131" priority="72" operator="equal">
      <formula>0</formula>
    </cfRule>
  </conditionalFormatting>
  <conditionalFormatting sqref="F34">
    <cfRule type="cellIs" dxfId="130" priority="68" operator="equal">
      <formula>0</formula>
    </cfRule>
  </conditionalFormatting>
  <conditionalFormatting sqref="I28:I31">
    <cfRule type="cellIs" dxfId="129" priority="65" operator="equal">
      <formula>0</formula>
    </cfRule>
  </conditionalFormatting>
  <conditionalFormatting sqref="I32">
    <cfRule type="cellIs" dxfId="128" priority="64" operator="equal">
      <formula>0</formula>
    </cfRule>
  </conditionalFormatting>
  <conditionalFormatting sqref="L28:L31">
    <cfRule type="cellIs" dxfId="127" priority="63" operator="equal">
      <formula>0</formula>
    </cfRule>
  </conditionalFormatting>
  <conditionalFormatting sqref="L32">
    <cfRule type="cellIs" dxfId="126" priority="62" operator="equal">
      <formula>0</formula>
    </cfRule>
  </conditionalFormatting>
  <conditionalFormatting sqref="I35">
    <cfRule type="cellIs" dxfId="125" priority="61" operator="equal">
      <formula>0</formula>
    </cfRule>
  </conditionalFormatting>
  <conditionalFormatting sqref="L35">
    <cfRule type="cellIs" dxfId="124" priority="58" operator="equal">
      <formula>0</formula>
    </cfRule>
  </conditionalFormatting>
  <conditionalFormatting sqref="F34">
    <cfRule type="cellIs" dxfId="123" priority="55" operator="lessThan">
      <formula>0</formula>
    </cfRule>
  </conditionalFormatting>
  <conditionalFormatting sqref="I34">
    <cfRule type="cellIs" dxfId="122" priority="52" operator="equal">
      <formula>0</formula>
    </cfRule>
    <cfRule type="cellIs" dxfId="121" priority="54" operator="lessThan">
      <formula>0</formula>
    </cfRule>
  </conditionalFormatting>
  <conditionalFormatting sqref="L34">
    <cfRule type="cellIs" dxfId="120" priority="50" operator="equal">
      <formula>0</formula>
    </cfRule>
    <cfRule type="cellIs" dxfId="119" priority="51" operator="lessThan">
      <formula>0</formula>
    </cfRule>
  </conditionalFormatting>
  <conditionalFormatting sqref="I32 K32 E32">
    <cfRule type="cellIs" dxfId="118" priority="49" operator="equal">
      <formula>0</formula>
    </cfRule>
  </conditionalFormatting>
  <conditionalFormatting sqref="H32">
    <cfRule type="cellIs" dxfId="117" priority="45" operator="equal">
      <formula>0</formula>
    </cfRule>
  </conditionalFormatting>
  <conditionalFormatting sqref="R36 O36">
    <cfRule type="cellIs" dxfId="116" priority="44" operator="equal">
      <formula>0</formula>
    </cfRule>
  </conditionalFormatting>
  <conditionalFormatting sqref="R8:R10">
    <cfRule type="cellIs" dxfId="115" priority="38" operator="equal">
      <formula>0</formula>
    </cfRule>
  </conditionalFormatting>
  <conditionalFormatting sqref="R12:R14">
    <cfRule type="cellIs" dxfId="114" priority="36" operator="equal">
      <formula>0</formula>
    </cfRule>
  </conditionalFormatting>
  <conditionalFormatting sqref="O8:O10">
    <cfRule type="cellIs" dxfId="113" priority="39" operator="equal">
      <formula>0</formula>
    </cfRule>
  </conditionalFormatting>
  <conditionalFormatting sqref="O12:O14">
    <cfRule type="cellIs" dxfId="112" priority="37" operator="equal">
      <formula>0</formula>
    </cfRule>
  </conditionalFormatting>
  <conditionalFormatting sqref="O11">
    <cfRule type="cellIs" dxfId="111" priority="43" operator="equal">
      <formula>0</formula>
    </cfRule>
  </conditionalFormatting>
  <conditionalFormatting sqref="R11">
    <cfRule type="cellIs" dxfId="110" priority="42" operator="equal">
      <formula>0</formula>
    </cfRule>
  </conditionalFormatting>
  <conditionalFormatting sqref="O7">
    <cfRule type="cellIs" dxfId="109" priority="41" operator="equal">
      <formula>0</formula>
    </cfRule>
  </conditionalFormatting>
  <conditionalFormatting sqref="R7">
    <cfRule type="cellIs" dxfId="108" priority="40" operator="equal">
      <formula>0</formula>
    </cfRule>
  </conditionalFormatting>
  <conditionalFormatting sqref="O18:O19">
    <cfRule type="cellIs" dxfId="107" priority="35" operator="equal">
      <formula>0</formula>
    </cfRule>
  </conditionalFormatting>
  <conditionalFormatting sqref="O20">
    <cfRule type="cellIs" dxfId="106" priority="34" operator="equal">
      <formula>0</formula>
    </cfRule>
  </conditionalFormatting>
  <conditionalFormatting sqref="R18:R19">
    <cfRule type="cellIs" dxfId="105" priority="33" operator="equal">
      <formula>0</formula>
    </cfRule>
  </conditionalFormatting>
  <conditionalFormatting sqref="R20">
    <cfRule type="cellIs" dxfId="104" priority="32" operator="equal">
      <formula>0</formula>
    </cfRule>
  </conditionalFormatting>
  <conditionalFormatting sqref="O17">
    <cfRule type="cellIs" dxfId="103" priority="31" operator="equal">
      <formula>0</formula>
    </cfRule>
  </conditionalFormatting>
  <conditionalFormatting sqref="R17">
    <cfRule type="cellIs" dxfId="102" priority="30" operator="equal">
      <formula>0</formula>
    </cfRule>
  </conditionalFormatting>
  <conditionalFormatting sqref="Q17 N17">
    <cfRule type="cellIs" dxfId="101" priority="29" operator="equal">
      <formula>0</formula>
    </cfRule>
  </conditionalFormatting>
  <conditionalFormatting sqref="O25:O26">
    <cfRule type="cellIs" dxfId="100" priority="28" operator="equal">
      <formula>0</formula>
    </cfRule>
  </conditionalFormatting>
  <conditionalFormatting sqref="R25:R26">
    <cfRule type="cellIs" dxfId="99" priority="27" operator="equal">
      <formula>0</formula>
    </cfRule>
  </conditionalFormatting>
  <conditionalFormatting sqref="Q35">
    <cfRule type="cellIs" dxfId="98" priority="26" operator="equal">
      <formula>0</formula>
    </cfRule>
  </conditionalFormatting>
  <conditionalFormatting sqref="N35">
    <cfRule type="cellIs" dxfId="97" priority="25" operator="equal">
      <formula>0</formula>
    </cfRule>
  </conditionalFormatting>
  <conditionalFormatting sqref="N38 Q38">
    <cfRule type="cellIs" dxfId="96" priority="24" operator="lessThan">
      <formula>0</formula>
    </cfRule>
  </conditionalFormatting>
  <conditionalFormatting sqref="N39 Q39">
    <cfRule type="cellIs" dxfId="95" priority="23" operator="lessThan">
      <formula>0</formula>
    </cfRule>
  </conditionalFormatting>
  <conditionalFormatting sqref="N16">
    <cfRule type="cellIs" dxfId="94" priority="22" operator="equal">
      <formula>0</formula>
    </cfRule>
  </conditionalFormatting>
  <conditionalFormatting sqref="Q16">
    <cfRule type="cellIs" dxfId="93" priority="21" operator="equal">
      <formula>0</formula>
    </cfRule>
  </conditionalFormatting>
  <conditionalFormatting sqref="N34">
    <cfRule type="cellIs" dxfId="92" priority="20" operator="equal">
      <formula>0</formula>
    </cfRule>
  </conditionalFormatting>
  <conditionalFormatting sqref="Q34">
    <cfRule type="cellIs" dxfId="91" priority="19" operator="equal">
      <formula>0</formula>
    </cfRule>
  </conditionalFormatting>
  <conditionalFormatting sqref="Q3:R3 N3:O3">
    <cfRule type="cellIs" dxfId="90" priority="18" stopIfTrue="1" operator="notEqual">
      <formula>12</formula>
    </cfRule>
  </conditionalFormatting>
  <conditionalFormatting sqref="Q2:R2 N2:O2">
    <cfRule type="cellIs" dxfId="89" priority="16" operator="equal">
      <formula>0</formula>
    </cfRule>
    <cfRule type="expression" dxfId="88" priority="17">
      <formula>N3&lt;&gt;12</formula>
    </cfRule>
  </conditionalFormatting>
  <conditionalFormatting sqref="O28:O31">
    <cfRule type="cellIs" dxfId="87" priority="15" operator="equal">
      <formula>0</formula>
    </cfRule>
  </conditionalFormatting>
  <conditionalFormatting sqref="O32">
    <cfRule type="cellIs" dxfId="86" priority="14" operator="equal">
      <formula>0</formula>
    </cfRule>
  </conditionalFormatting>
  <conditionalFormatting sqref="R28:R31">
    <cfRule type="cellIs" dxfId="85" priority="13" operator="equal">
      <formula>0</formula>
    </cfRule>
  </conditionalFormatting>
  <conditionalFormatting sqref="R32">
    <cfRule type="cellIs" dxfId="84" priority="12" operator="equal">
      <formula>0</formula>
    </cfRule>
  </conditionalFormatting>
  <conditionalFormatting sqref="O35">
    <cfRule type="cellIs" dxfId="83" priority="11" operator="equal">
      <formula>0</formula>
    </cfRule>
  </conditionalFormatting>
  <conditionalFormatting sqref="R35">
    <cfRule type="cellIs" dxfId="82" priority="10" operator="equal">
      <formula>0</formula>
    </cfRule>
  </conditionalFormatting>
  <conditionalFormatting sqref="O34">
    <cfRule type="cellIs" dxfId="81" priority="8" operator="equal">
      <formula>0</formula>
    </cfRule>
    <cfRule type="cellIs" dxfId="80" priority="9" operator="lessThan">
      <formula>0</formula>
    </cfRule>
  </conditionalFormatting>
  <conditionalFormatting sqref="R34">
    <cfRule type="cellIs" dxfId="79" priority="6" operator="equal">
      <formula>0</formula>
    </cfRule>
    <cfRule type="cellIs" dxfId="78" priority="7" operator="lessThan">
      <formula>0</formula>
    </cfRule>
  </conditionalFormatting>
  <conditionalFormatting sqref="O32 Q32">
    <cfRule type="cellIs" dxfId="77" priority="5" operator="equal">
      <formula>0</formula>
    </cfRule>
  </conditionalFormatting>
  <conditionalFormatting sqref="N32">
    <cfRule type="cellIs" dxfId="76" priority="3" operator="equal">
      <formula>0</formula>
    </cfRule>
  </conditionalFormatting>
  <conditionalFormatting sqref="F27">
    <cfRule type="cellIs" dxfId="75" priority="1" operator="equal">
      <formula>0</formula>
    </cfRule>
  </conditionalFormatting>
  <dataValidations count="4">
    <dataValidation allowBlank="1" showInputMessage="1" showErrorMessage="1" prompt="le nom de l'entreprise est à renseigner dans l'onglet Compte de résultat" sqref="B2:C2" xr:uid="{00000000-0002-0000-0400-000000000000}"/>
    <dataValidation allowBlank="1" showInputMessage="1" showErrorMessage="1" prompt="montant issu de l'onglet Investissements" sqref="E8:E10 E12:E14 H8:H10 H12:H14 K12:K14 K8:K10 E32 H32 K32 N8:N10 N12:N14 Q12:Q14 Q8:Q10 N32 Q32" xr:uid="{00000000-0002-0000-0400-000001000000}"/>
    <dataValidation allowBlank="1" showInputMessage="1" showErrorMessage="1" prompt="montant issu de l'onglet BFR" sqref="E15 H16 K16 E33 H34 K34 N16 Q16 N34 Q34" xr:uid="{00000000-0002-0000-0400-000002000000}"/>
    <dataValidation allowBlank="1" showInputMessage="1" showErrorMessage="1" prompt="montant issu de l'onglet Compte de résultat" sqref="E17 H17 K17 E35 H35 K35 E28 H28 K28 N17 Q17 N35 Q35 N28 Q28" xr:uid="{00000000-0002-0000-0400-000003000000}"/>
  </dataValidations>
  <printOptions horizontalCentered="1"/>
  <pageMargins left="0" right="0" top="0" bottom="0" header="0" footer="0"/>
  <pageSetup paperSize="9" scale="9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7" id="{6A66914A-89DD-4D2A-922C-F159BDFD945A}">
            <xm:f>BFR!$C$14="non"</xm:f>
            <x14:dxf>
              <font>
                <color theme="0" tint="-0.14996795556505021"/>
              </font>
            </x14:dxf>
          </x14:cfRule>
          <xm:sqref>F34</xm:sqref>
        </x14:conditionalFormatting>
        <x14:conditionalFormatting xmlns:xm="http://schemas.microsoft.com/office/excel/2006/main">
          <x14:cfRule type="expression" priority="150" id="{CAF6525E-F22F-49CB-9495-AD8C7BDB8BC2}">
            <xm:f>BFR!$C$14="non"</xm:f>
            <x14:dxf>
              <font>
                <color theme="0" tint="-0.14996795556505021"/>
              </font>
              <fill>
                <patternFill patternType="solid">
                  <bgColor theme="0" tint="-0.14996795556505021"/>
                </patternFill>
              </fill>
            </x14:dxf>
          </x14:cfRule>
          <xm:sqref>E16 E34</xm:sqref>
        </x14:conditionalFormatting>
        <x14:conditionalFormatting xmlns:xm="http://schemas.microsoft.com/office/excel/2006/main">
          <x14:cfRule type="expression" priority="151" id="{E4E53E67-46F4-4930-B6A2-85B6A22A5B98}">
            <xm:f>BFR!$C$14="oui"</xm:f>
            <x14:dxf>
              <font>
                <color theme="0" tint="-0.14996795556505021"/>
              </font>
              <fill>
                <patternFill patternType="solid">
                  <bgColor theme="0" tint="-0.14996795556505021"/>
                </patternFill>
              </fill>
            </x14:dxf>
          </x14:cfRule>
          <xm:sqref>E15:F15 E33:F33</xm:sqref>
        </x14:conditionalFormatting>
        <x14:conditionalFormatting xmlns:xm="http://schemas.microsoft.com/office/excel/2006/main">
          <x14:cfRule type="expression" priority="155" id="{8E8B5028-58DA-4FA5-93C2-10045652B593}">
            <xm:f>BFR!$C$14="oui"</xm:f>
            <x14:dxf>
              <font>
                <color theme="5"/>
              </font>
              <fill>
                <patternFill patternType="none">
                  <bgColor auto="1"/>
                </patternFill>
              </fill>
            </x14:dxf>
          </x14:cfRule>
          <xm:sqref>F16 F34</xm:sqref>
        </x14:conditionalFormatting>
        <x14:conditionalFormatting xmlns:xm="http://schemas.microsoft.com/office/excel/2006/main">
          <x14:cfRule type="expression" priority="2" id="{E19EA5ED-C2B9-4666-A141-B085DCCCFBBC}">
            <xm:f>BFR!$C$14="non"</xm:f>
            <x14:dxf>
              <font>
                <color theme="0" tint="-0.14996795556505021"/>
              </font>
            </x14:dxf>
          </x14:cfRule>
          <xm:sqref>F16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499984740745262"/>
  </sheetPr>
  <dimension ref="B1:CC72"/>
  <sheetViews>
    <sheetView showGridLines="0" showRowColHeaders="0" zoomScale="106" zoomScaleNormal="106" workbookViewId="0">
      <selection activeCell="B2" sqref="B2:AC2"/>
    </sheetView>
  </sheetViews>
  <sheetFormatPr baseColWidth="10" defaultColWidth="10.33203125" defaultRowHeight="13.8"/>
  <cols>
    <col min="1" max="1" width="1.6640625" style="739" customWidth="1"/>
    <col min="2" max="2" width="16.88671875" style="739" customWidth="1"/>
    <col min="3" max="3" width="7.6640625" style="739" customWidth="1"/>
    <col min="4" max="4" width="6.6640625" style="739" customWidth="1"/>
    <col min="5" max="5" width="9.6640625" style="739" customWidth="1"/>
    <col min="6" max="6" width="6.6640625" style="739" customWidth="1"/>
    <col min="7" max="7" width="9.6640625" style="739" customWidth="1"/>
    <col min="8" max="8" width="6.6640625" style="739" customWidth="1"/>
    <col min="9" max="9" width="9.6640625" style="739" customWidth="1"/>
    <col min="10" max="10" width="6.6640625" style="739" customWidth="1"/>
    <col min="11" max="11" width="9.6640625" style="739" customWidth="1"/>
    <col min="12" max="12" width="6.6640625" style="739" customWidth="1"/>
    <col min="13" max="13" width="9.6640625" style="739" customWidth="1"/>
    <col min="14" max="14" width="6.6640625" style="739" customWidth="1"/>
    <col min="15" max="15" width="9.6640625" style="739" customWidth="1"/>
    <col min="16" max="16" width="6.6640625" style="739" customWidth="1"/>
    <col min="17" max="17" width="9.6640625" style="739" customWidth="1"/>
    <col min="18" max="18" width="6.6640625" style="739" customWidth="1"/>
    <col min="19" max="19" width="9.6640625" style="739" customWidth="1"/>
    <col min="20" max="20" width="6.6640625" style="739" customWidth="1"/>
    <col min="21" max="21" width="9.6640625" style="739" customWidth="1"/>
    <col min="22" max="22" width="6.6640625" style="739" customWidth="1"/>
    <col min="23" max="23" width="9.6640625" style="739" customWidth="1"/>
    <col min="24" max="24" width="6.6640625" style="739" customWidth="1"/>
    <col min="25" max="25" width="9.6640625" style="739" customWidth="1"/>
    <col min="26" max="26" width="6.6640625" style="739" customWidth="1"/>
    <col min="27" max="27" width="9.6640625" style="739" customWidth="1"/>
    <col min="28" max="28" width="6.6640625" style="739" customWidth="1"/>
    <col min="29" max="29" width="9.6640625" style="739" customWidth="1"/>
    <col min="30" max="30" width="6.6640625" style="739" customWidth="1"/>
    <col min="31" max="31" width="9.6640625" style="739" customWidth="1"/>
    <col min="32" max="32" width="6.6640625" style="739" customWidth="1"/>
    <col min="33" max="33" width="9.6640625" style="739" customWidth="1"/>
    <col min="34" max="34" width="6.6640625" style="739" customWidth="1"/>
    <col min="35" max="35" width="9.6640625" style="739" customWidth="1"/>
    <col min="36" max="36" width="6.6640625" style="739" customWidth="1"/>
    <col min="37" max="37" width="9.6640625" style="739" customWidth="1"/>
    <col min="38" max="38" width="6.6640625" style="739" customWidth="1"/>
    <col min="39" max="39" width="9.6640625" style="739" customWidth="1"/>
    <col min="40" max="40" width="6.6640625" style="739" customWidth="1"/>
    <col min="41" max="41" width="9.6640625" style="739" customWidth="1"/>
    <col min="42" max="42" width="6.6640625" style="739" customWidth="1"/>
    <col min="43" max="43" width="9.6640625" style="739" customWidth="1"/>
    <col min="44" max="44" width="6.6640625" style="739" customWidth="1"/>
    <col min="45" max="45" width="9.6640625" style="739" customWidth="1"/>
    <col min="46" max="46" width="6.6640625" style="739" customWidth="1"/>
    <col min="47" max="47" width="9.6640625" style="739" customWidth="1"/>
    <col min="48" max="48" width="6.6640625" style="739" customWidth="1"/>
    <col min="49" max="49" width="9.6640625" style="739" customWidth="1"/>
    <col min="50" max="50" width="6.6640625" style="739" customWidth="1"/>
    <col min="51" max="51" width="10.33203125" style="739"/>
    <col min="52" max="52" width="6.6640625" style="739" customWidth="1"/>
    <col min="53" max="53" width="10.33203125" style="739"/>
    <col min="54" max="54" width="6.6640625" style="739" customWidth="1"/>
    <col min="55" max="58" width="10.33203125" style="739"/>
    <col min="59" max="59" width="13.88671875" style="739" customWidth="1"/>
    <col min="60" max="71" width="10.33203125" style="739"/>
    <col min="72" max="72" width="13.88671875" style="739" customWidth="1"/>
    <col min="73" max="73" width="2.44140625" style="739" customWidth="1"/>
    <col min="74" max="16384" width="10.33203125" style="739"/>
  </cols>
  <sheetData>
    <row r="1" spans="2:81" ht="6" customHeight="1"/>
    <row r="2" spans="2:81" ht="22.2" customHeight="1">
      <c r="B2" s="1105" t="s">
        <v>273</v>
      </c>
      <c r="C2" s="1106"/>
      <c r="D2" s="1106"/>
      <c r="E2" s="1106"/>
      <c r="F2" s="1106"/>
      <c r="G2" s="1106"/>
      <c r="H2" s="1106"/>
      <c r="I2" s="1106"/>
      <c r="J2" s="1106"/>
      <c r="K2" s="1106"/>
      <c r="L2" s="1106"/>
      <c r="M2" s="1106"/>
      <c r="N2" s="1106"/>
      <c r="O2" s="1106"/>
      <c r="P2" s="1106"/>
      <c r="Q2" s="1106"/>
      <c r="R2" s="1106"/>
      <c r="S2" s="1106"/>
      <c r="T2" s="1180"/>
      <c r="U2" s="1180"/>
      <c r="V2" s="1180"/>
      <c r="W2" s="1180"/>
      <c r="X2" s="1180"/>
      <c r="Y2" s="1180"/>
      <c r="Z2" s="1180"/>
      <c r="AA2" s="1180"/>
      <c r="AB2" s="1180"/>
      <c r="AC2" s="1181"/>
    </row>
    <row r="3" spans="2:81" s="740" customFormat="1" ht="6" customHeight="1"/>
    <row r="4" spans="2:81" s="743" customFormat="1" ht="19.95" customHeight="1">
      <c r="B4" s="741" t="s">
        <v>274</v>
      </c>
      <c r="C4" s="742" t="str">
        <f>IF(ISBLANK(durée_1)," ",durée_1)</f>
        <v xml:space="preserve"> </v>
      </c>
      <c r="D4" s="740"/>
      <c r="E4" s="819"/>
      <c r="F4" s="819"/>
      <c r="G4" s="740"/>
      <c r="H4" s="740"/>
      <c r="I4" s="1182"/>
      <c r="J4" s="1182"/>
      <c r="K4" s="740"/>
    </row>
    <row r="5" spans="2:81" s="745" customFormat="1" ht="3" customHeight="1">
      <c r="B5" s="744"/>
      <c r="C5" s="744"/>
      <c r="D5" s="1183">
        <v>1</v>
      </c>
      <c r="E5" s="1183"/>
      <c r="F5" s="1183">
        <v>2</v>
      </c>
      <c r="G5" s="1183"/>
      <c r="H5" s="1183">
        <v>3</v>
      </c>
      <c r="I5" s="1183"/>
      <c r="J5" s="1183">
        <v>4</v>
      </c>
      <c r="K5" s="1183"/>
      <c r="L5" s="1183">
        <v>5</v>
      </c>
      <c r="M5" s="1183"/>
      <c r="N5" s="1183">
        <v>6</v>
      </c>
      <c r="O5" s="1183"/>
      <c r="P5" s="1183">
        <v>7</v>
      </c>
      <c r="Q5" s="1183"/>
      <c r="R5" s="1183">
        <v>8</v>
      </c>
      <c r="S5" s="1183"/>
      <c r="T5" s="1183">
        <v>9</v>
      </c>
      <c r="U5" s="1183"/>
      <c r="V5" s="1183">
        <v>10</v>
      </c>
      <c r="W5" s="1183"/>
      <c r="X5" s="1183">
        <v>11</v>
      </c>
      <c r="Y5" s="1183"/>
      <c r="Z5" s="1183">
        <v>12</v>
      </c>
      <c r="AA5" s="1183"/>
      <c r="AB5" s="1183">
        <v>13</v>
      </c>
      <c r="AC5" s="1183"/>
      <c r="AD5" s="1183">
        <v>14</v>
      </c>
      <c r="AE5" s="1183"/>
      <c r="AF5" s="1183">
        <v>15</v>
      </c>
      <c r="AG5" s="1183"/>
      <c r="AH5" s="1183">
        <v>16</v>
      </c>
      <c r="AI5" s="1183"/>
      <c r="AJ5" s="1183">
        <v>17</v>
      </c>
      <c r="AK5" s="1183"/>
      <c r="AL5" s="1183">
        <v>18</v>
      </c>
      <c r="AM5" s="1183"/>
      <c r="AN5" s="1183">
        <v>19</v>
      </c>
      <c r="AO5" s="1183"/>
      <c r="AP5" s="1183">
        <v>20</v>
      </c>
      <c r="AQ5" s="1183"/>
      <c r="AR5" s="1183">
        <v>21</v>
      </c>
      <c r="AS5" s="1183"/>
      <c r="AT5" s="1183">
        <v>22</v>
      </c>
      <c r="AU5" s="1183"/>
      <c r="AV5" s="1183">
        <v>23</v>
      </c>
      <c r="AW5" s="1183"/>
      <c r="AX5" s="820"/>
      <c r="BV5" s="122"/>
      <c r="BW5" s="122"/>
      <c r="BX5" s="122"/>
    </row>
    <row r="6" spans="2:81" s="743" customFormat="1" ht="19.95" customHeight="1">
      <c r="B6" s="1178" t="s">
        <v>164</v>
      </c>
      <c r="C6" s="1179"/>
      <c r="D6" s="1174" t="str">
        <f>IF(ISBLANK(durée_1)," ",1)</f>
        <v xml:space="preserve"> </v>
      </c>
      <c r="E6" s="1175"/>
      <c r="F6" s="1176" t="str">
        <f>IF(F5&gt;durée_1," ",D6+1)</f>
        <v xml:space="preserve"> </v>
      </c>
      <c r="G6" s="1177"/>
      <c r="H6" s="1176" t="str">
        <f>IF(H5&gt;durée_1," ",F6+1)</f>
        <v xml:space="preserve"> </v>
      </c>
      <c r="I6" s="1177"/>
      <c r="J6" s="1176" t="str">
        <f>IF(J5&gt;durée_1," ",H6+1)</f>
        <v xml:space="preserve"> </v>
      </c>
      <c r="K6" s="1177"/>
      <c r="L6" s="1176" t="str">
        <f>IF(L5&gt;durée_1," ",J6+1)</f>
        <v xml:space="preserve"> </v>
      </c>
      <c r="M6" s="1177"/>
      <c r="N6" s="1176" t="str">
        <f>IF(N5&gt;durée_1," ",L6+1)</f>
        <v xml:space="preserve"> </v>
      </c>
      <c r="O6" s="1177"/>
      <c r="P6" s="1176" t="str">
        <f>IF(P5&gt;durée_1," ",N6+1)</f>
        <v xml:space="preserve"> </v>
      </c>
      <c r="Q6" s="1177"/>
      <c r="R6" s="1176" t="str">
        <f>IF(R5&gt;durée_1," ",P6+1)</f>
        <v xml:space="preserve"> </v>
      </c>
      <c r="S6" s="1177"/>
      <c r="T6" s="1176" t="str">
        <f>IF(T5&gt;durée_1," ",R6+1)</f>
        <v xml:space="preserve"> </v>
      </c>
      <c r="U6" s="1177"/>
      <c r="V6" s="1176" t="str">
        <f>IF(V5&gt;durée_1," ",T6+1)</f>
        <v xml:space="preserve"> </v>
      </c>
      <c r="W6" s="1177"/>
      <c r="X6" s="1176" t="str">
        <f>IF(X5&gt;durée_1," ",V6+1)</f>
        <v xml:space="preserve"> </v>
      </c>
      <c r="Y6" s="1177"/>
      <c r="Z6" s="1176" t="str">
        <f>IF(Z5&gt;durée_1," ",X6+1)</f>
        <v xml:space="preserve"> </v>
      </c>
      <c r="AA6" s="1177"/>
      <c r="AB6" s="1176" t="str">
        <f>IF(AB5&gt;durée_1," ",Z6+1)</f>
        <v xml:space="preserve"> </v>
      </c>
      <c r="AC6" s="1177"/>
      <c r="AD6" s="1176" t="str">
        <f>IF(AD5&gt;durée_1," ",AB6+1)</f>
        <v xml:space="preserve"> </v>
      </c>
      <c r="AE6" s="1177"/>
      <c r="AF6" s="1176" t="str">
        <f>IF(AF5&gt;durée_1," ",AD6+1)</f>
        <v xml:space="preserve"> </v>
      </c>
      <c r="AG6" s="1177"/>
      <c r="AH6" s="1176" t="str">
        <f>IF(AH5&gt;durée_1," ",AF6+1)</f>
        <v xml:space="preserve"> </v>
      </c>
      <c r="AI6" s="1177"/>
      <c r="AJ6" s="1176" t="str">
        <f>IF(AJ5&gt;durée_1," ",AH6+1)</f>
        <v xml:space="preserve"> </v>
      </c>
      <c r="AK6" s="1177"/>
      <c r="AL6" s="1162" t="str">
        <f>IF(AL5&gt;durée_1," ",AJ6+1)</f>
        <v xml:space="preserve"> </v>
      </c>
      <c r="AM6" s="1163"/>
      <c r="AN6" s="1176" t="str">
        <f>IF(AN5&gt;durée_1," ",AL6+1)</f>
        <v xml:space="preserve"> </v>
      </c>
      <c r="AO6" s="1177"/>
      <c r="AP6" s="1176" t="str">
        <f>IF(AP5&gt;durée_1," ",AN6+1)</f>
        <v xml:space="preserve"> </v>
      </c>
      <c r="AQ6" s="1177"/>
      <c r="AR6" s="1176" t="str">
        <f>IF(AR5&gt;durée_1," ",AP6+1)</f>
        <v xml:space="preserve"> </v>
      </c>
      <c r="AS6" s="1177"/>
      <c r="AT6" s="1176" t="str">
        <f>IF(AT5&gt;durée_1," ",AR6+1)</f>
        <v xml:space="preserve"> </v>
      </c>
      <c r="AU6" s="1177"/>
      <c r="AV6" s="1176" t="str">
        <f>IF(AV5&gt;durée_1," ",AT6+1)</f>
        <v xml:space="preserve"> </v>
      </c>
      <c r="AW6" s="1177"/>
      <c r="AX6" s="1164" t="s">
        <v>275</v>
      </c>
      <c r="AY6" s="1165"/>
      <c r="AZ6" s="1166" t="s">
        <v>276</v>
      </c>
      <c r="BA6" s="1167"/>
      <c r="BB6" s="1168" t="s">
        <v>277</v>
      </c>
      <c r="BC6" s="1169"/>
      <c r="BZ6" s="746"/>
    </row>
    <row r="7" spans="2:81" s="743" customFormat="1" ht="19.95" customHeight="1">
      <c r="B7" s="1170" t="s">
        <v>278</v>
      </c>
      <c r="C7" s="1171"/>
      <c r="D7" s="821" t="str">
        <f>IF(D5&gt;durée_1," ","Nb")</f>
        <v xml:space="preserve"> </v>
      </c>
      <c r="E7" s="822" t="str">
        <f>IF(D5&gt;durée_1," ","€")</f>
        <v xml:space="preserve"> </v>
      </c>
      <c r="F7" s="821" t="str">
        <f>IF(F5&gt;durée_1," ","Nb")</f>
        <v xml:space="preserve"> </v>
      </c>
      <c r="G7" s="822" t="str">
        <f>IF(F5&gt;durée_1," ","€")</f>
        <v xml:space="preserve"> </v>
      </c>
      <c r="H7" s="821" t="str">
        <f>IF(H5&gt;durée_1," ","Nb")</f>
        <v xml:space="preserve"> </v>
      </c>
      <c r="I7" s="822" t="str">
        <f>IF(H5&gt;durée_1," ","€")</f>
        <v xml:space="preserve"> </v>
      </c>
      <c r="J7" s="821" t="str">
        <f>IF(J5&gt;durée_1," ","Nb")</f>
        <v xml:space="preserve"> </v>
      </c>
      <c r="K7" s="822" t="str">
        <f>IF(J5&gt;durée_1," ","€")</f>
        <v xml:space="preserve"> </v>
      </c>
      <c r="L7" s="821" t="str">
        <f>IF(L5&gt;durée_1," ","Nb")</f>
        <v xml:space="preserve"> </v>
      </c>
      <c r="M7" s="822" t="str">
        <f>IF(L5&gt;durée_1," ","€")</f>
        <v xml:space="preserve"> </v>
      </c>
      <c r="N7" s="821" t="str">
        <f>IF(N5&gt;durée_1," ","Nb")</f>
        <v xml:space="preserve"> </v>
      </c>
      <c r="O7" s="822" t="str">
        <f>IF(N5&gt;durée_1," ","€")</f>
        <v xml:space="preserve"> </v>
      </c>
      <c r="P7" s="821" t="str">
        <f>IF(P5&gt;durée_1," ","Nb")</f>
        <v xml:space="preserve"> </v>
      </c>
      <c r="Q7" s="822" t="str">
        <f>IF(P5&gt;durée_1," ","€")</f>
        <v xml:space="preserve"> </v>
      </c>
      <c r="R7" s="821" t="str">
        <f>IF(R5&gt;durée_1," ","Nb")</f>
        <v xml:space="preserve"> </v>
      </c>
      <c r="S7" s="822" t="str">
        <f>IF(R5&gt;durée_1," ","€")</f>
        <v xml:space="preserve"> </v>
      </c>
      <c r="T7" s="821" t="str">
        <f>IF(T5&gt;durée_1," ","Nb")</f>
        <v xml:space="preserve"> </v>
      </c>
      <c r="U7" s="822" t="str">
        <f>IF(T5&gt;durée_1," ","€")</f>
        <v xml:space="preserve"> </v>
      </c>
      <c r="V7" s="821" t="str">
        <f>IF(V5&gt;durée_1," ","Nb")</f>
        <v xml:space="preserve"> </v>
      </c>
      <c r="W7" s="822" t="str">
        <f>IF(V5&gt;durée_1," ","€")</f>
        <v xml:space="preserve"> </v>
      </c>
      <c r="X7" s="821" t="str">
        <f>IF(X5&gt;durée_1," ","Nb")</f>
        <v xml:space="preserve"> </v>
      </c>
      <c r="Y7" s="822" t="str">
        <f>IF(X5&gt;durée_1," ","€")</f>
        <v xml:space="preserve"> </v>
      </c>
      <c r="Z7" s="821" t="str">
        <f>IF(Z5&gt;durée_1," ","Nb")</f>
        <v xml:space="preserve"> </v>
      </c>
      <c r="AA7" s="822" t="str">
        <f>IF(Z5&gt;durée_1," ","€")</f>
        <v xml:space="preserve"> </v>
      </c>
      <c r="AB7" s="821" t="str">
        <f>IF(AB5&gt;durée_1," ","Nb")</f>
        <v xml:space="preserve"> </v>
      </c>
      <c r="AC7" s="822" t="str">
        <f>IF(AB5&gt;durée_1," ","€")</f>
        <v xml:space="preserve"> </v>
      </c>
      <c r="AD7" s="821" t="str">
        <f>IF(AD5&gt;durée_1," ","Nb")</f>
        <v xml:space="preserve"> </v>
      </c>
      <c r="AE7" s="822" t="str">
        <f>IF(AD5&gt;durée_1," ","€")</f>
        <v xml:space="preserve"> </v>
      </c>
      <c r="AF7" s="821" t="str">
        <f>IF(AF5&gt;durée_1," ","Nb")</f>
        <v xml:space="preserve"> </v>
      </c>
      <c r="AG7" s="822" t="str">
        <f>IF(AF5&gt;durée_1," ","€")</f>
        <v xml:space="preserve"> </v>
      </c>
      <c r="AH7" s="821" t="str">
        <f>IF(AH5&gt;durée_1," ","Nb")</f>
        <v xml:space="preserve"> </v>
      </c>
      <c r="AI7" s="822" t="str">
        <f>IF(AH5&gt;durée_1," ","€")</f>
        <v xml:space="preserve"> </v>
      </c>
      <c r="AJ7" s="821" t="str">
        <f>IF(AJ5&gt;durée_1," ","Nb")</f>
        <v xml:space="preserve"> </v>
      </c>
      <c r="AK7" s="822" t="str">
        <f>IF(AJ5&gt;durée_1," ","€")</f>
        <v xml:space="preserve"> </v>
      </c>
      <c r="AL7" s="821" t="str">
        <f>IF(AL5&gt;durée_1," ","Nb")</f>
        <v xml:space="preserve"> </v>
      </c>
      <c r="AM7" s="822" t="str">
        <f>IF(AL5&gt;durée_1," ","€")</f>
        <v xml:space="preserve"> </v>
      </c>
      <c r="AN7" s="821" t="str">
        <f>IF(AN5&gt;durée_1," ","Nb")</f>
        <v xml:space="preserve"> </v>
      </c>
      <c r="AO7" s="822" t="str">
        <f>IF(AN5&gt;durée_1," ","€")</f>
        <v xml:space="preserve"> </v>
      </c>
      <c r="AP7" s="821" t="str">
        <f>IF(AP5&gt;durée_1," ","Nb")</f>
        <v xml:space="preserve"> </v>
      </c>
      <c r="AQ7" s="822" t="str">
        <f>IF(AP5&gt;durée_1," ","€")</f>
        <v xml:space="preserve"> </v>
      </c>
      <c r="AR7" s="821" t="str">
        <f>IF(AR5&gt;durée_1," ","Nb")</f>
        <v xml:space="preserve"> </v>
      </c>
      <c r="AS7" s="822" t="str">
        <f>IF(AR5&gt;durée_1," ","€")</f>
        <v xml:space="preserve"> </v>
      </c>
      <c r="AT7" s="821" t="str">
        <f>IF(AT5&gt;durée_1," ","Nb")</f>
        <v xml:space="preserve"> </v>
      </c>
      <c r="AU7" s="822" t="str">
        <f>IF(AT5&gt;durée_1," ","€")</f>
        <v xml:space="preserve"> </v>
      </c>
      <c r="AV7" s="821" t="str">
        <f>IF(AV5&gt;durée_1," ","Nb")</f>
        <v xml:space="preserve"> </v>
      </c>
      <c r="AW7" s="822" t="str">
        <f>IF(AV5&gt;durée_1," ","€")</f>
        <v xml:space="preserve"> </v>
      </c>
      <c r="AX7" s="827" t="str">
        <f>IF(ISBLANK(durée_1)," ","Nb")</f>
        <v xml:space="preserve"> </v>
      </c>
      <c r="AY7" s="830" t="str">
        <f>IF(ISBLANK(durée_1)," ","€")</f>
        <v xml:space="preserve"> </v>
      </c>
      <c r="AZ7" s="839" t="str">
        <f>IF(ISBLANK(durée_1)," ","Taux")</f>
        <v xml:space="preserve"> </v>
      </c>
      <c r="BA7" s="840" t="str">
        <f>IF(ISBLANK(durée_1)," ","€")</f>
        <v xml:space="preserve"> </v>
      </c>
      <c r="BB7" s="836" t="str">
        <f>IF(ISBLANK(durée_1)," ","Nb")</f>
        <v xml:space="preserve"> </v>
      </c>
      <c r="BC7" s="748" t="str">
        <f>IF(ISBLANK(durée_1)," ","€")</f>
        <v xml:space="preserve"> </v>
      </c>
      <c r="BZ7" s="746"/>
    </row>
    <row r="8" spans="2:81" s="743" customFormat="1" ht="19.95" customHeight="1">
      <c r="B8" s="1172" t="s">
        <v>279</v>
      </c>
      <c r="C8" s="1173"/>
      <c r="D8" s="823"/>
      <c r="E8" s="749"/>
      <c r="F8" s="823"/>
      <c r="G8" s="749"/>
      <c r="H8" s="823"/>
      <c r="I8" s="749"/>
      <c r="J8" s="823"/>
      <c r="K8" s="749"/>
      <c r="L8" s="823"/>
      <c r="M8" s="749"/>
      <c r="N8" s="823"/>
      <c r="O8" s="749"/>
      <c r="P8" s="823"/>
      <c r="Q8" s="749"/>
      <c r="R8" s="823"/>
      <c r="S8" s="749"/>
      <c r="T8" s="823"/>
      <c r="U8" s="749"/>
      <c r="V8" s="823"/>
      <c r="W8" s="749"/>
      <c r="X8" s="823"/>
      <c r="Y8" s="749"/>
      <c r="Z8" s="823"/>
      <c r="AA8" s="749"/>
      <c r="AB8" s="823"/>
      <c r="AC8" s="749"/>
      <c r="AD8" s="823"/>
      <c r="AE8" s="749"/>
      <c r="AF8" s="823"/>
      <c r="AG8" s="749"/>
      <c r="AH8" s="823"/>
      <c r="AI8" s="749"/>
      <c r="AJ8" s="823"/>
      <c r="AK8" s="749"/>
      <c r="AL8" s="823"/>
      <c r="AM8" s="749"/>
      <c r="AN8" s="823"/>
      <c r="AO8" s="749"/>
      <c r="AP8" s="823"/>
      <c r="AQ8" s="749"/>
      <c r="AR8" s="823"/>
      <c r="AS8" s="749"/>
      <c r="AT8" s="823"/>
      <c r="AU8" s="749"/>
      <c r="AV8" s="823"/>
      <c r="AW8" s="749"/>
      <c r="AX8" s="828" t="str">
        <f t="shared" ref="AX8:AX15" si="0">IF(ISERROR((D8+F8+H8+J8+L8+N8+P8+R8+T8+V8+X8+Z8+AB8+AD8+AF8+AH8+AJ8+AL8+AN8+AP8+AP8+AR8+AT8+AV8)/durée_1)," ",(D8+F8+H8+J8+L8+N8+P8+R8+T8+V8+X8+Z8+AB8+AD8+AF8+AH8+AJ8+AL8+AN8+AP8+AP8+AR8+AT8+AV8)/durée_1)</f>
        <v xml:space="preserve"> </v>
      </c>
      <c r="AY8" s="831">
        <f>E8+G8+I8+K8+M8+O8+Q8+S8+U8+W8+Y8+AA8+AC8+AE8+AG8+AI8+AK8+AM8+AO8+AQ8+AQ8+AS8+AU8+AW8</f>
        <v>0</v>
      </c>
      <c r="AZ8" s="834"/>
      <c r="BA8" s="750">
        <f>AY8*AZ8</f>
        <v>0</v>
      </c>
      <c r="BB8" s="837" t="str">
        <f>AX8</f>
        <v xml:space="preserve"> </v>
      </c>
      <c r="BC8" s="752">
        <f>AY8+BA8</f>
        <v>0</v>
      </c>
      <c r="BZ8" s="746"/>
    </row>
    <row r="9" spans="2:81" s="743" customFormat="1" ht="19.95" customHeight="1">
      <c r="B9" s="1158" t="s">
        <v>280</v>
      </c>
      <c r="C9" s="1159"/>
      <c r="D9" s="824"/>
      <c r="E9" s="753"/>
      <c r="F9" s="824"/>
      <c r="G9" s="753"/>
      <c r="H9" s="824"/>
      <c r="I9" s="753"/>
      <c r="J9" s="824"/>
      <c r="K9" s="753"/>
      <c r="L9" s="824"/>
      <c r="M9" s="753"/>
      <c r="N9" s="824"/>
      <c r="O9" s="753"/>
      <c r="P9" s="824"/>
      <c r="Q9" s="753"/>
      <c r="R9" s="824"/>
      <c r="S9" s="753"/>
      <c r="T9" s="824"/>
      <c r="U9" s="753"/>
      <c r="V9" s="824"/>
      <c r="W9" s="753"/>
      <c r="X9" s="824"/>
      <c r="Y9" s="753"/>
      <c r="Z9" s="824"/>
      <c r="AA9" s="753"/>
      <c r="AB9" s="824"/>
      <c r="AC9" s="753"/>
      <c r="AD9" s="824"/>
      <c r="AE9" s="753"/>
      <c r="AF9" s="824"/>
      <c r="AG9" s="753"/>
      <c r="AH9" s="824"/>
      <c r="AI9" s="753"/>
      <c r="AJ9" s="824"/>
      <c r="AK9" s="753"/>
      <c r="AL9" s="824"/>
      <c r="AM9" s="753"/>
      <c r="AN9" s="824"/>
      <c r="AO9" s="753"/>
      <c r="AP9" s="824"/>
      <c r="AQ9" s="753"/>
      <c r="AR9" s="824"/>
      <c r="AS9" s="753"/>
      <c r="AT9" s="824"/>
      <c r="AU9" s="753"/>
      <c r="AV9" s="824"/>
      <c r="AW9" s="753"/>
      <c r="AX9" s="828" t="str">
        <f t="shared" si="0"/>
        <v xml:space="preserve"> </v>
      </c>
      <c r="AY9" s="832">
        <f t="shared" ref="AY9:AY15" si="1">E9+G9+I9+K9+M9+O9+Q9+S9+U9+W9+Y9+AA9+AC9+AE9+AG9+AI9+AK9+AM9+AO9+AQ9+AQ9+AS9+AU9+AW9</f>
        <v>0</v>
      </c>
      <c r="AZ9" s="834"/>
      <c r="BA9" s="750">
        <f t="shared" ref="BA9:BA15" si="2">AY9*AZ9</f>
        <v>0</v>
      </c>
      <c r="BB9" s="837" t="str">
        <f t="shared" ref="BB9:BB15" si="3">AX9</f>
        <v xml:space="preserve"> </v>
      </c>
      <c r="BC9" s="752">
        <f t="shared" ref="BC9:BC15" si="4">AY9+BA9</f>
        <v>0</v>
      </c>
      <c r="BZ9" s="746"/>
    </row>
    <row r="10" spans="2:81" s="743" customFormat="1" ht="19.95" customHeight="1">
      <c r="B10" s="1158" t="s">
        <v>281</v>
      </c>
      <c r="C10" s="1159"/>
      <c r="D10" s="824"/>
      <c r="E10" s="753"/>
      <c r="F10" s="824"/>
      <c r="G10" s="753"/>
      <c r="H10" s="824"/>
      <c r="I10" s="753"/>
      <c r="J10" s="824"/>
      <c r="K10" s="753"/>
      <c r="L10" s="824"/>
      <c r="M10" s="753"/>
      <c r="N10" s="824"/>
      <c r="O10" s="753"/>
      <c r="P10" s="824"/>
      <c r="Q10" s="753"/>
      <c r="R10" s="824"/>
      <c r="S10" s="753"/>
      <c r="T10" s="824"/>
      <c r="U10" s="753"/>
      <c r="V10" s="824"/>
      <c r="W10" s="753"/>
      <c r="X10" s="824"/>
      <c r="Y10" s="753"/>
      <c r="Z10" s="824"/>
      <c r="AA10" s="753"/>
      <c r="AB10" s="824"/>
      <c r="AC10" s="753"/>
      <c r="AD10" s="824"/>
      <c r="AE10" s="753"/>
      <c r="AF10" s="824"/>
      <c r="AG10" s="753"/>
      <c r="AH10" s="824"/>
      <c r="AI10" s="753"/>
      <c r="AJ10" s="824"/>
      <c r="AK10" s="753"/>
      <c r="AL10" s="824"/>
      <c r="AM10" s="753"/>
      <c r="AN10" s="824"/>
      <c r="AO10" s="753"/>
      <c r="AP10" s="824"/>
      <c r="AQ10" s="753"/>
      <c r="AR10" s="824"/>
      <c r="AS10" s="753"/>
      <c r="AT10" s="824"/>
      <c r="AU10" s="753"/>
      <c r="AV10" s="824"/>
      <c r="AW10" s="753"/>
      <c r="AX10" s="828" t="str">
        <f t="shared" si="0"/>
        <v xml:space="preserve"> </v>
      </c>
      <c r="AY10" s="832">
        <f t="shared" si="1"/>
        <v>0</v>
      </c>
      <c r="AZ10" s="834"/>
      <c r="BA10" s="750">
        <f t="shared" si="2"/>
        <v>0</v>
      </c>
      <c r="BB10" s="837" t="str">
        <f t="shared" si="3"/>
        <v xml:space="preserve"> </v>
      </c>
      <c r="BC10" s="752">
        <f t="shared" si="4"/>
        <v>0</v>
      </c>
      <c r="BZ10" s="746"/>
    </row>
    <row r="11" spans="2:81" s="743" customFormat="1" ht="19.95" customHeight="1">
      <c r="B11" s="1158" t="s">
        <v>282</v>
      </c>
      <c r="C11" s="1159"/>
      <c r="D11" s="824"/>
      <c r="E11" s="753"/>
      <c r="F11" s="824"/>
      <c r="G11" s="753"/>
      <c r="H11" s="824"/>
      <c r="I11" s="753"/>
      <c r="J11" s="824"/>
      <c r="K11" s="753"/>
      <c r="L11" s="824"/>
      <c r="M11" s="753"/>
      <c r="N11" s="824"/>
      <c r="O11" s="753"/>
      <c r="P11" s="824"/>
      <c r="Q11" s="753"/>
      <c r="R11" s="824"/>
      <c r="S11" s="753"/>
      <c r="T11" s="824"/>
      <c r="U11" s="753"/>
      <c r="V11" s="824"/>
      <c r="W11" s="753"/>
      <c r="X11" s="824"/>
      <c r="Y11" s="753"/>
      <c r="Z11" s="824"/>
      <c r="AA11" s="753"/>
      <c r="AB11" s="824"/>
      <c r="AC11" s="753"/>
      <c r="AD11" s="824"/>
      <c r="AE11" s="753"/>
      <c r="AF11" s="824"/>
      <c r="AG11" s="753"/>
      <c r="AH11" s="824"/>
      <c r="AI11" s="753"/>
      <c r="AJ11" s="824"/>
      <c r="AK11" s="753"/>
      <c r="AL11" s="824"/>
      <c r="AM11" s="753"/>
      <c r="AN11" s="824"/>
      <c r="AO11" s="753"/>
      <c r="AP11" s="824"/>
      <c r="AQ11" s="753"/>
      <c r="AR11" s="824"/>
      <c r="AS11" s="753"/>
      <c r="AT11" s="824"/>
      <c r="AU11" s="753"/>
      <c r="AV11" s="824"/>
      <c r="AW11" s="753"/>
      <c r="AX11" s="828" t="str">
        <f t="shared" si="0"/>
        <v xml:space="preserve"> </v>
      </c>
      <c r="AY11" s="832">
        <f t="shared" si="1"/>
        <v>0</v>
      </c>
      <c r="AZ11" s="834"/>
      <c r="BA11" s="750">
        <f t="shared" si="2"/>
        <v>0</v>
      </c>
      <c r="BB11" s="837" t="str">
        <f t="shared" si="3"/>
        <v xml:space="preserve"> </v>
      </c>
      <c r="BC11" s="752">
        <f t="shared" si="4"/>
        <v>0</v>
      </c>
      <c r="BZ11" s="746"/>
    </row>
    <row r="12" spans="2:81" s="743" customFormat="1" ht="19.95" customHeight="1">
      <c r="B12" s="1158" t="s">
        <v>283</v>
      </c>
      <c r="C12" s="1159"/>
      <c r="D12" s="824"/>
      <c r="E12" s="753"/>
      <c r="F12" s="824"/>
      <c r="G12" s="753"/>
      <c r="H12" s="824"/>
      <c r="I12" s="753"/>
      <c r="J12" s="824"/>
      <c r="K12" s="753"/>
      <c r="L12" s="824"/>
      <c r="M12" s="753"/>
      <c r="N12" s="824"/>
      <c r="O12" s="753"/>
      <c r="P12" s="824"/>
      <c r="Q12" s="753"/>
      <c r="R12" s="824"/>
      <c r="S12" s="753"/>
      <c r="T12" s="824"/>
      <c r="U12" s="753"/>
      <c r="V12" s="824"/>
      <c r="W12" s="753"/>
      <c r="X12" s="824"/>
      <c r="Y12" s="753"/>
      <c r="Z12" s="824"/>
      <c r="AA12" s="753"/>
      <c r="AB12" s="824"/>
      <c r="AC12" s="753"/>
      <c r="AD12" s="824"/>
      <c r="AE12" s="753"/>
      <c r="AF12" s="824"/>
      <c r="AG12" s="753"/>
      <c r="AH12" s="824"/>
      <c r="AI12" s="753"/>
      <c r="AJ12" s="824"/>
      <c r="AK12" s="753"/>
      <c r="AL12" s="824"/>
      <c r="AM12" s="753"/>
      <c r="AN12" s="824"/>
      <c r="AO12" s="753"/>
      <c r="AP12" s="824"/>
      <c r="AQ12" s="753"/>
      <c r="AR12" s="824"/>
      <c r="AS12" s="753"/>
      <c r="AT12" s="824"/>
      <c r="AU12" s="753"/>
      <c r="AV12" s="824"/>
      <c r="AW12" s="753"/>
      <c r="AX12" s="828" t="str">
        <f t="shared" si="0"/>
        <v xml:space="preserve"> </v>
      </c>
      <c r="AY12" s="832">
        <f t="shared" si="1"/>
        <v>0</v>
      </c>
      <c r="AZ12" s="834"/>
      <c r="BA12" s="750">
        <f t="shared" si="2"/>
        <v>0</v>
      </c>
      <c r="BB12" s="837" t="str">
        <f t="shared" si="3"/>
        <v xml:space="preserve"> </v>
      </c>
      <c r="BC12" s="752">
        <f t="shared" si="4"/>
        <v>0</v>
      </c>
      <c r="BZ12" s="746"/>
    </row>
    <row r="13" spans="2:81" s="743" customFormat="1" ht="19.95" customHeight="1">
      <c r="B13" s="1158"/>
      <c r="C13" s="1159"/>
      <c r="D13" s="824"/>
      <c r="E13" s="753"/>
      <c r="F13" s="824"/>
      <c r="G13" s="753"/>
      <c r="H13" s="824"/>
      <c r="I13" s="753"/>
      <c r="J13" s="824"/>
      <c r="K13" s="753"/>
      <c r="L13" s="824"/>
      <c r="M13" s="753"/>
      <c r="N13" s="824"/>
      <c r="O13" s="753"/>
      <c r="P13" s="824"/>
      <c r="Q13" s="753"/>
      <c r="R13" s="824"/>
      <c r="S13" s="753"/>
      <c r="T13" s="824"/>
      <c r="U13" s="753"/>
      <c r="V13" s="824"/>
      <c r="W13" s="753"/>
      <c r="X13" s="824"/>
      <c r="Y13" s="753"/>
      <c r="Z13" s="824"/>
      <c r="AA13" s="753"/>
      <c r="AB13" s="824"/>
      <c r="AC13" s="753"/>
      <c r="AD13" s="824"/>
      <c r="AE13" s="753"/>
      <c r="AF13" s="824"/>
      <c r="AG13" s="753"/>
      <c r="AH13" s="824"/>
      <c r="AI13" s="753"/>
      <c r="AJ13" s="824"/>
      <c r="AK13" s="753"/>
      <c r="AL13" s="824"/>
      <c r="AM13" s="753"/>
      <c r="AN13" s="824"/>
      <c r="AO13" s="753"/>
      <c r="AP13" s="824"/>
      <c r="AQ13" s="753"/>
      <c r="AR13" s="824"/>
      <c r="AS13" s="753"/>
      <c r="AT13" s="824"/>
      <c r="AU13" s="753"/>
      <c r="AV13" s="824"/>
      <c r="AW13" s="753"/>
      <c r="AX13" s="828" t="str">
        <f t="shared" si="0"/>
        <v xml:space="preserve"> </v>
      </c>
      <c r="AY13" s="832">
        <f t="shared" si="1"/>
        <v>0</v>
      </c>
      <c r="AZ13" s="834"/>
      <c r="BA13" s="750">
        <f t="shared" si="2"/>
        <v>0</v>
      </c>
      <c r="BB13" s="837" t="str">
        <f t="shared" si="3"/>
        <v xml:space="preserve"> </v>
      </c>
      <c r="BC13" s="752">
        <f t="shared" si="4"/>
        <v>0</v>
      </c>
      <c r="BZ13" s="746"/>
    </row>
    <row r="14" spans="2:81" s="743" customFormat="1" ht="19.95" customHeight="1">
      <c r="B14" s="1158"/>
      <c r="C14" s="1159"/>
      <c r="D14" s="824"/>
      <c r="E14" s="753"/>
      <c r="F14" s="824"/>
      <c r="G14" s="753"/>
      <c r="H14" s="824"/>
      <c r="I14" s="753"/>
      <c r="J14" s="824"/>
      <c r="K14" s="753"/>
      <c r="L14" s="824"/>
      <c r="M14" s="753"/>
      <c r="N14" s="824"/>
      <c r="O14" s="753"/>
      <c r="P14" s="824"/>
      <c r="Q14" s="753"/>
      <c r="R14" s="824"/>
      <c r="S14" s="753"/>
      <c r="T14" s="824"/>
      <c r="U14" s="753"/>
      <c r="V14" s="824"/>
      <c r="W14" s="753"/>
      <c r="X14" s="824"/>
      <c r="Y14" s="753"/>
      <c r="Z14" s="824"/>
      <c r="AA14" s="753"/>
      <c r="AB14" s="824"/>
      <c r="AC14" s="753"/>
      <c r="AD14" s="824"/>
      <c r="AE14" s="753"/>
      <c r="AF14" s="824"/>
      <c r="AG14" s="753"/>
      <c r="AH14" s="824"/>
      <c r="AI14" s="753"/>
      <c r="AJ14" s="824"/>
      <c r="AK14" s="753"/>
      <c r="AL14" s="824"/>
      <c r="AM14" s="753"/>
      <c r="AN14" s="824"/>
      <c r="AO14" s="753"/>
      <c r="AP14" s="824"/>
      <c r="AQ14" s="753"/>
      <c r="AR14" s="824"/>
      <c r="AS14" s="753"/>
      <c r="AT14" s="824"/>
      <c r="AU14" s="753"/>
      <c r="AV14" s="824"/>
      <c r="AW14" s="753"/>
      <c r="AX14" s="828" t="str">
        <f t="shared" si="0"/>
        <v xml:space="preserve"> </v>
      </c>
      <c r="AY14" s="832">
        <f t="shared" si="1"/>
        <v>0</v>
      </c>
      <c r="AZ14" s="834"/>
      <c r="BA14" s="750">
        <f t="shared" si="2"/>
        <v>0</v>
      </c>
      <c r="BB14" s="837" t="str">
        <f t="shared" si="3"/>
        <v xml:space="preserve"> </v>
      </c>
      <c r="BC14" s="752">
        <f t="shared" si="4"/>
        <v>0</v>
      </c>
      <c r="BZ14" s="746"/>
    </row>
    <row r="15" spans="2:81" ht="19.95" customHeight="1">
      <c r="B15" s="1158"/>
      <c r="C15" s="1159"/>
      <c r="D15" s="824"/>
      <c r="E15" s="753"/>
      <c r="F15" s="824"/>
      <c r="G15" s="753"/>
      <c r="H15" s="824"/>
      <c r="I15" s="753"/>
      <c r="J15" s="824"/>
      <c r="K15" s="753"/>
      <c r="L15" s="824"/>
      <c r="M15" s="753"/>
      <c r="N15" s="824"/>
      <c r="O15" s="753"/>
      <c r="P15" s="824"/>
      <c r="Q15" s="753"/>
      <c r="R15" s="824"/>
      <c r="S15" s="753"/>
      <c r="T15" s="824"/>
      <c r="U15" s="753"/>
      <c r="V15" s="824"/>
      <c r="W15" s="753"/>
      <c r="X15" s="824"/>
      <c r="Y15" s="753"/>
      <c r="Z15" s="824"/>
      <c r="AA15" s="753"/>
      <c r="AB15" s="824"/>
      <c r="AC15" s="753"/>
      <c r="AD15" s="824"/>
      <c r="AE15" s="753"/>
      <c r="AF15" s="824"/>
      <c r="AG15" s="753"/>
      <c r="AH15" s="824"/>
      <c r="AI15" s="753"/>
      <c r="AJ15" s="824"/>
      <c r="AK15" s="753"/>
      <c r="AL15" s="824"/>
      <c r="AM15" s="753"/>
      <c r="AN15" s="824"/>
      <c r="AO15" s="753"/>
      <c r="AP15" s="824"/>
      <c r="AQ15" s="753"/>
      <c r="AR15" s="824"/>
      <c r="AS15" s="753"/>
      <c r="AT15" s="824"/>
      <c r="AU15" s="753"/>
      <c r="AV15" s="824"/>
      <c r="AW15" s="753"/>
      <c r="AX15" s="828" t="str">
        <f t="shared" si="0"/>
        <v xml:space="preserve"> </v>
      </c>
      <c r="AY15" s="832">
        <f t="shared" si="1"/>
        <v>0</v>
      </c>
      <c r="AZ15" s="834"/>
      <c r="BA15" s="750">
        <f t="shared" si="2"/>
        <v>0</v>
      </c>
      <c r="BB15" s="837" t="str">
        <f t="shared" si="3"/>
        <v xml:space="preserve"> </v>
      </c>
      <c r="BC15" s="752">
        <f t="shared" si="4"/>
        <v>0</v>
      </c>
      <c r="BD15" s="743"/>
      <c r="BE15" s="743"/>
      <c r="BF15" s="743"/>
      <c r="BG15" s="743"/>
      <c r="BH15" s="743"/>
      <c r="BI15" s="743"/>
      <c r="BJ15" s="743"/>
      <c r="BK15" s="743"/>
      <c r="BL15" s="743"/>
      <c r="BM15" s="743"/>
      <c r="BN15" s="743"/>
      <c r="BO15" s="743"/>
      <c r="BP15" s="743"/>
      <c r="BQ15" s="743"/>
      <c r="BR15" s="743"/>
      <c r="BS15" s="743"/>
      <c r="BT15" s="743"/>
      <c r="BU15" s="743"/>
      <c r="BV15" s="743"/>
      <c r="BW15" s="743"/>
      <c r="CA15" s="754"/>
      <c r="CB15" s="754"/>
      <c r="CC15" s="754"/>
    </row>
    <row r="16" spans="2:81" ht="19.95" customHeight="1">
      <c r="B16" s="1160" t="s">
        <v>0</v>
      </c>
      <c r="C16" s="1161"/>
      <c r="D16" s="825">
        <f>SUM(D8:D15)</f>
        <v>0</v>
      </c>
      <c r="E16" s="755">
        <f>SUM(E8:E12)</f>
        <v>0</v>
      </c>
      <c r="F16" s="825">
        <f>SUM(F8:F15)</f>
        <v>0</v>
      </c>
      <c r="G16" s="755">
        <f t="shared" ref="G16:AG16" si="5">SUM(G8:G12)</f>
        <v>0</v>
      </c>
      <c r="H16" s="825">
        <f>SUM(H8:H15)</f>
        <v>0</v>
      </c>
      <c r="I16" s="755">
        <f t="shared" si="5"/>
        <v>0</v>
      </c>
      <c r="J16" s="825">
        <f>SUM(J8:J15)</f>
        <v>0</v>
      </c>
      <c r="K16" s="755">
        <f t="shared" si="5"/>
        <v>0</v>
      </c>
      <c r="L16" s="825">
        <f>SUM(L8:L15)</f>
        <v>0</v>
      </c>
      <c r="M16" s="755">
        <f t="shared" si="5"/>
        <v>0</v>
      </c>
      <c r="N16" s="825">
        <f>SUM(N8:N15)</f>
        <v>0</v>
      </c>
      <c r="O16" s="755">
        <f t="shared" si="5"/>
        <v>0</v>
      </c>
      <c r="P16" s="825">
        <f>SUM(P8:P15)</f>
        <v>0</v>
      </c>
      <c r="Q16" s="755">
        <f t="shared" si="5"/>
        <v>0</v>
      </c>
      <c r="R16" s="825">
        <f>SUM(R8:R15)</f>
        <v>0</v>
      </c>
      <c r="S16" s="755">
        <f t="shared" si="5"/>
        <v>0</v>
      </c>
      <c r="T16" s="825">
        <f>SUM(T8:T15)</f>
        <v>0</v>
      </c>
      <c r="U16" s="755">
        <f t="shared" si="5"/>
        <v>0</v>
      </c>
      <c r="V16" s="825">
        <f>SUM(V8:V15)</f>
        <v>0</v>
      </c>
      <c r="W16" s="755">
        <f t="shared" si="5"/>
        <v>0</v>
      </c>
      <c r="X16" s="825">
        <f>SUM(X8:X15)</f>
        <v>0</v>
      </c>
      <c r="Y16" s="755">
        <f t="shared" si="5"/>
        <v>0</v>
      </c>
      <c r="Z16" s="825">
        <f>SUM(Z8:Z15)</f>
        <v>0</v>
      </c>
      <c r="AA16" s="755">
        <f t="shared" si="5"/>
        <v>0</v>
      </c>
      <c r="AB16" s="825">
        <f>SUM(AB8:AB15)</f>
        <v>0</v>
      </c>
      <c r="AC16" s="755">
        <f t="shared" si="5"/>
        <v>0</v>
      </c>
      <c r="AD16" s="825">
        <f>SUM(AD8:AD15)</f>
        <v>0</v>
      </c>
      <c r="AE16" s="755">
        <f t="shared" si="5"/>
        <v>0</v>
      </c>
      <c r="AF16" s="825">
        <f>SUM(AF8:AF15)</f>
        <v>0</v>
      </c>
      <c r="AG16" s="755">
        <f t="shared" si="5"/>
        <v>0</v>
      </c>
      <c r="AH16" s="825">
        <f>SUM(AH8:AH15)</f>
        <v>0</v>
      </c>
      <c r="AI16" s="755">
        <f t="shared" ref="AI16" si="6">SUM(AI8:AI12)</f>
        <v>0</v>
      </c>
      <c r="AJ16" s="825">
        <f>SUM(AJ8:AJ15)</f>
        <v>0</v>
      </c>
      <c r="AK16" s="755">
        <f t="shared" ref="AK16" si="7">SUM(AK8:AK12)</f>
        <v>0</v>
      </c>
      <c r="AL16" s="825">
        <f>SUM(AL8:AL15)</f>
        <v>0</v>
      </c>
      <c r="AM16" s="755">
        <f t="shared" ref="AM16" si="8">SUM(AM8:AM12)</f>
        <v>0</v>
      </c>
      <c r="AN16" s="825">
        <f>SUM(AN8:AN15)</f>
        <v>0</v>
      </c>
      <c r="AO16" s="755">
        <f t="shared" ref="AO16" si="9">SUM(AO8:AO12)</f>
        <v>0</v>
      </c>
      <c r="AP16" s="825">
        <f>SUM(AP8:AP15)</f>
        <v>0</v>
      </c>
      <c r="AQ16" s="755">
        <f t="shared" ref="AQ16" si="10">SUM(AQ8:AQ12)</f>
        <v>0</v>
      </c>
      <c r="AR16" s="825">
        <f>SUM(AR8:AR15)</f>
        <v>0</v>
      </c>
      <c r="AS16" s="755">
        <f t="shared" ref="AS16" si="11">SUM(AS8:AS12)</f>
        <v>0</v>
      </c>
      <c r="AT16" s="825">
        <f>SUM(AT8:AT15)</f>
        <v>0</v>
      </c>
      <c r="AU16" s="755">
        <f t="shared" ref="AU16" si="12">SUM(AU8:AU12)</f>
        <v>0</v>
      </c>
      <c r="AV16" s="825">
        <f>SUM(AV8:AV15)</f>
        <v>0</v>
      </c>
      <c r="AW16" s="755">
        <f t="shared" ref="AW16" si="13">SUM(AW8:AW12)</f>
        <v>0</v>
      </c>
      <c r="AX16" s="829">
        <f>SUM(AX8:AX15)</f>
        <v>0</v>
      </c>
      <c r="AY16" s="833">
        <f>SUM(AY8:AY12)</f>
        <v>0</v>
      </c>
      <c r="AZ16" s="835" t="str">
        <f>IF(ISERROR(BA16/AY16)," ",BA16/AY16)</f>
        <v xml:space="preserve"> </v>
      </c>
      <c r="BA16" s="756">
        <f>SUM(BA8:BA15)</f>
        <v>0</v>
      </c>
      <c r="BB16" s="838">
        <f t="shared" ref="BB16:BC16" si="14">SUM(BB8:BB15)</f>
        <v>0</v>
      </c>
      <c r="BC16" s="758">
        <f t="shared" si="14"/>
        <v>0</v>
      </c>
      <c r="BX16" s="759"/>
      <c r="BY16" s="760"/>
      <c r="CA16" s="754"/>
      <c r="CB16" s="754"/>
      <c r="CC16" s="754"/>
    </row>
    <row r="17" spans="2:81" ht="19.95" customHeight="1">
      <c r="BA17" s="743"/>
      <c r="BB17" s="743"/>
      <c r="BX17" s="759"/>
      <c r="BY17" s="760"/>
      <c r="CA17" s="754"/>
      <c r="CB17" s="754"/>
      <c r="CC17" s="754"/>
    </row>
    <row r="18" spans="2:81" ht="19.95" customHeight="1">
      <c r="B18" s="741" t="s">
        <v>284</v>
      </c>
      <c r="C18" s="742" t="str">
        <f>IF(ISBLANK(durée_2)," ",durée_2)</f>
        <v xml:space="preserve"> </v>
      </c>
      <c r="D18" s="826"/>
      <c r="E18" s="819"/>
      <c r="F18" s="819"/>
      <c r="G18" s="819"/>
      <c r="H18" s="819"/>
      <c r="I18" s="819"/>
      <c r="J18" s="819"/>
      <c r="K18" s="819"/>
      <c r="L18" s="819"/>
      <c r="M18" s="761"/>
      <c r="N18" s="761"/>
      <c r="O18" s="761"/>
      <c r="P18" s="761"/>
      <c r="Q18" s="761"/>
      <c r="R18" s="761"/>
      <c r="S18" s="761"/>
      <c r="T18" s="761"/>
      <c r="U18" s="761"/>
      <c r="V18" s="761"/>
      <c r="W18" s="762"/>
      <c r="X18" s="762"/>
      <c r="Y18" s="763"/>
      <c r="Z18" s="763"/>
      <c r="BF18" s="759"/>
      <c r="BG18" s="760"/>
      <c r="BS18" s="759"/>
      <c r="BT18" s="760"/>
      <c r="BV18" s="754"/>
      <c r="BW18" s="754"/>
      <c r="BX18" s="754"/>
    </row>
    <row r="19" spans="2:81" ht="3" customHeight="1">
      <c r="W19" s="762"/>
      <c r="X19" s="762"/>
      <c r="Y19" s="763"/>
      <c r="Z19" s="763"/>
      <c r="BF19" s="759"/>
      <c r="BG19" s="760"/>
      <c r="BS19" s="759"/>
      <c r="BT19" s="760"/>
      <c r="BV19" s="754"/>
      <c r="BW19" s="754"/>
      <c r="BX19" s="754"/>
    </row>
    <row r="20" spans="2:81" ht="19.95" customHeight="1">
      <c r="B20" s="1178" t="s">
        <v>164</v>
      </c>
      <c r="C20" s="1179"/>
      <c r="D20" s="1174" t="str">
        <f>IF(ISBLANK(durée_2)," ",1)</f>
        <v xml:space="preserve"> </v>
      </c>
      <c r="E20" s="1175"/>
      <c r="F20" s="1174" t="str">
        <f>IF(ISBLANK(durée_2)," ",D20+1)</f>
        <v xml:space="preserve"> </v>
      </c>
      <c r="G20" s="1175"/>
      <c r="H20" s="1174" t="str">
        <f>IF(ISBLANK(durée_2)," ",F20+1)</f>
        <v xml:space="preserve"> </v>
      </c>
      <c r="I20" s="1175"/>
      <c r="J20" s="1174" t="str">
        <f>IF(ISBLANK(durée_2)," ",H20+1)</f>
        <v xml:space="preserve"> </v>
      </c>
      <c r="K20" s="1175"/>
      <c r="L20" s="1174" t="str">
        <f>IF(ISBLANK(durée_2)," ",J20+1)</f>
        <v xml:space="preserve"> </v>
      </c>
      <c r="M20" s="1175"/>
      <c r="N20" s="1174" t="str">
        <f>IF(ISBLANK(durée_2)," ",L20+1)</f>
        <v xml:space="preserve"> </v>
      </c>
      <c r="O20" s="1175"/>
      <c r="P20" s="1174" t="str">
        <f>IF(ISBLANK(durée_2)," ",N20+1)</f>
        <v xml:space="preserve"> </v>
      </c>
      <c r="Q20" s="1175"/>
      <c r="R20" s="1174" t="str">
        <f>IF(ISBLANK(durée_2)," ",P20+1)</f>
        <v xml:space="preserve"> </v>
      </c>
      <c r="S20" s="1175"/>
      <c r="T20" s="1174" t="str">
        <f>IF(ISBLANK(durée_2)," ",R20+1)</f>
        <v xml:space="preserve"> </v>
      </c>
      <c r="U20" s="1175"/>
      <c r="V20" s="1174" t="str">
        <f>IF(ISBLANK(durée_2)," ",T20+1)</f>
        <v xml:space="preserve"> </v>
      </c>
      <c r="W20" s="1175"/>
      <c r="X20" s="1174" t="str">
        <f>IF(ISBLANK(durée_2)," ",V20+1)</f>
        <v xml:space="preserve"> </v>
      </c>
      <c r="Y20" s="1175"/>
      <c r="Z20" s="1174" t="str">
        <f>IF(ISBLANK(durée_2)," ",X20+1)</f>
        <v xml:space="preserve"> </v>
      </c>
      <c r="AA20" s="1175"/>
      <c r="AB20" s="1164" t="s">
        <v>275</v>
      </c>
      <c r="AC20" s="1165"/>
      <c r="AD20" s="1166" t="s">
        <v>276</v>
      </c>
      <c r="AE20" s="1167"/>
      <c r="AF20" s="1168" t="s">
        <v>277</v>
      </c>
      <c r="AG20" s="1169"/>
      <c r="AH20" s="763"/>
      <c r="AJ20" s="763"/>
      <c r="AL20" s="763"/>
      <c r="AN20" s="763"/>
      <c r="AP20" s="763"/>
      <c r="AR20" s="763"/>
      <c r="AT20" s="763"/>
      <c r="AV20" s="763"/>
      <c r="BI20" s="759"/>
      <c r="BJ20" s="760"/>
      <c r="BV20" s="759"/>
      <c r="BW20" s="760"/>
      <c r="BY20" s="754"/>
      <c r="BZ20" s="754"/>
      <c r="CA20" s="754"/>
    </row>
    <row r="21" spans="2:81" ht="19.95" customHeight="1">
      <c r="B21" s="1170" t="s">
        <v>278</v>
      </c>
      <c r="C21" s="1171"/>
      <c r="D21" s="821" t="str">
        <f>IF(ISBLANK(durée_2)," ","Nb")</f>
        <v xml:space="preserve"> </v>
      </c>
      <c r="E21" s="822" t="str">
        <f>IF(ISBLANK(durée_2)," ","€")</f>
        <v xml:space="preserve"> </v>
      </c>
      <c r="F21" s="821" t="str">
        <f>IF(ISBLANK(durée_2)," ","Nb")</f>
        <v xml:space="preserve"> </v>
      </c>
      <c r="G21" s="822" t="str">
        <f>IF(ISBLANK(durée_2)," ","€")</f>
        <v xml:space="preserve"> </v>
      </c>
      <c r="H21" s="821" t="str">
        <f>IF(ISBLANK(durée_2)," ","Nb")</f>
        <v xml:space="preserve"> </v>
      </c>
      <c r="I21" s="822" t="str">
        <f>IF(ISBLANK(durée_2)," ","€")</f>
        <v xml:space="preserve"> </v>
      </c>
      <c r="J21" s="821" t="str">
        <f>IF(ISBLANK(durée_2)," ","Nb")</f>
        <v xml:space="preserve"> </v>
      </c>
      <c r="K21" s="822" t="str">
        <f>IF(ISBLANK(durée_2)," ","€")</f>
        <v xml:space="preserve"> </v>
      </c>
      <c r="L21" s="821" t="str">
        <f>IF(ISBLANK(durée_2)," ","Nb")</f>
        <v xml:space="preserve"> </v>
      </c>
      <c r="M21" s="822" t="str">
        <f>IF(ISBLANK(durée_2)," ","€")</f>
        <v xml:space="preserve"> </v>
      </c>
      <c r="N21" s="821" t="str">
        <f>IF(ISBLANK(durée_2)," ","Nb")</f>
        <v xml:space="preserve"> </v>
      </c>
      <c r="O21" s="822" t="str">
        <f>IF(ISBLANK(durée_2)," ","€")</f>
        <v xml:space="preserve"> </v>
      </c>
      <c r="P21" s="821" t="str">
        <f>IF(ISBLANK(durée_2)," ","Nb")</f>
        <v xml:space="preserve"> </v>
      </c>
      <c r="Q21" s="822" t="str">
        <f>IF(ISBLANK(durée_2)," ","€")</f>
        <v xml:space="preserve"> </v>
      </c>
      <c r="R21" s="821" t="str">
        <f>IF(ISBLANK(durée_2)," ","Nb")</f>
        <v xml:space="preserve"> </v>
      </c>
      <c r="S21" s="822" t="str">
        <f>IF(ISBLANK(durée_2)," ","€")</f>
        <v xml:space="preserve"> </v>
      </c>
      <c r="T21" s="821" t="str">
        <f>IF(ISBLANK(durée_2)," ","Nb")</f>
        <v xml:space="preserve"> </v>
      </c>
      <c r="U21" s="822" t="str">
        <f>IF(ISBLANK(durée_2)," ","€")</f>
        <v xml:space="preserve"> </v>
      </c>
      <c r="V21" s="821" t="str">
        <f>IF(ISBLANK(durée_2)," ","Nb")</f>
        <v xml:space="preserve"> </v>
      </c>
      <c r="W21" s="822" t="str">
        <f>IF(ISBLANK(durée_2)," ","€")</f>
        <v xml:space="preserve"> </v>
      </c>
      <c r="X21" s="821" t="str">
        <f>IF(ISBLANK(durée_2)," ","Nb")</f>
        <v xml:space="preserve"> </v>
      </c>
      <c r="Y21" s="822" t="str">
        <f>IF(ISBLANK(durée_2)," ","€")</f>
        <v xml:space="preserve"> </v>
      </c>
      <c r="Z21" s="821" t="str">
        <f>IF(ISBLANK(durée_2)," ","Nb")</f>
        <v xml:space="preserve"> </v>
      </c>
      <c r="AA21" s="822" t="str">
        <f>IF(ISBLANK(durée_2)," ","€")</f>
        <v xml:space="preserve"> </v>
      </c>
      <c r="AB21" s="827" t="str">
        <f>IF(ISBLANK(durée_2)," ","Nb")</f>
        <v xml:space="preserve"> </v>
      </c>
      <c r="AC21" s="830" t="str">
        <f>IF(ISBLANK(durée_2)," ","€")</f>
        <v xml:space="preserve"> </v>
      </c>
      <c r="AD21" s="839" t="str">
        <f>IF(ISBLANK(durée_2)," ","Taux")</f>
        <v xml:space="preserve"> </v>
      </c>
      <c r="AE21" s="840" t="str">
        <f>IF(ISBLANK(durée_2)," ","€")</f>
        <v xml:space="preserve"> </v>
      </c>
      <c r="AF21" s="747" t="str">
        <f>IF(ISBLANK(durée_2)," ","Nb")</f>
        <v xml:space="preserve"> </v>
      </c>
      <c r="AG21" s="748" t="str">
        <f>IF(ISBLANK(durée_2)," ","€")</f>
        <v xml:space="preserve"> </v>
      </c>
      <c r="AH21" s="763"/>
      <c r="AJ21" s="763"/>
      <c r="AL21" s="763"/>
      <c r="AN21" s="763"/>
      <c r="AP21" s="763"/>
      <c r="AR21" s="763"/>
      <c r="AT21" s="763"/>
      <c r="AV21" s="763"/>
      <c r="BI21" s="759"/>
      <c r="BJ21" s="760"/>
      <c r="BV21" s="759"/>
      <c r="BW21" s="760"/>
      <c r="BY21" s="754"/>
      <c r="BZ21" s="754"/>
      <c r="CA21" s="754"/>
    </row>
    <row r="22" spans="2:81" ht="19.95" customHeight="1">
      <c r="B22" s="1172" t="s">
        <v>279</v>
      </c>
      <c r="C22" s="1173"/>
      <c r="D22" s="823"/>
      <c r="E22" s="749"/>
      <c r="F22" s="823"/>
      <c r="G22" s="749"/>
      <c r="H22" s="823"/>
      <c r="I22" s="749"/>
      <c r="J22" s="823"/>
      <c r="K22" s="749"/>
      <c r="L22" s="823"/>
      <c r="M22" s="749"/>
      <c r="N22" s="823"/>
      <c r="O22" s="749"/>
      <c r="P22" s="823"/>
      <c r="Q22" s="749"/>
      <c r="R22" s="823"/>
      <c r="S22" s="749"/>
      <c r="T22" s="823"/>
      <c r="U22" s="749"/>
      <c r="V22" s="823"/>
      <c r="W22" s="749"/>
      <c r="X22" s="823"/>
      <c r="Y22" s="749"/>
      <c r="Z22" s="823"/>
      <c r="AA22" s="749"/>
      <c r="AB22" s="828" t="str">
        <f t="shared" ref="AB22:AB29" si="15">IF(ISERROR((D22+F22+H22+J22+L22+N22+P22+R22+T22+V22+X22+Z22)/durée_2)," ",(D22+F22+H22+J22+L22+N22+P22+R22+T22+V22+X22+Z22)/durée_2)</f>
        <v xml:space="preserve"> </v>
      </c>
      <c r="AC22" s="831">
        <f>E22+G22+I22+K22+M22+O22+Q22+S22+U22+W22+Y22+AA22</f>
        <v>0</v>
      </c>
      <c r="AD22" s="834"/>
      <c r="AE22" s="750">
        <f>AC22*AD22</f>
        <v>0</v>
      </c>
      <c r="AF22" s="751" t="str">
        <f>AB22</f>
        <v xml:space="preserve"> </v>
      </c>
      <c r="AG22" s="752">
        <f>AC22+AE22</f>
        <v>0</v>
      </c>
      <c r="AH22" s="763"/>
      <c r="AJ22" s="763"/>
      <c r="AL22" s="763"/>
      <c r="AN22" s="763"/>
      <c r="AP22" s="763"/>
      <c r="AR22" s="763"/>
      <c r="AT22" s="763"/>
      <c r="AV22" s="763"/>
      <c r="BI22" s="759"/>
      <c r="BJ22" s="760"/>
      <c r="BV22" s="759"/>
      <c r="BW22" s="760"/>
      <c r="BY22" s="754"/>
      <c r="BZ22" s="754"/>
      <c r="CA22" s="754"/>
    </row>
    <row r="23" spans="2:81" ht="19.95" customHeight="1">
      <c r="B23" s="1158" t="s">
        <v>280</v>
      </c>
      <c r="C23" s="1159"/>
      <c r="D23" s="824"/>
      <c r="E23" s="753"/>
      <c r="F23" s="824"/>
      <c r="G23" s="753"/>
      <c r="H23" s="824"/>
      <c r="I23" s="753"/>
      <c r="J23" s="824"/>
      <c r="K23" s="753"/>
      <c r="L23" s="824"/>
      <c r="M23" s="753"/>
      <c r="N23" s="824"/>
      <c r="O23" s="753"/>
      <c r="P23" s="824"/>
      <c r="Q23" s="753"/>
      <c r="R23" s="824"/>
      <c r="S23" s="753"/>
      <c r="T23" s="824"/>
      <c r="U23" s="753"/>
      <c r="V23" s="824"/>
      <c r="W23" s="753"/>
      <c r="X23" s="824"/>
      <c r="Y23" s="753"/>
      <c r="Z23" s="824"/>
      <c r="AA23" s="753"/>
      <c r="AB23" s="828" t="str">
        <f t="shared" si="15"/>
        <v xml:space="preserve"> </v>
      </c>
      <c r="AC23" s="831">
        <f t="shared" ref="AC23:AC29" si="16">E23+G23+I23+K23+M23+O23+Q23+S23+U23+W23+Y23+AA23</f>
        <v>0</v>
      </c>
      <c r="AD23" s="834"/>
      <c r="AE23" s="750">
        <f t="shared" ref="AE23:AE29" si="17">AC23*AD23</f>
        <v>0</v>
      </c>
      <c r="AF23" s="751" t="str">
        <f t="shared" ref="AF23:AF29" si="18">AB23</f>
        <v xml:space="preserve"> </v>
      </c>
      <c r="AG23" s="752">
        <f t="shared" ref="AG23:AG29" si="19">AC23+AE23</f>
        <v>0</v>
      </c>
      <c r="AH23" s="763"/>
      <c r="AJ23" s="763"/>
      <c r="AL23" s="763"/>
      <c r="AN23" s="763"/>
      <c r="AP23" s="763"/>
      <c r="AR23" s="763"/>
      <c r="AT23" s="763"/>
      <c r="AV23" s="763"/>
      <c r="BI23" s="759"/>
      <c r="BJ23" s="760"/>
      <c r="BV23" s="759"/>
      <c r="BW23" s="760"/>
      <c r="BY23" s="754"/>
      <c r="BZ23" s="754"/>
      <c r="CA23" s="754"/>
    </row>
    <row r="24" spans="2:81" ht="19.95" customHeight="1">
      <c r="B24" s="1158" t="s">
        <v>281</v>
      </c>
      <c r="C24" s="1159"/>
      <c r="D24" s="824"/>
      <c r="E24" s="753"/>
      <c r="F24" s="824"/>
      <c r="G24" s="753"/>
      <c r="H24" s="824"/>
      <c r="I24" s="753"/>
      <c r="J24" s="824"/>
      <c r="K24" s="753"/>
      <c r="L24" s="824"/>
      <c r="M24" s="753"/>
      <c r="N24" s="824"/>
      <c r="O24" s="753"/>
      <c r="P24" s="824"/>
      <c r="Q24" s="753"/>
      <c r="R24" s="824"/>
      <c r="S24" s="753"/>
      <c r="T24" s="824"/>
      <c r="U24" s="753"/>
      <c r="V24" s="824"/>
      <c r="W24" s="753"/>
      <c r="X24" s="824"/>
      <c r="Y24" s="753"/>
      <c r="Z24" s="824"/>
      <c r="AA24" s="753"/>
      <c r="AB24" s="828" t="str">
        <f t="shared" si="15"/>
        <v xml:space="preserve"> </v>
      </c>
      <c r="AC24" s="831">
        <f t="shared" si="16"/>
        <v>0</v>
      </c>
      <c r="AD24" s="834"/>
      <c r="AE24" s="750">
        <f t="shared" si="17"/>
        <v>0</v>
      </c>
      <c r="AF24" s="751" t="str">
        <f t="shared" si="18"/>
        <v xml:space="preserve"> </v>
      </c>
      <c r="AG24" s="752">
        <f t="shared" si="19"/>
        <v>0</v>
      </c>
      <c r="AH24" s="763"/>
      <c r="AJ24" s="763"/>
      <c r="AL24" s="763"/>
      <c r="AN24" s="763"/>
      <c r="AP24" s="763"/>
      <c r="AR24" s="763"/>
      <c r="AT24" s="763"/>
      <c r="AV24" s="763"/>
      <c r="BI24" s="759"/>
      <c r="BJ24" s="760"/>
      <c r="BV24" s="759"/>
      <c r="BW24" s="760"/>
      <c r="BY24" s="754"/>
      <c r="BZ24" s="754"/>
      <c r="CA24" s="754"/>
    </row>
    <row r="25" spans="2:81" ht="19.95" customHeight="1">
      <c r="B25" s="1158" t="s">
        <v>282</v>
      </c>
      <c r="C25" s="1159"/>
      <c r="D25" s="824"/>
      <c r="E25" s="753"/>
      <c r="F25" s="824"/>
      <c r="G25" s="753"/>
      <c r="H25" s="824"/>
      <c r="I25" s="753"/>
      <c r="J25" s="824"/>
      <c r="K25" s="753"/>
      <c r="L25" s="824"/>
      <c r="M25" s="753"/>
      <c r="N25" s="824"/>
      <c r="O25" s="753"/>
      <c r="P25" s="824"/>
      <c r="Q25" s="753"/>
      <c r="R25" s="824"/>
      <c r="S25" s="753"/>
      <c r="T25" s="824"/>
      <c r="U25" s="753"/>
      <c r="V25" s="824"/>
      <c r="W25" s="753"/>
      <c r="X25" s="824"/>
      <c r="Y25" s="753"/>
      <c r="Z25" s="824"/>
      <c r="AA25" s="753"/>
      <c r="AB25" s="828" t="str">
        <f t="shared" si="15"/>
        <v xml:space="preserve"> </v>
      </c>
      <c r="AC25" s="831">
        <f t="shared" si="16"/>
        <v>0</v>
      </c>
      <c r="AD25" s="834"/>
      <c r="AE25" s="750">
        <f t="shared" si="17"/>
        <v>0</v>
      </c>
      <c r="AF25" s="751" t="str">
        <f t="shared" si="18"/>
        <v xml:space="preserve"> </v>
      </c>
      <c r="AG25" s="752">
        <f t="shared" si="19"/>
        <v>0</v>
      </c>
      <c r="AH25" s="763"/>
      <c r="AJ25" s="763"/>
      <c r="AL25" s="763"/>
      <c r="AN25" s="763"/>
      <c r="AP25" s="763"/>
      <c r="AR25" s="763"/>
      <c r="AT25" s="763"/>
      <c r="AV25" s="763"/>
      <c r="BI25" s="759"/>
      <c r="BJ25" s="760"/>
      <c r="BV25" s="759"/>
      <c r="BW25" s="760"/>
      <c r="BY25" s="754"/>
      <c r="BZ25" s="754"/>
      <c r="CA25" s="754"/>
    </row>
    <row r="26" spans="2:81" ht="19.95" customHeight="1">
      <c r="B26" s="1158" t="s">
        <v>283</v>
      </c>
      <c r="C26" s="1159"/>
      <c r="D26" s="824"/>
      <c r="E26" s="753"/>
      <c r="F26" s="824"/>
      <c r="G26" s="753"/>
      <c r="H26" s="824"/>
      <c r="I26" s="753"/>
      <c r="J26" s="824"/>
      <c r="K26" s="753"/>
      <c r="L26" s="824"/>
      <c r="M26" s="753"/>
      <c r="N26" s="824"/>
      <c r="O26" s="753"/>
      <c r="P26" s="824"/>
      <c r="Q26" s="753"/>
      <c r="R26" s="824"/>
      <c r="S26" s="753"/>
      <c r="T26" s="824"/>
      <c r="U26" s="753"/>
      <c r="V26" s="824"/>
      <c r="W26" s="753"/>
      <c r="X26" s="824"/>
      <c r="Y26" s="753"/>
      <c r="Z26" s="824"/>
      <c r="AA26" s="753"/>
      <c r="AB26" s="828" t="str">
        <f t="shared" si="15"/>
        <v xml:space="preserve"> </v>
      </c>
      <c r="AC26" s="831">
        <f t="shared" si="16"/>
        <v>0</v>
      </c>
      <c r="AD26" s="834"/>
      <c r="AE26" s="750">
        <f t="shared" si="17"/>
        <v>0</v>
      </c>
      <c r="AF26" s="751" t="str">
        <f t="shared" si="18"/>
        <v xml:space="preserve"> </v>
      </c>
      <c r="AG26" s="752">
        <f t="shared" si="19"/>
        <v>0</v>
      </c>
      <c r="AH26" s="763"/>
      <c r="AJ26" s="763"/>
      <c r="AL26" s="763"/>
      <c r="AN26" s="763"/>
      <c r="AP26" s="763"/>
      <c r="AR26" s="763"/>
      <c r="AT26" s="763"/>
      <c r="AV26" s="763"/>
      <c r="BI26" s="759"/>
      <c r="BJ26" s="760"/>
      <c r="BV26" s="759"/>
      <c r="BW26" s="760"/>
      <c r="BY26" s="754"/>
      <c r="BZ26" s="754"/>
      <c r="CA26" s="754"/>
    </row>
    <row r="27" spans="2:81" ht="19.95" customHeight="1">
      <c r="B27" s="1158"/>
      <c r="C27" s="1159"/>
      <c r="D27" s="824"/>
      <c r="E27" s="753"/>
      <c r="F27" s="824"/>
      <c r="G27" s="753"/>
      <c r="H27" s="824"/>
      <c r="I27" s="753"/>
      <c r="J27" s="824"/>
      <c r="K27" s="753"/>
      <c r="L27" s="824"/>
      <c r="M27" s="753"/>
      <c r="N27" s="824"/>
      <c r="O27" s="753"/>
      <c r="P27" s="824"/>
      <c r="Q27" s="753"/>
      <c r="R27" s="824"/>
      <c r="S27" s="753"/>
      <c r="T27" s="824"/>
      <c r="U27" s="753"/>
      <c r="V27" s="824"/>
      <c r="W27" s="753"/>
      <c r="X27" s="824"/>
      <c r="Y27" s="753"/>
      <c r="Z27" s="824"/>
      <c r="AA27" s="753"/>
      <c r="AB27" s="828" t="str">
        <f t="shared" si="15"/>
        <v xml:space="preserve"> </v>
      </c>
      <c r="AC27" s="831">
        <f t="shared" si="16"/>
        <v>0</v>
      </c>
      <c r="AD27" s="834"/>
      <c r="AE27" s="750">
        <f t="shared" si="17"/>
        <v>0</v>
      </c>
      <c r="AF27" s="751" t="str">
        <f t="shared" si="18"/>
        <v xml:space="preserve"> </v>
      </c>
      <c r="AG27" s="752">
        <f t="shared" si="19"/>
        <v>0</v>
      </c>
      <c r="AH27" s="763"/>
      <c r="AJ27" s="763"/>
      <c r="AL27" s="763"/>
      <c r="AN27" s="763"/>
      <c r="AP27" s="763"/>
      <c r="AR27" s="763"/>
      <c r="AT27" s="763"/>
      <c r="AV27" s="763"/>
      <c r="BI27" s="759"/>
      <c r="BJ27" s="760"/>
      <c r="BV27" s="759"/>
      <c r="BW27" s="760"/>
      <c r="BY27" s="754"/>
      <c r="BZ27" s="754"/>
      <c r="CA27" s="754"/>
    </row>
    <row r="28" spans="2:81" ht="19.95" customHeight="1">
      <c r="B28" s="1158"/>
      <c r="C28" s="1159"/>
      <c r="D28" s="824"/>
      <c r="E28" s="753"/>
      <c r="F28" s="824"/>
      <c r="G28" s="753"/>
      <c r="H28" s="824"/>
      <c r="I28" s="753"/>
      <c r="J28" s="824"/>
      <c r="K28" s="753"/>
      <c r="L28" s="824"/>
      <c r="M28" s="753"/>
      <c r="N28" s="824"/>
      <c r="O28" s="753"/>
      <c r="P28" s="824"/>
      <c r="Q28" s="753"/>
      <c r="R28" s="824"/>
      <c r="S28" s="753"/>
      <c r="T28" s="824"/>
      <c r="U28" s="753"/>
      <c r="V28" s="824"/>
      <c r="W28" s="753"/>
      <c r="X28" s="824"/>
      <c r="Y28" s="753"/>
      <c r="Z28" s="824"/>
      <c r="AA28" s="753"/>
      <c r="AB28" s="828" t="str">
        <f t="shared" si="15"/>
        <v xml:space="preserve"> </v>
      </c>
      <c r="AC28" s="831">
        <f t="shared" si="16"/>
        <v>0</v>
      </c>
      <c r="AD28" s="834"/>
      <c r="AE28" s="750">
        <f t="shared" si="17"/>
        <v>0</v>
      </c>
      <c r="AF28" s="751" t="str">
        <f t="shared" si="18"/>
        <v xml:space="preserve"> </v>
      </c>
      <c r="AG28" s="752">
        <f t="shared" si="19"/>
        <v>0</v>
      </c>
      <c r="AH28" s="763"/>
      <c r="AJ28" s="763"/>
      <c r="AL28" s="763"/>
      <c r="AN28" s="763"/>
      <c r="AP28" s="763"/>
      <c r="AR28" s="763"/>
      <c r="AT28" s="763"/>
      <c r="AV28" s="763"/>
      <c r="BI28" s="759"/>
      <c r="BJ28" s="760"/>
      <c r="BV28" s="759"/>
      <c r="BW28" s="760"/>
      <c r="BY28" s="754"/>
      <c r="BZ28" s="754"/>
      <c r="CA28" s="754"/>
    </row>
    <row r="29" spans="2:81" ht="19.95" customHeight="1">
      <c r="B29" s="1158"/>
      <c r="C29" s="1159"/>
      <c r="D29" s="824"/>
      <c r="E29" s="753"/>
      <c r="F29" s="824"/>
      <c r="G29" s="753"/>
      <c r="H29" s="824"/>
      <c r="I29" s="753"/>
      <c r="J29" s="824"/>
      <c r="K29" s="753"/>
      <c r="L29" s="824"/>
      <c r="M29" s="753"/>
      <c r="N29" s="824"/>
      <c r="O29" s="753"/>
      <c r="P29" s="824"/>
      <c r="Q29" s="753"/>
      <c r="R29" s="824"/>
      <c r="S29" s="753"/>
      <c r="T29" s="824"/>
      <c r="U29" s="753"/>
      <c r="V29" s="824"/>
      <c r="W29" s="753"/>
      <c r="X29" s="824"/>
      <c r="Y29" s="753"/>
      <c r="Z29" s="824"/>
      <c r="AA29" s="753"/>
      <c r="AB29" s="828" t="str">
        <f t="shared" si="15"/>
        <v xml:space="preserve"> </v>
      </c>
      <c r="AC29" s="831">
        <f t="shared" si="16"/>
        <v>0</v>
      </c>
      <c r="AD29" s="834"/>
      <c r="AE29" s="750">
        <f t="shared" si="17"/>
        <v>0</v>
      </c>
      <c r="AF29" s="751" t="str">
        <f t="shared" si="18"/>
        <v xml:space="preserve"> </v>
      </c>
      <c r="AG29" s="752">
        <f t="shared" si="19"/>
        <v>0</v>
      </c>
      <c r="AH29" s="763"/>
      <c r="AJ29" s="763"/>
      <c r="AL29" s="763"/>
      <c r="AN29" s="763"/>
      <c r="AP29" s="763"/>
      <c r="AR29" s="763"/>
      <c r="AT29" s="763"/>
      <c r="AV29" s="763"/>
      <c r="BI29" s="759"/>
      <c r="BJ29" s="760"/>
      <c r="BV29" s="759"/>
      <c r="BW29" s="760"/>
      <c r="BY29" s="754"/>
      <c r="BZ29" s="754"/>
      <c r="CA29" s="754"/>
    </row>
    <row r="30" spans="2:81" s="754" customFormat="1" ht="19.95" customHeight="1">
      <c r="B30" s="1160" t="s">
        <v>0</v>
      </c>
      <c r="C30" s="1161"/>
      <c r="D30" s="825">
        <f>SUM(D22:D29)</f>
        <v>0</v>
      </c>
      <c r="E30" s="755">
        <f>SUM(E22:E26)</f>
        <v>0</v>
      </c>
      <c r="F30" s="825">
        <f>SUM(F22:F29)</f>
        <v>0</v>
      </c>
      <c r="G30" s="755">
        <f t="shared" ref="G30" si="20">SUM(G22:G26)</f>
        <v>0</v>
      </c>
      <c r="H30" s="825">
        <f>SUM(H22:H29)</f>
        <v>0</v>
      </c>
      <c r="I30" s="755">
        <f t="shared" ref="I30" si="21">SUM(I22:I26)</f>
        <v>0</v>
      </c>
      <c r="J30" s="825">
        <f>SUM(J22:J29)</f>
        <v>0</v>
      </c>
      <c r="K30" s="755">
        <f t="shared" ref="K30" si="22">SUM(K22:K26)</f>
        <v>0</v>
      </c>
      <c r="L30" s="825">
        <f>SUM(L22:L29)</f>
        <v>0</v>
      </c>
      <c r="M30" s="755">
        <f t="shared" ref="M30" si="23">SUM(M22:M26)</f>
        <v>0</v>
      </c>
      <c r="N30" s="825">
        <f>SUM(N22:N29)</f>
        <v>0</v>
      </c>
      <c r="O30" s="755">
        <f t="shared" ref="O30" si="24">SUM(O22:O26)</f>
        <v>0</v>
      </c>
      <c r="P30" s="825">
        <f>SUM(P22:P29)</f>
        <v>0</v>
      </c>
      <c r="Q30" s="755">
        <f t="shared" ref="Q30" si="25">SUM(Q22:Q26)</f>
        <v>0</v>
      </c>
      <c r="R30" s="825">
        <f>SUM(R22:R29)</f>
        <v>0</v>
      </c>
      <c r="S30" s="755">
        <f t="shared" ref="S30" si="26">SUM(S22:S26)</f>
        <v>0</v>
      </c>
      <c r="T30" s="825">
        <f>SUM(T22:T29)</f>
        <v>0</v>
      </c>
      <c r="U30" s="755">
        <f t="shared" ref="U30" si="27">SUM(U22:U26)</f>
        <v>0</v>
      </c>
      <c r="V30" s="825">
        <f>SUM(V22:V29)</f>
        <v>0</v>
      </c>
      <c r="W30" s="755">
        <f t="shared" ref="W30" si="28">SUM(W22:W26)</f>
        <v>0</v>
      </c>
      <c r="X30" s="825">
        <f>SUM(X22:X29)</f>
        <v>0</v>
      </c>
      <c r="Y30" s="755">
        <f t="shared" ref="Y30" si="29">SUM(Y22:Y26)</f>
        <v>0</v>
      </c>
      <c r="Z30" s="825">
        <f>SUM(Z22:Z29)</f>
        <v>0</v>
      </c>
      <c r="AA30" s="755">
        <f t="shared" ref="AA30" si="30">SUM(AA22:AA26)</f>
        <v>0</v>
      </c>
      <c r="AB30" s="829">
        <f>SUM(AB22:AB29)</f>
        <v>0</v>
      </c>
      <c r="AC30" s="833">
        <f>SUM(AC22:AC26)</f>
        <v>0</v>
      </c>
      <c r="AD30" s="835" t="str">
        <f>IF(ISERROR(AE30/AC30)," ",AE30/AC30)</f>
        <v xml:space="preserve"> </v>
      </c>
      <c r="AE30" s="756">
        <f>SUM(AE22:AE29)</f>
        <v>0</v>
      </c>
      <c r="AF30" s="757">
        <f t="shared" ref="AF30:AG30" si="31">SUM(AF22:AF29)</f>
        <v>0</v>
      </c>
      <c r="AG30" s="758">
        <f t="shared" si="31"/>
        <v>0</v>
      </c>
      <c r="AH30" s="763"/>
      <c r="AJ30" s="763"/>
      <c r="AL30" s="763"/>
      <c r="AN30" s="763"/>
      <c r="AP30" s="763"/>
      <c r="AR30" s="763"/>
      <c r="AT30" s="763"/>
      <c r="AV30" s="763"/>
      <c r="BI30" s="760"/>
      <c r="BJ30" s="760"/>
      <c r="BV30" s="760"/>
      <c r="BW30" s="760"/>
    </row>
    <row r="31" spans="2:81" ht="19.95" customHeight="1">
      <c r="Q31" s="759"/>
      <c r="R31" s="759"/>
      <c r="S31" s="760"/>
      <c r="T31" s="760"/>
      <c r="U31" s="761"/>
      <c r="V31" s="761"/>
      <c r="W31" s="762"/>
      <c r="X31" s="762"/>
      <c r="Y31" s="763"/>
      <c r="Z31" s="763"/>
      <c r="BF31" s="759"/>
      <c r="BG31" s="760"/>
      <c r="BS31" s="759"/>
      <c r="BT31" s="760"/>
      <c r="BV31" s="754"/>
      <c r="BW31" s="754"/>
      <c r="BX31" s="754"/>
    </row>
    <row r="32" spans="2:81" ht="19.95" customHeight="1">
      <c r="B32" s="741" t="s">
        <v>285</v>
      </c>
      <c r="C32" s="742" t="str">
        <f>IF(ISBLANK(durée_3)," ",durée_3)</f>
        <v xml:space="preserve"> </v>
      </c>
      <c r="D32" s="826"/>
      <c r="E32" s="819"/>
      <c r="F32" s="819"/>
      <c r="G32" s="819"/>
      <c r="H32" s="819"/>
      <c r="I32" s="819"/>
      <c r="J32" s="819"/>
      <c r="K32" s="819"/>
      <c r="L32" s="819"/>
      <c r="M32" s="761"/>
      <c r="N32" s="761"/>
      <c r="O32" s="761"/>
      <c r="P32" s="761"/>
      <c r="Q32" s="761"/>
      <c r="R32" s="761"/>
      <c r="S32" s="761"/>
      <c r="T32" s="761"/>
      <c r="U32" s="761"/>
      <c r="V32" s="761"/>
      <c r="W32" s="762"/>
      <c r="X32" s="762"/>
      <c r="Y32" s="763"/>
      <c r="Z32" s="763"/>
      <c r="BF32" s="759"/>
      <c r="BG32" s="760"/>
      <c r="BS32" s="759"/>
      <c r="BT32" s="760"/>
      <c r="BV32" s="754"/>
      <c r="BW32" s="754"/>
      <c r="BX32" s="754"/>
    </row>
    <row r="33" spans="2:79" ht="3" customHeight="1">
      <c r="W33" s="762"/>
      <c r="X33" s="762"/>
      <c r="Y33" s="763"/>
      <c r="Z33" s="763"/>
      <c r="BF33" s="759"/>
      <c r="BG33" s="760"/>
      <c r="BS33" s="759"/>
      <c r="BT33" s="760"/>
      <c r="BV33" s="754"/>
      <c r="BW33" s="754"/>
      <c r="BX33" s="754"/>
    </row>
    <row r="34" spans="2:79" ht="19.95" customHeight="1">
      <c r="B34" s="1178" t="s">
        <v>164</v>
      </c>
      <c r="C34" s="1179"/>
      <c r="D34" s="1174" t="str">
        <f>IF(ISBLANK(durée_3)," ",1)</f>
        <v xml:space="preserve"> </v>
      </c>
      <c r="E34" s="1175"/>
      <c r="F34" s="1174" t="str">
        <f>IF(ISBLANK(durée_3)," ",D34+1)</f>
        <v xml:space="preserve"> </v>
      </c>
      <c r="G34" s="1175"/>
      <c r="H34" s="1176" t="str">
        <f>IF(ISBLANK(durée_3)," ",F34+1)</f>
        <v xml:space="preserve"> </v>
      </c>
      <c r="I34" s="1177"/>
      <c r="J34" s="1176" t="str">
        <f>IF(ISBLANK(durée_3)," ",H34+1)</f>
        <v xml:space="preserve"> </v>
      </c>
      <c r="K34" s="1177"/>
      <c r="L34" s="1176" t="str">
        <f>IF(ISBLANK(durée_3)," ",J34+1)</f>
        <v xml:space="preserve"> </v>
      </c>
      <c r="M34" s="1177"/>
      <c r="N34" s="1176" t="str">
        <f>IF(ISBLANK(durée_3)," ",L34+1)</f>
        <v xml:space="preserve"> </v>
      </c>
      <c r="O34" s="1177"/>
      <c r="P34" s="1162" t="str">
        <f>IF(ISBLANK(durée_3)," ",N34+1)</f>
        <v xml:space="preserve"> </v>
      </c>
      <c r="Q34" s="1163"/>
      <c r="R34" s="1162" t="str">
        <f>IF(ISBLANK(durée_3)," ",P34+1)</f>
        <v xml:space="preserve"> </v>
      </c>
      <c r="S34" s="1163"/>
      <c r="T34" s="1162" t="str">
        <f>IF(ISBLANK(durée_3)," ",R34+1)</f>
        <v xml:space="preserve"> </v>
      </c>
      <c r="U34" s="1163"/>
      <c r="V34" s="1162" t="str">
        <f>IF(ISBLANK(durée_3)," ",T34+1)</f>
        <v xml:space="preserve"> </v>
      </c>
      <c r="W34" s="1163"/>
      <c r="X34" s="1162" t="str">
        <f>IF(ISBLANK(durée_3)," ",V34+1)</f>
        <v xml:space="preserve"> </v>
      </c>
      <c r="Y34" s="1163"/>
      <c r="Z34" s="1162" t="str">
        <f>IF(ISBLANK(durée_3)," ",X34+1)</f>
        <v xml:space="preserve"> </v>
      </c>
      <c r="AA34" s="1163"/>
      <c r="AB34" s="1164" t="s">
        <v>275</v>
      </c>
      <c r="AC34" s="1165"/>
      <c r="AD34" s="1166" t="s">
        <v>276</v>
      </c>
      <c r="AE34" s="1167"/>
      <c r="AF34" s="1168" t="s">
        <v>277</v>
      </c>
      <c r="AG34" s="1169"/>
      <c r="AH34" s="763"/>
      <c r="AJ34" s="763"/>
      <c r="AL34" s="763"/>
      <c r="AN34" s="763"/>
      <c r="AP34" s="763"/>
      <c r="AR34" s="763"/>
      <c r="AT34" s="763"/>
      <c r="AV34" s="763"/>
      <c r="BI34" s="759"/>
      <c r="BJ34" s="760"/>
      <c r="BV34" s="759"/>
      <c r="BW34" s="760"/>
      <c r="BY34" s="754"/>
      <c r="BZ34" s="754"/>
      <c r="CA34" s="754"/>
    </row>
    <row r="35" spans="2:79" ht="19.95" customHeight="1">
      <c r="B35" s="1170" t="s">
        <v>278</v>
      </c>
      <c r="C35" s="1171"/>
      <c r="D35" s="821" t="str">
        <f>IF(ISBLANK(durée_3)," ","Nb")</f>
        <v xml:space="preserve"> </v>
      </c>
      <c r="E35" s="822" t="str">
        <f>IF(ISBLANK(durée_3)," ","€")</f>
        <v xml:space="preserve"> </v>
      </c>
      <c r="F35" s="821" t="str">
        <f>IF(ISBLANK(durée_3)," ","Nb")</f>
        <v xml:space="preserve"> </v>
      </c>
      <c r="G35" s="822" t="str">
        <f>IF(ISBLANK(durée_3)," ","€")</f>
        <v xml:space="preserve"> </v>
      </c>
      <c r="H35" s="821" t="str">
        <f>IF(ISBLANK(durée_3)," ","Nb")</f>
        <v xml:space="preserve"> </v>
      </c>
      <c r="I35" s="822" t="str">
        <f>IF(ISBLANK(durée_3)," ","€")</f>
        <v xml:space="preserve"> </v>
      </c>
      <c r="J35" s="821" t="str">
        <f>IF(ISBLANK(durée_3)," ","Nb")</f>
        <v xml:space="preserve"> </v>
      </c>
      <c r="K35" s="822" t="str">
        <f>IF(ISBLANK(durée_3)," ","€")</f>
        <v xml:space="preserve"> </v>
      </c>
      <c r="L35" s="821" t="str">
        <f>IF(ISBLANK(durée_3)," ","Nb")</f>
        <v xml:space="preserve"> </v>
      </c>
      <c r="M35" s="822" t="str">
        <f>IF(ISBLANK(durée_3)," ","€")</f>
        <v xml:space="preserve"> </v>
      </c>
      <c r="N35" s="821" t="str">
        <f>IF(ISBLANK(durée_3)," ","Nb")</f>
        <v xml:space="preserve"> </v>
      </c>
      <c r="O35" s="822" t="str">
        <f>IF(ISBLANK(durée_3)," ","€")</f>
        <v xml:space="preserve"> </v>
      </c>
      <c r="P35" s="821" t="str">
        <f>IF(ISBLANK(durée_3)," ","Nb")</f>
        <v xml:space="preserve"> </v>
      </c>
      <c r="Q35" s="822" t="str">
        <f>IF(ISBLANK(durée_3)," ","€")</f>
        <v xml:space="preserve"> </v>
      </c>
      <c r="R35" s="821" t="str">
        <f>IF(ISBLANK(durée_3)," ","Nb")</f>
        <v xml:space="preserve"> </v>
      </c>
      <c r="S35" s="822" t="str">
        <f>IF(ISBLANK(durée_3)," ","€")</f>
        <v xml:space="preserve"> </v>
      </c>
      <c r="T35" s="821" t="str">
        <f>IF(ISBLANK(durée_3)," ","Nb")</f>
        <v xml:space="preserve"> </v>
      </c>
      <c r="U35" s="822" t="str">
        <f>IF(ISBLANK(durée_3)," ","€")</f>
        <v xml:space="preserve"> </v>
      </c>
      <c r="V35" s="821" t="str">
        <f>IF(ISBLANK(durée_3)," ","Nb")</f>
        <v xml:space="preserve"> </v>
      </c>
      <c r="W35" s="822" t="str">
        <f>IF(ISBLANK(durée_3)," ","€")</f>
        <v xml:space="preserve"> </v>
      </c>
      <c r="X35" s="821" t="str">
        <f>IF(ISBLANK(durée_3)," ","Nb")</f>
        <v xml:space="preserve"> </v>
      </c>
      <c r="Y35" s="822" t="str">
        <f>IF(ISBLANK(durée_3)," ","€")</f>
        <v xml:space="preserve"> </v>
      </c>
      <c r="Z35" s="821" t="str">
        <f>IF(ISBLANK(durée_3)," ","Nb")</f>
        <v xml:space="preserve"> </v>
      </c>
      <c r="AA35" s="822" t="str">
        <f>IF(ISBLANK(durée_3)," ","€")</f>
        <v xml:space="preserve"> </v>
      </c>
      <c r="AB35" s="827" t="str">
        <f>IF(ISBLANK(durée_3)," ","Nb")</f>
        <v xml:space="preserve"> </v>
      </c>
      <c r="AC35" s="830" t="str">
        <f>IF(ISBLANK(durée_3)," ","€")</f>
        <v xml:space="preserve"> </v>
      </c>
      <c r="AD35" s="839" t="str">
        <f>IF(ISBLANK(durée_3)," ","Taux")</f>
        <v xml:space="preserve"> </v>
      </c>
      <c r="AE35" s="840" t="str">
        <f>IF(ISBLANK(durée_3)," ","€")</f>
        <v xml:space="preserve"> </v>
      </c>
      <c r="AF35" s="747" t="str">
        <f>IF(ISBLANK(durée_3)," ","Nb")</f>
        <v xml:space="preserve"> </v>
      </c>
      <c r="AG35" s="748" t="str">
        <f>IF(ISBLANK(durée_3)," ","€")</f>
        <v xml:space="preserve"> </v>
      </c>
      <c r="AH35" s="763"/>
      <c r="AJ35" s="763"/>
      <c r="AL35" s="763"/>
      <c r="AN35" s="763"/>
      <c r="AP35" s="763"/>
      <c r="AR35" s="763"/>
      <c r="AT35" s="763"/>
      <c r="AV35" s="763"/>
      <c r="BI35" s="759"/>
      <c r="BJ35" s="760"/>
      <c r="BV35" s="759"/>
      <c r="BW35" s="760"/>
      <c r="BY35" s="754"/>
      <c r="BZ35" s="754"/>
      <c r="CA35" s="754"/>
    </row>
    <row r="36" spans="2:79" ht="19.95" customHeight="1">
      <c r="B36" s="1172" t="s">
        <v>279</v>
      </c>
      <c r="C36" s="1173"/>
      <c r="D36" s="823"/>
      <c r="E36" s="749"/>
      <c r="F36" s="823"/>
      <c r="G36" s="749"/>
      <c r="H36" s="823"/>
      <c r="I36" s="749"/>
      <c r="J36" s="823"/>
      <c r="K36" s="749"/>
      <c r="L36" s="823"/>
      <c r="M36" s="749"/>
      <c r="N36" s="823"/>
      <c r="O36" s="749"/>
      <c r="P36" s="823"/>
      <c r="Q36" s="749"/>
      <c r="R36" s="823"/>
      <c r="S36" s="749"/>
      <c r="T36" s="823"/>
      <c r="U36" s="749"/>
      <c r="V36" s="823"/>
      <c r="W36" s="749"/>
      <c r="X36" s="823"/>
      <c r="Y36" s="749"/>
      <c r="Z36" s="823"/>
      <c r="AA36" s="749"/>
      <c r="AB36" s="828" t="str">
        <f t="shared" ref="AB36:AB43" si="32">IF(ISERROR((D36+F36+H36+J36+L36+N36+P36+R36+T36+V36+X36+Z36)/durée_3)," ",(D36+F36+H36+J36+L36+N36+P36+R36+T36+V36+X36+Z36)/durée_3)</f>
        <v xml:space="preserve"> </v>
      </c>
      <c r="AC36" s="831">
        <f>E36+G36+I36+K36+M36+O36+Q36+S36+U36+W36+Y36+AA36</f>
        <v>0</v>
      </c>
      <c r="AD36" s="834"/>
      <c r="AE36" s="750">
        <f>AC36*AD36</f>
        <v>0</v>
      </c>
      <c r="AF36" s="751" t="str">
        <f>AB36</f>
        <v xml:space="preserve"> </v>
      </c>
      <c r="AG36" s="752">
        <f>AC36+AE36</f>
        <v>0</v>
      </c>
      <c r="AH36" s="763"/>
      <c r="AJ36" s="763"/>
      <c r="AL36" s="763"/>
      <c r="AN36" s="763"/>
      <c r="AP36" s="763"/>
      <c r="AR36" s="763"/>
      <c r="AT36" s="763"/>
      <c r="AV36" s="763"/>
      <c r="BI36" s="759"/>
      <c r="BJ36" s="760"/>
      <c r="BV36" s="759"/>
      <c r="BW36" s="760"/>
      <c r="BY36" s="754"/>
      <c r="BZ36" s="754"/>
      <c r="CA36" s="754"/>
    </row>
    <row r="37" spans="2:79" ht="19.95" customHeight="1">
      <c r="B37" s="1158" t="s">
        <v>280</v>
      </c>
      <c r="C37" s="1159"/>
      <c r="D37" s="824"/>
      <c r="E37" s="753"/>
      <c r="F37" s="824"/>
      <c r="G37" s="753"/>
      <c r="H37" s="824"/>
      <c r="I37" s="753"/>
      <c r="J37" s="824"/>
      <c r="K37" s="753"/>
      <c r="L37" s="824"/>
      <c r="M37" s="753"/>
      <c r="N37" s="824"/>
      <c r="O37" s="753"/>
      <c r="P37" s="824"/>
      <c r="Q37" s="753"/>
      <c r="R37" s="824"/>
      <c r="S37" s="753"/>
      <c r="T37" s="824"/>
      <c r="U37" s="753"/>
      <c r="V37" s="824"/>
      <c r="W37" s="753"/>
      <c r="X37" s="824"/>
      <c r="Y37" s="753"/>
      <c r="Z37" s="824"/>
      <c r="AA37" s="753"/>
      <c r="AB37" s="828" t="str">
        <f t="shared" si="32"/>
        <v xml:space="preserve"> </v>
      </c>
      <c r="AC37" s="831">
        <f t="shared" ref="AC37:AC43" si="33">E37+G37+I37+K37+M37+O37+Q37+S37+U37+W37+Y37+AA37</f>
        <v>0</v>
      </c>
      <c r="AD37" s="834"/>
      <c r="AE37" s="750">
        <f t="shared" ref="AE37:AE43" si="34">AC37*AD37</f>
        <v>0</v>
      </c>
      <c r="AF37" s="751" t="str">
        <f t="shared" ref="AF37:AF43" si="35">AB37</f>
        <v xml:space="preserve"> </v>
      </c>
      <c r="AG37" s="752">
        <f t="shared" ref="AG37:AG43" si="36">AC37+AE37</f>
        <v>0</v>
      </c>
      <c r="AH37" s="763"/>
      <c r="AJ37" s="763"/>
      <c r="AL37" s="763"/>
      <c r="AN37" s="763"/>
      <c r="AP37" s="763"/>
      <c r="AR37" s="763"/>
      <c r="AT37" s="763"/>
      <c r="AV37" s="763"/>
      <c r="BI37" s="759"/>
      <c r="BJ37" s="760"/>
      <c r="BV37" s="759"/>
      <c r="BW37" s="760"/>
      <c r="BY37" s="754"/>
      <c r="BZ37" s="754"/>
      <c r="CA37" s="754"/>
    </row>
    <row r="38" spans="2:79" ht="19.95" customHeight="1">
      <c r="B38" s="1158" t="s">
        <v>281</v>
      </c>
      <c r="C38" s="1159"/>
      <c r="D38" s="824"/>
      <c r="E38" s="753"/>
      <c r="F38" s="824"/>
      <c r="G38" s="753"/>
      <c r="H38" s="824"/>
      <c r="I38" s="753"/>
      <c r="J38" s="824"/>
      <c r="K38" s="753"/>
      <c r="L38" s="824"/>
      <c r="M38" s="753"/>
      <c r="N38" s="824"/>
      <c r="O38" s="753"/>
      <c r="P38" s="824"/>
      <c r="Q38" s="753"/>
      <c r="R38" s="824"/>
      <c r="S38" s="753"/>
      <c r="T38" s="824"/>
      <c r="U38" s="753"/>
      <c r="V38" s="824"/>
      <c r="W38" s="753"/>
      <c r="X38" s="824"/>
      <c r="Y38" s="753"/>
      <c r="Z38" s="824"/>
      <c r="AA38" s="753"/>
      <c r="AB38" s="828" t="str">
        <f t="shared" si="32"/>
        <v xml:space="preserve"> </v>
      </c>
      <c r="AC38" s="831">
        <f t="shared" si="33"/>
        <v>0</v>
      </c>
      <c r="AD38" s="834"/>
      <c r="AE38" s="750">
        <f t="shared" si="34"/>
        <v>0</v>
      </c>
      <c r="AF38" s="751" t="str">
        <f t="shared" si="35"/>
        <v xml:space="preserve"> </v>
      </c>
      <c r="AG38" s="752">
        <f t="shared" si="36"/>
        <v>0</v>
      </c>
      <c r="AH38" s="763"/>
      <c r="AJ38" s="763"/>
      <c r="AL38" s="763"/>
      <c r="AN38" s="763"/>
      <c r="AP38" s="763"/>
      <c r="AR38" s="763"/>
      <c r="AT38" s="763"/>
      <c r="AV38" s="763"/>
      <c r="BI38" s="759"/>
      <c r="BJ38" s="760"/>
      <c r="BV38" s="759"/>
      <c r="BW38" s="760"/>
      <c r="BY38" s="754"/>
      <c r="BZ38" s="754"/>
      <c r="CA38" s="754"/>
    </row>
    <row r="39" spans="2:79" ht="19.95" customHeight="1">
      <c r="B39" s="1158" t="s">
        <v>282</v>
      </c>
      <c r="C39" s="1159"/>
      <c r="D39" s="824"/>
      <c r="E39" s="753"/>
      <c r="F39" s="824"/>
      <c r="G39" s="753"/>
      <c r="H39" s="824"/>
      <c r="I39" s="753"/>
      <c r="J39" s="824"/>
      <c r="K39" s="753"/>
      <c r="L39" s="824"/>
      <c r="M39" s="753"/>
      <c r="N39" s="824"/>
      <c r="O39" s="753"/>
      <c r="P39" s="824"/>
      <c r="Q39" s="753"/>
      <c r="R39" s="824"/>
      <c r="S39" s="753"/>
      <c r="T39" s="824"/>
      <c r="U39" s="753"/>
      <c r="V39" s="824"/>
      <c r="W39" s="753"/>
      <c r="X39" s="824"/>
      <c r="Y39" s="753"/>
      <c r="Z39" s="824"/>
      <c r="AA39" s="753"/>
      <c r="AB39" s="828" t="str">
        <f t="shared" si="32"/>
        <v xml:space="preserve"> </v>
      </c>
      <c r="AC39" s="831">
        <f t="shared" si="33"/>
        <v>0</v>
      </c>
      <c r="AD39" s="834"/>
      <c r="AE39" s="750">
        <f t="shared" si="34"/>
        <v>0</v>
      </c>
      <c r="AF39" s="751" t="str">
        <f t="shared" si="35"/>
        <v xml:space="preserve"> </v>
      </c>
      <c r="AG39" s="752">
        <f t="shared" si="36"/>
        <v>0</v>
      </c>
      <c r="AH39" s="763"/>
      <c r="AJ39" s="763"/>
      <c r="AL39" s="763"/>
      <c r="AN39" s="763"/>
      <c r="AP39" s="763"/>
      <c r="AR39" s="763"/>
      <c r="AT39" s="763"/>
      <c r="AV39" s="763"/>
      <c r="BI39" s="759"/>
      <c r="BJ39" s="760"/>
      <c r="BV39" s="759"/>
      <c r="BW39" s="760"/>
      <c r="BY39" s="754"/>
      <c r="BZ39" s="754"/>
      <c r="CA39" s="754"/>
    </row>
    <row r="40" spans="2:79" ht="19.95" customHeight="1">
      <c r="B40" s="1158" t="s">
        <v>283</v>
      </c>
      <c r="C40" s="1159"/>
      <c r="D40" s="824"/>
      <c r="E40" s="753"/>
      <c r="F40" s="824"/>
      <c r="G40" s="753"/>
      <c r="H40" s="824"/>
      <c r="I40" s="753"/>
      <c r="J40" s="824"/>
      <c r="K40" s="753"/>
      <c r="L40" s="824"/>
      <c r="M40" s="753"/>
      <c r="N40" s="824"/>
      <c r="O40" s="753"/>
      <c r="P40" s="824"/>
      <c r="Q40" s="753"/>
      <c r="R40" s="824"/>
      <c r="S40" s="753"/>
      <c r="T40" s="824"/>
      <c r="U40" s="753"/>
      <c r="V40" s="824"/>
      <c r="W40" s="753"/>
      <c r="X40" s="824"/>
      <c r="Y40" s="753"/>
      <c r="Z40" s="824"/>
      <c r="AA40" s="753"/>
      <c r="AB40" s="828" t="str">
        <f t="shared" si="32"/>
        <v xml:space="preserve"> </v>
      </c>
      <c r="AC40" s="831">
        <f t="shared" si="33"/>
        <v>0</v>
      </c>
      <c r="AD40" s="834"/>
      <c r="AE40" s="750">
        <f t="shared" si="34"/>
        <v>0</v>
      </c>
      <c r="AF40" s="751" t="str">
        <f t="shared" si="35"/>
        <v xml:space="preserve"> </v>
      </c>
      <c r="AG40" s="752">
        <f t="shared" si="36"/>
        <v>0</v>
      </c>
      <c r="AH40" s="763"/>
      <c r="AJ40" s="763"/>
      <c r="AL40" s="763"/>
      <c r="AN40" s="763"/>
      <c r="AP40" s="763"/>
      <c r="AR40" s="763"/>
      <c r="AT40" s="763"/>
      <c r="AV40" s="763"/>
      <c r="BI40" s="759"/>
      <c r="BJ40" s="760"/>
      <c r="BV40" s="759"/>
      <c r="BW40" s="760"/>
      <c r="BY40" s="754"/>
      <c r="BZ40" s="754"/>
      <c r="CA40" s="754"/>
    </row>
    <row r="41" spans="2:79" ht="19.95" customHeight="1">
      <c r="B41" s="1158"/>
      <c r="C41" s="1159"/>
      <c r="D41" s="824"/>
      <c r="E41" s="753"/>
      <c r="F41" s="824"/>
      <c r="G41" s="753"/>
      <c r="H41" s="824"/>
      <c r="I41" s="753"/>
      <c r="J41" s="824"/>
      <c r="K41" s="753"/>
      <c r="L41" s="824"/>
      <c r="M41" s="753"/>
      <c r="N41" s="824"/>
      <c r="O41" s="753"/>
      <c r="P41" s="824"/>
      <c r="Q41" s="753"/>
      <c r="R41" s="824"/>
      <c r="S41" s="753"/>
      <c r="T41" s="824"/>
      <c r="U41" s="753"/>
      <c r="V41" s="824"/>
      <c r="W41" s="753"/>
      <c r="X41" s="824"/>
      <c r="Y41" s="753"/>
      <c r="Z41" s="824"/>
      <c r="AA41" s="753"/>
      <c r="AB41" s="828" t="str">
        <f t="shared" si="32"/>
        <v xml:space="preserve"> </v>
      </c>
      <c r="AC41" s="831">
        <f t="shared" si="33"/>
        <v>0</v>
      </c>
      <c r="AD41" s="834"/>
      <c r="AE41" s="750">
        <f t="shared" si="34"/>
        <v>0</v>
      </c>
      <c r="AF41" s="751" t="str">
        <f t="shared" si="35"/>
        <v xml:space="preserve"> </v>
      </c>
      <c r="AG41" s="752">
        <f t="shared" si="36"/>
        <v>0</v>
      </c>
      <c r="AH41" s="763"/>
      <c r="AJ41" s="763"/>
      <c r="AL41" s="763"/>
      <c r="AN41" s="763"/>
      <c r="AP41" s="763"/>
      <c r="AR41" s="763"/>
      <c r="AT41" s="763"/>
      <c r="AV41" s="763"/>
      <c r="BI41" s="759"/>
      <c r="BJ41" s="760"/>
      <c r="BV41" s="759"/>
      <c r="BW41" s="760"/>
      <c r="BY41" s="754"/>
      <c r="BZ41" s="754"/>
      <c r="CA41" s="754"/>
    </row>
    <row r="42" spans="2:79" ht="19.95" customHeight="1">
      <c r="B42" s="1158"/>
      <c r="C42" s="1159"/>
      <c r="D42" s="824"/>
      <c r="E42" s="753"/>
      <c r="F42" s="824"/>
      <c r="G42" s="753"/>
      <c r="H42" s="824"/>
      <c r="I42" s="753"/>
      <c r="J42" s="824"/>
      <c r="K42" s="753"/>
      <c r="L42" s="824"/>
      <c r="M42" s="753"/>
      <c r="N42" s="824"/>
      <c r="O42" s="753"/>
      <c r="P42" s="824"/>
      <c r="Q42" s="753"/>
      <c r="R42" s="824"/>
      <c r="S42" s="753"/>
      <c r="T42" s="824"/>
      <c r="U42" s="753"/>
      <c r="V42" s="824"/>
      <c r="W42" s="753"/>
      <c r="X42" s="824"/>
      <c r="Y42" s="753"/>
      <c r="Z42" s="824"/>
      <c r="AA42" s="753"/>
      <c r="AB42" s="828" t="str">
        <f t="shared" si="32"/>
        <v xml:space="preserve"> </v>
      </c>
      <c r="AC42" s="831">
        <f t="shared" si="33"/>
        <v>0</v>
      </c>
      <c r="AD42" s="834"/>
      <c r="AE42" s="750">
        <f t="shared" si="34"/>
        <v>0</v>
      </c>
      <c r="AF42" s="751" t="str">
        <f t="shared" si="35"/>
        <v xml:space="preserve"> </v>
      </c>
      <c r="AG42" s="752">
        <f t="shared" si="36"/>
        <v>0</v>
      </c>
      <c r="AH42" s="763"/>
      <c r="AJ42" s="763"/>
      <c r="AL42" s="763"/>
      <c r="AN42" s="763"/>
      <c r="AP42" s="763"/>
      <c r="AR42" s="763"/>
      <c r="AT42" s="763"/>
      <c r="AV42" s="763"/>
      <c r="BI42" s="759"/>
      <c r="BJ42" s="760"/>
      <c r="BV42" s="759"/>
      <c r="BW42" s="760"/>
      <c r="BY42" s="754"/>
      <c r="BZ42" s="754"/>
      <c r="CA42" s="754"/>
    </row>
    <row r="43" spans="2:79" ht="19.95" customHeight="1">
      <c r="B43" s="1158"/>
      <c r="C43" s="1159"/>
      <c r="D43" s="824"/>
      <c r="E43" s="753"/>
      <c r="F43" s="824"/>
      <c r="G43" s="753"/>
      <c r="H43" s="824"/>
      <c r="I43" s="753"/>
      <c r="J43" s="824"/>
      <c r="K43" s="753"/>
      <c r="L43" s="824"/>
      <c r="M43" s="753"/>
      <c r="N43" s="824"/>
      <c r="O43" s="753"/>
      <c r="P43" s="824"/>
      <c r="Q43" s="753"/>
      <c r="R43" s="824"/>
      <c r="S43" s="753"/>
      <c r="T43" s="824"/>
      <c r="U43" s="753"/>
      <c r="V43" s="824"/>
      <c r="W43" s="753"/>
      <c r="X43" s="824"/>
      <c r="Y43" s="753"/>
      <c r="Z43" s="824"/>
      <c r="AA43" s="753"/>
      <c r="AB43" s="828" t="str">
        <f t="shared" si="32"/>
        <v xml:space="preserve"> </v>
      </c>
      <c r="AC43" s="831">
        <f t="shared" si="33"/>
        <v>0</v>
      </c>
      <c r="AD43" s="834"/>
      <c r="AE43" s="750">
        <f t="shared" si="34"/>
        <v>0</v>
      </c>
      <c r="AF43" s="751" t="str">
        <f t="shared" si="35"/>
        <v xml:space="preserve"> </v>
      </c>
      <c r="AG43" s="752">
        <f t="shared" si="36"/>
        <v>0</v>
      </c>
      <c r="AH43" s="763"/>
      <c r="AJ43" s="763"/>
      <c r="AL43" s="763"/>
      <c r="AN43" s="763"/>
      <c r="AP43" s="763"/>
      <c r="AR43" s="763"/>
      <c r="AT43" s="763"/>
      <c r="AV43" s="763"/>
      <c r="BI43" s="759"/>
      <c r="BJ43" s="760"/>
      <c r="BV43" s="759"/>
      <c r="BW43" s="760"/>
      <c r="BY43" s="754"/>
      <c r="BZ43" s="754"/>
      <c r="CA43" s="754"/>
    </row>
    <row r="44" spans="2:79" s="754" customFormat="1" ht="19.95" customHeight="1">
      <c r="B44" s="1160" t="s">
        <v>0</v>
      </c>
      <c r="C44" s="1161"/>
      <c r="D44" s="825">
        <f>SUM(D36:D43)</f>
        <v>0</v>
      </c>
      <c r="E44" s="755">
        <f>SUM(E36:E40)</f>
        <v>0</v>
      </c>
      <c r="F44" s="825">
        <f>SUM(F36:F43)</f>
        <v>0</v>
      </c>
      <c r="G44" s="755">
        <f t="shared" ref="G44" si="37">SUM(G36:G40)</f>
        <v>0</v>
      </c>
      <c r="H44" s="825">
        <f>SUM(H36:H43)</f>
        <v>0</v>
      </c>
      <c r="I44" s="755">
        <f t="shared" ref="I44" si="38">SUM(I36:I40)</f>
        <v>0</v>
      </c>
      <c r="J44" s="825">
        <f>SUM(J36:J43)</f>
        <v>0</v>
      </c>
      <c r="K44" s="755">
        <f t="shared" ref="K44" si="39">SUM(K36:K40)</f>
        <v>0</v>
      </c>
      <c r="L44" s="825">
        <f>SUM(L36:L43)</f>
        <v>0</v>
      </c>
      <c r="M44" s="755">
        <f t="shared" ref="M44" si="40">SUM(M36:M40)</f>
        <v>0</v>
      </c>
      <c r="N44" s="825">
        <f>SUM(N36:N43)</f>
        <v>0</v>
      </c>
      <c r="O44" s="755">
        <f t="shared" ref="O44" si="41">SUM(O36:O40)</f>
        <v>0</v>
      </c>
      <c r="P44" s="825">
        <f>SUM(P36:P43)</f>
        <v>0</v>
      </c>
      <c r="Q44" s="755">
        <f t="shared" ref="Q44" si="42">SUM(Q36:Q40)</f>
        <v>0</v>
      </c>
      <c r="R44" s="825">
        <f>SUM(R36:R43)</f>
        <v>0</v>
      </c>
      <c r="S44" s="755">
        <f t="shared" ref="S44" si="43">SUM(S36:S40)</f>
        <v>0</v>
      </c>
      <c r="T44" s="825">
        <f>SUM(T36:T43)</f>
        <v>0</v>
      </c>
      <c r="U44" s="755">
        <f t="shared" ref="U44" si="44">SUM(U36:U40)</f>
        <v>0</v>
      </c>
      <c r="V44" s="825">
        <f>SUM(V36:V43)</f>
        <v>0</v>
      </c>
      <c r="W44" s="755">
        <f t="shared" ref="W44" si="45">SUM(W36:W40)</f>
        <v>0</v>
      </c>
      <c r="X44" s="825">
        <f>SUM(X36:X43)</f>
        <v>0</v>
      </c>
      <c r="Y44" s="755">
        <f t="shared" ref="Y44" si="46">SUM(Y36:Y40)</f>
        <v>0</v>
      </c>
      <c r="Z44" s="825">
        <f>SUM(Z36:Z43)</f>
        <v>0</v>
      </c>
      <c r="AA44" s="755">
        <f t="shared" ref="AA44" si="47">SUM(AA36:AA40)</f>
        <v>0</v>
      </c>
      <c r="AB44" s="829">
        <f>SUM(AB36:AB43)</f>
        <v>0</v>
      </c>
      <c r="AC44" s="833">
        <f>SUM(AC36:AC40)</f>
        <v>0</v>
      </c>
      <c r="AD44" s="835" t="str">
        <f>IF(ISERROR(AE44/AC44)," ",AE44/AC44)</f>
        <v xml:space="preserve"> </v>
      </c>
      <c r="AE44" s="756">
        <f>SUM(AE36:AE43)</f>
        <v>0</v>
      </c>
      <c r="AF44" s="757">
        <f t="shared" ref="AF44:AG44" si="48">SUM(AF36:AF43)</f>
        <v>0</v>
      </c>
      <c r="AG44" s="758">
        <f t="shared" si="48"/>
        <v>0</v>
      </c>
      <c r="AH44" s="763"/>
      <c r="AJ44" s="763"/>
      <c r="AL44" s="763"/>
      <c r="AN44" s="763"/>
      <c r="AP44" s="763"/>
      <c r="AR44" s="763"/>
      <c r="AT44" s="763"/>
      <c r="AV44" s="763"/>
      <c r="BI44" s="760"/>
      <c r="BJ44" s="760"/>
      <c r="BV44" s="760"/>
      <c r="BW44" s="760"/>
    </row>
    <row r="45" spans="2:79" ht="19.95" customHeight="1">
      <c r="Q45" s="759"/>
      <c r="R45" s="759"/>
      <c r="S45" s="760"/>
      <c r="T45" s="760"/>
      <c r="U45" s="761"/>
      <c r="V45" s="761"/>
      <c r="W45" s="762"/>
      <c r="X45" s="762"/>
      <c r="Y45" s="763"/>
      <c r="Z45" s="763"/>
      <c r="BF45" s="759"/>
      <c r="BG45" s="760"/>
      <c r="BS45" s="759"/>
      <c r="BT45" s="760"/>
      <c r="BV45" s="754"/>
      <c r="BW45" s="754"/>
      <c r="BX45" s="754"/>
    </row>
    <row r="46" spans="2:79" ht="19.95" customHeight="1">
      <c r="B46" s="741" t="s">
        <v>310</v>
      </c>
      <c r="C46" s="742" t="str">
        <f>IF(ISBLANK(durée_4)," ",durée_4)</f>
        <v xml:space="preserve"> </v>
      </c>
      <c r="D46" s="826"/>
      <c r="E46" s="819"/>
      <c r="F46" s="819"/>
      <c r="G46" s="819"/>
      <c r="H46" s="819"/>
      <c r="I46" s="819"/>
      <c r="J46" s="819"/>
      <c r="K46" s="819"/>
      <c r="L46" s="819"/>
      <c r="M46" s="761"/>
      <c r="N46" s="761"/>
      <c r="O46" s="761"/>
      <c r="P46" s="761"/>
      <c r="Q46" s="761"/>
      <c r="R46" s="761"/>
      <c r="S46" s="761"/>
      <c r="T46" s="761"/>
      <c r="U46" s="761"/>
      <c r="V46" s="761"/>
      <c r="W46" s="762"/>
      <c r="X46" s="762"/>
      <c r="Y46" s="763"/>
      <c r="Z46" s="763"/>
      <c r="BF46" s="759"/>
      <c r="BG46" s="760"/>
      <c r="BS46" s="759"/>
      <c r="BT46" s="760"/>
      <c r="BV46" s="754"/>
      <c r="BW46" s="754"/>
      <c r="BX46" s="754"/>
    </row>
    <row r="47" spans="2:79" ht="3" customHeight="1">
      <c r="W47" s="762"/>
      <c r="X47" s="762"/>
      <c r="Y47" s="763"/>
      <c r="Z47" s="763"/>
      <c r="BF47" s="759"/>
      <c r="BG47" s="760"/>
      <c r="BS47" s="759"/>
      <c r="BT47" s="760"/>
      <c r="BV47" s="754"/>
      <c r="BW47" s="754"/>
      <c r="BX47" s="754"/>
    </row>
    <row r="48" spans="2:79" ht="19.95" customHeight="1">
      <c r="B48" s="1178" t="s">
        <v>164</v>
      </c>
      <c r="C48" s="1179"/>
      <c r="D48" s="1174" t="str">
        <f>IF(ISBLANK(durée_4)," ",1)</f>
        <v xml:space="preserve"> </v>
      </c>
      <c r="E48" s="1175"/>
      <c r="F48" s="1174" t="str">
        <f>IF(ISBLANK(durée_4)," ",D48+1)</f>
        <v xml:space="preserve"> </v>
      </c>
      <c r="G48" s="1175"/>
      <c r="H48" s="1176" t="str">
        <f>IF(ISBLANK(durée_4)," ",F48+1)</f>
        <v xml:space="preserve"> </v>
      </c>
      <c r="I48" s="1177"/>
      <c r="J48" s="1176" t="str">
        <f>IF(ISBLANK(durée_4)," ",H48+1)</f>
        <v xml:space="preserve"> </v>
      </c>
      <c r="K48" s="1177"/>
      <c r="L48" s="1176" t="str">
        <f>IF(ISBLANK(durée_4)," ",J48+1)</f>
        <v xml:space="preserve"> </v>
      </c>
      <c r="M48" s="1177"/>
      <c r="N48" s="1176" t="str">
        <f>IF(ISBLANK(durée_4)," ",L48+1)</f>
        <v xml:space="preserve"> </v>
      </c>
      <c r="O48" s="1177"/>
      <c r="P48" s="1162" t="str">
        <f>IF(ISBLANK(durée_4)," ",N48+1)</f>
        <v xml:space="preserve"> </v>
      </c>
      <c r="Q48" s="1163"/>
      <c r="R48" s="1162" t="str">
        <f>IF(ISBLANK(durée_4)," ",P48+1)</f>
        <v xml:space="preserve"> </v>
      </c>
      <c r="S48" s="1163"/>
      <c r="T48" s="1162" t="str">
        <f>IF(ISBLANK(durée_4)," ",R48+1)</f>
        <v xml:space="preserve"> </v>
      </c>
      <c r="U48" s="1163"/>
      <c r="V48" s="1162" t="str">
        <f>IF(ISBLANK(durée_4)," ",T48+1)</f>
        <v xml:space="preserve"> </v>
      </c>
      <c r="W48" s="1163"/>
      <c r="X48" s="1162" t="str">
        <f>IF(ISBLANK(durée_4)," ",V48+1)</f>
        <v xml:space="preserve"> </v>
      </c>
      <c r="Y48" s="1163"/>
      <c r="Z48" s="1162" t="str">
        <f>IF(ISBLANK(durée_4)," ",X48+1)</f>
        <v xml:space="preserve"> </v>
      </c>
      <c r="AA48" s="1163"/>
      <c r="AB48" s="1164" t="s">
        <v>275</v>
      </c>
      <c r="AC48" s="1165"/>
      <c r="AD48" s="1166" t="s">
        <v>276</v>
      </c>
      <c r="AE48" s="1167"/>
      <c r="AF48" s="1168" t="s">
        <v>277</v>
      </c>
      <c r="AG48" s="1169"/>
      <c r="AH48" s="763"/>
      <c r="AJ48" s="763"/>
      <c r="AL48" s="763"/>
      <c r="AN48" s="763"/>
      <c r="AP48" s="763"/>
      <c r="AR48" s="763"/>
      <c r="AT48" s="763"/>
      <c r="AV48" s="763"/>
      <c r="BI48" s="759"/>
      <c r="BJ48" s="760"/>
      <c r="BV48" s="759"/>
      <c r="BW48" s="760"/>
      <c r="BY48" s="754"/>
      <c r="BZ48" s="754"/>
      <c r="CA48" s="754"/>
    </row>
    <row r="49" spans="2:79" ht="19.95" customHeight="1">
      <c r="B49" s="1170" t="s">
        <v>278</v>
      </c>
      <c r="C49" s="1171"/>
      <c r="D49" s="821" t="str">
        <f>IF(ISBLANK(durée_4)," ","Nb")</f>
        <v xml:space="preserve"> </v>
      </c>
      <c r="E49" s="822" t="str">
        <f>IF(ISBLANK(durée_4)," ","€")</f>
        <v xml:space="preserve"> </v>
      </c>
      <c r="F49" s="821" t="str">
        <f>IF(ISBLANK(durée_4)," ","Nb")</f>
        <v xml:space="preserve"> </v>
      </c>
      <c r="G49" s="822" t="str">
        <f>IF(ISBLANK(durée_4)," ","€")</f>
        <v xml:space="preserve"> </v>
      </c>
      <c r="H49" s="821" t="str">
        <f>IF(ISBLANK(durée_4)," ","Nb")</f>
        <v xml:space="preserve"> </v>
      </c>
      <c r="I49" s="822" t="str">
        <f>IF(ISBLANK(durée_4)," ","€")</f>
        <v xml:space="preserve"> </v>
      </c>
      <c r="J49" s="821" t="str">
        <f>IF(ISBLANK(durée_4)," ","Nb")</f>
        <v xml:space="preserve"> </v>
      </c>
      <c r="K49" s="822" t="str">
        <f>IF(ISBLANK(durée_4)," ","€")</f>
        <v xml:space="preserve"> </v>
      </c>
      <c r="L49" s="821" t="str">
        <f>IF(ISBLANK(durée_4)," ","Nb")</f>
        <v xml:space="preserve"> </v>
      </c>
      <c r="M49" s="822" t="str">
        <f>IF(ISBLANK(durée_4)," ","€")</f>
        <v xml:space="preserve"> </v>
      </c>
      <c r="N49" s="821" t="str">
        <f>IF(ISBLANK(durée_4)," ","Nb")</f>
        <v xml:space="preserve"> </v>
      </c>
      <c r="O49" s="822" t="str">
        <f>IF(ISBLANK(durée_4)," ","€")</f>
        <v xml:space="preserve"> </v>
      </c>
      <c r="P49" s="821" t="str">
        <f>IF(ISBLANK(durée_4)," ","Nb")</f>
        <v xml:space="preserve"> </v>
      </c>
      <c r="Q49" s="822" t="str">
        <f>IF(ISBLANK(durée_4)," ","€")</f>
        <v xml:space="preserve"> </v>
      </c>
      <c r="R49" s="821" t="str">
        <f>IF(ISBLANK(durée_4)," ","Nb")</f>
        <v xml:space="preserve"> </v>
      </c>
      <c r="S49" s="822" t="str">
        <f>IF(ISBLANK(durée_4)," ","€")</f>
        <v xml:space="preserve"> </v>
      </c>
      <c r="T49" s="821" t="str">
        <f>IF(ISBLANK(durée_4)," ","Nb")</f>
        <v xml:space="preserve"> </v>
      </c>
      <c r="U49" s="822" t="str">
        <f>IF(ISBLANK(durée_4)," ","€")</f>
        <v xml:space="preserve"> </v>
      </c>
      <c r="V49" s="821" t="str">
        <f>IF(ISBLANK(durée_4)," ","Nb")</f>
        <v xml:space="preserve"> </v>
      </c>
      <c r="W49" s="822" t="str">
        <f>IF(ISBLANK(durée_4)," ","€")</f>
        <v xml:space="preserve"> </v>
      </c>
      <c r="X49" s="821" t="str">
        <f>IF(ISBLANK(durée_4)," ","Nb")</f>
        <v xml:space="preserve"> </v>
      </c>
      <c r="Y49" s="822" t="str">
        <f>IF(ISBLANK(durée_4)," ","€")</f>
        <v xml:space="preserve"> </v>
      </c>
      <c r="Z49" s="821" t="str">
        <f>IF(ISBLANK(durée_4)," ","Nb")</f>
        <v xml:space="preserve"> </v>
      </c>
      <c r="AA49" s="822" t="str">
        <f>IF(ISBLANK(durée_4)," ","€")</f>
        <v xml:space="preserve"> </v>
      </c>
      <c r="AB49" s="827" t="str">
        <f>IF(ISBLANK(durée_4)," ","Nb")</f>
        <v xml:space="preserve"> </v>
      </c>
      <c r="AC49" s="830" t="str">
        <f>IF(ISBLANK(durée_4)," ","€")</f>
        <v xml:space="preserve"> </v>
      </c>
      <c r="AD49" s="839" t="str">
        <f>IF(ISBLANK(durée_4)," ","Taux")</f>
        <v xml:space="preserve"> </v>
      </c>
      <c r="AE49" s="840" t="str">
        <f>IF(ISBLANK(durée_4)," ","Nb")</f>
        <v xml:space="preserve"> </v>
      </c>
      <c r="AF49" s="747" t="str">
        <f>IF(ISBLANK(durée_4)," ","€")</f>
        <v xml:space="preserve"> </v>
      </c>
      <c r="AG49" s="748" t="str">
        <f>IF(ISBLANK(durée_4)," ","€")</f>
        <v xml:space="preserve"> </v>
      </c>
      <c r="AH49" s="763"/>
      <c r="AJ49" s="763"/>
      <c r="AL49" s="763"/>
      <c r="AN49" s="763"/>
      <c r="AP49" s="763"/>
      <c r="AR49" s="763"/>
      <c r="AT49" s="763"/>
      <c r="AV49" s="763"/>
      <c r="BI49" s="759"/>
      <c r="BJ49" s="760"/>
      <c r="BV49" s="759"/>
      <c r="BW49" s="760"/>
      <c r="BY49" s="754"/>
      <c r="BZ49" s="754"/>
      <c r="CA49" s="754"/>
    </row>
    <row r="50" spans="2:79" ht="19.95" customHeight="1">
      <c r="B50" s="1172" t="s">
        <v>279</v>
      </c>
      <c r="C50" s="1173"/>
      <c r="D50" s="823"/>
      <c r="E50" s="749"/>
      <c r="F50" s="823"/>
      <c r="G50" s="749"/>
      <c r="H50" s="823"/>
      <c r="I50" s="749"/>
      <c r="J50" s="823"/>
      <c r="K50" s="749"/>
      <c r="L50" s="823"/>
      <c r="M50" s="749"/>
      <c r="N50" s="823"/>
      <c r="O50" s="749"/>
      <c r="P50" s="823"/>
      <c r="Q50" s="749"/>
      <c r="R50" s="823"/>
      <c r="S50" s="749"/>
      <c r="T50" s="823"/>
      <c r="U50" s="749"/>
      <c r="V50" s="823"/>
      <c r="W50" s="749"/>
      <c r="X50" s="823"/>
      <c r="Y50" s="749"/>
      <c r="Z50" s="823"/>
      <c r="AA50" s="749"/>
      <c r="AB50" s="828">
        <f>(D50+F50+H50+J50+L50+N50+P50+R50+T50+V50+X50+Z50)/12</f>
        <v>0</v>
      </c>
      <c r="AC50" s="831">
        <f>E50+G50+I50+K50+M50+O50+Q50+S50+U50+W50+Y50+AA50</f>
        <v>0</v>
      </c>
      <c r="AD50" s="834"/>
      <c r="AE50" s="750">
        <f>AC50*AD50</f>
        <v>0</v>
      </c>
      <c r="AF50" s="751">
        <f>AB50</f>
        <v>0</v>
      </c>
      <c r="AG50" s="752">
        <f>AC50+AE50</f>
        <v>0</v>
      </c>
      <c r="AH50" s="763"/>
      <c r="AJ50" s="763"/>
      <c r="AL50" s="763"/>
      <c r="AN50" s="763"/>
      <c r="AP50" s="763"/>
      <c r="AR50" s="763"/>
      <c r="AT50" s="763"/>
      <c r="AV50" s="763"/>
      <c r="BI50" s="759"/>
      <c r="BJ50" s="760"/>
      <c r="BV50" s="759"/>
      <c r="BW50" s="760"/>
      <c r="BY50" s="754"/>
      <c r="BZ50" s="754"/>
      <c r="CA50" s="754"/>
    </row>
    <row r="51" spans="2:79" ht="19.95" customHeight="1">
      <c r="B51" s="1158" t="s">
        <v>280</v>
      </c>
      <c r="C51" s="1159"/>
      <c r="D51" s="824"/>
      <c r="E51" s="753"/>
      <c r="F51" s="824"/>
      <c r="G51" s="753"/>
      <c r="H51" s="824"/>
      <c r="I51" s="753"/>
      <c r="J51" s="824"/>
      <c r="K51" s="753"/>
      <c r="L51" s="824"/>
      <c r="M51" s="753"/>
      <c r="N51" s="824"/>
      <c r="O51" s="753"/>
      <c r="P51" s="824"/>
      <c r="Q51" s="753"/>
      <c r="R51" s="824"/>
      <c r="S51" s="753"/>
      <c r="T51" s="824"/>
      <c r="U51" s="753"/>
      <c r="V51" s="824"/>
      <c r="W51" s="753"/>
      <c r="X51" s="824"/>
      <c r="Y51" s="753"/>
      <c r="Z51" s="824"/>
      <c r="AA51" s="753"/>
      <c r="AB51" s="828">
        <f t="shared" ref="AB51:AB57" si="49">(D51+F51+H51+J51+L51+N51+P51+R51+T51+V51+X51+Z51)/12</f>
        <v>0</v>
      </c>
      <c r="AC51" s="831">
        <f t="shared" ref="AC51:AC57" si="50">E51+G51+I51+K51+M51+O51+Q51+S51+U51+W51+Y51+AA51</f>
        <v>0</v>
      </c>
      <c r="AD51" s="834"/>
      <c r="AE51" s="750">
        <f t="shared" ref="AE51:AE57" si="51">AC51*AD51</f>
        <v>0</v>
      </c>
      <c r="AF51" s="751">
        <f t="shared" ref="AF51:AF57" si="52">AB51</f>
        <v>0</v>
      </c>
      <c r="AG51" s="752">
        <f t="shared" ref="AG51:AG57" si="53">AC51+AE51</f>
        <v>0</v>
      </c>
      <c r="AH51" s="763"/>
      <c r="AJ51" s="763"/>
      <c r="AL51" s="763"/>
      <c r="AN51" s="763"/>
      <c r="AP51" s="763"/>
      <c r="AR51" s="763"/>
      <c r="AT51" s="763"/>
      <c r="AV51" s="763"/>
      <c r="BI51" s="759"/>
      <c r="BJ51" s="760"/>
      <c r="BV51" s="759"/>
      <c r="BW51" s="760"/>
      <c r="BY51" s="754"/>
      <c r="BZ51" s="754"/>
      <c r="CA51" s="754"/>
    </row>
    <row r="52" spans="2:79" ht="19.95" customHeight="1">
      <c r="B52" s="1158" t="s">
        <v>281</v>
      </c>
      <c r="C52" s="1159"/>
      <c r="D52" s="824"/>
      <c r="E52" s="753"/>
      <c r="F52" s="824"/>
      <c r="G52" s="753"/>
      <c r="H52" s="824"/>
      <c r="I52" s="753"/>
      <c r="J52" s="824"/>
      <c r="K52" s="753"/>
      <c r="L52" s="824"/>
      <c r="M52" s="753"/>
      <c r="N52" s="824"/>
      <c r="O52" s="753"/>
      <c r="P52" s="824"/>
      <c r="Q52" s="753"/>
      <c r="R52" s="824"/>
      <c r="S52" s="753"/>
      <c r="T52" s="824"/>
      <c r="U52" s="753"/>
      <c r="V52" s="824"/>
      <c r="W52" s="753"/>
      <c r="X52" s="824"/>
      <c r="Y52" s="753"/>
      <c r="Z52" s="824"/>
      <c r="AA52" s="753"/>
      <c r="AB52" s="828">
        <f t="shared" si="49"/>
        <v>0</v>
      </c>
      <c r="AC52" s="831">
        <f t="shared" si="50"/>
        <v>0</v>
      </c>
      <c r="AD52" s="834"/>
      <c r="AE52" s="750">
        <f t="shared" si="51"/>
        <v>0</v>
      </c>
      <c r="AF52" s="751">
        <f t="shared" si="52"/>
        <v>0</v>
      </c>
      <c r="AG52" s="752">
        <f t="shared" si="53"/>
        <v>0</v>
      </c>
      <c r="AH52" s="763"/>
      <c r="AJ52" s="763"/>
      <c r="AL52" s="763"/>
      <c r="AN52" s="763"/>
      <c r="AP52" s="763"/>
      <c r="AR52" s="763"/>
      <c r="AT52" s="763"/>
      <c r="AV52" s="763"/>
      <c r="BI52" s="759"/>
      <c r="BJ52" s="760"/>
      <c r="BV52" s="759"/>
      <c r="BW52" s="760"/>
      <c r="BY52" s="754"/>
      <c r="BZ52" s="754"/>
      <c r="CA52" s="754"/>
    </row>
    <row r="53" spans="2:79" ht="19.95" customHeight="1">
      <c r="B53" s="1158" t="s">
        <v>282</v>
      </c>
      <c r="C53" s="1159"/>
      <c r="D53" s="824"/>
      <c r="E53" s="753"/>
      <c r="F53" s="824"/>
      <c r="G53" s="753"/>
      <c r="H53" s="824"/>
      <c r="I53" s="753"/>
      <c r="J53" s="824"/>
      <c r="K53" s="753"/>
      <c r="L53" s="824"/>
      <c r="M53" s="753"/>
      <c r="N53" s="824"/>
      <c r="O53" s="753"/>
      <c r="P53" s="824"/>
      <c r="Q53" s="753"/>
      <c r="R53" s="824"/>
      <c r="S53" s="753"/>
      <c r="T53" s="824"/>
      <c r="U53" s="753"/>
      <c r="V53" s="824"/>
      <c r="W53" s="753"/>
      <c r="X53" s="824"/>
      <c r="Y53" s="753"/>
      <c r="Z53" s="824"/>
      <c r="AA53" s="753"/>
      <c r="AB53" s="828">
        <f t="shared" si="49"/>
        <v>0</v>
      </c>
      <c r="AC53" s="831">
        <f t="shared" si="50"/>
        <v>0</v>
      </c>
      <c r="AD53" s="834"/>
      <c r="AE53" s="750">
        <f t="shared" si="51"/>
        <v>0</v>
      </c>
      <c r="AF53" s="751">
        <f t="shared" si="52"/>
        <v>0</v>
      </c>
      <c r="AG53" s="752">
        <f t="shared" si="53"/>
        <v>0</v>
      </c>
      <c r="AH53" s="763"/>
      <c r="AJ53" s="763"/>
      <c r="AL53" s="763"/>
      <c r="AN53" s="763"/>
      <c r="AP53" s="763"/>
      <c r="AR53" s="763"/>
      <c r="AT53" s="763"/>
      <c r="AV53" s="763"/>
      <c r="BI53" s="759"/>
      <c r="BJ53" s="760"/>
      <c r="BV53" s="759"/>
      <c r="BW53" s="760"/>
      <c r="BY53" s="754"/>
      <c r="BZ53" s="754"/>
      <c r="CA53" s="754"/>
    </row>
    <row r="54" spans="2:79" ht="19.95" customHeight="1">
      <c r="B54" s="1158" t="s">
        <v>283</v>
      </c>
      <c r="C54" s="1159"/>
      <c r="D54" s="824"/>
      <c r="E54" s="753"/>
      <c r="F54" s="824"/>
      <c r="G54" s="753"/>
      <c r="H54" s="824"/>
      <c r="I54" s="753"/>
      <c r="J54" s="824"/>
      <c r="K54" s="753"/>
      <c r="L54" s="824"/>
      <c r="M54" s="753"/>
      <c r="N54" s="824"/>
      <c r="O54" s="753"/>
      <c r="P54" s="824"/>
      <c r="Q54" s="753"/>
      <c r="R54" s="824"/>
      <c r="S54" s="753"/>
      <c r="T54" s="824"/>
      <c r="U54" s="753"/>
      <c r="V54" s="824"/>
      <c r="W54" s="753"/>
      <c r="X54" s="824"/>
      <c r="Y54" s="753"/>
      <c r="Z54" s="824"/>
      <c r="AA54" s="753"/>
      <c r="AB54" s="828">
        <f t="shared" si="49"/>
        <v>0</v>
      </c>
      <c r="AC54" s="831">
        <f t="shared" si="50"/>
        <v>0</v>
      </c>
      <c r="AD54" s="834"/>
      <c r="AE54" s="750">
        <f t="shared" si="51"/>
        <v>0</v>
      </c>
      <c r="AF54" s="751">
        <f t="shared" si="52"/>
        <v>0</v>
      </c>
      <c r="AG54" s="752">
        <f t="shared" si="53"/>
        <v>0</v>
      </c>
      <c r="AH54" s="763"/>
      <c r="AJ54" s="763"/>
      <c r="AL54" s="763"/>
      <c r="AN54" s="763"/>
      <c r="AP54" s="763"/>
      <c r="AR54" s="763"/>
      <c r="AT54" s="763"/>
      <c r="AV54" s="763"/>
      <c r="BI54" s="759"/>
      <c r="BJ54" s="760"/>
      <c r="BV54" s="759"/>
      <c r="BW54" s="760"/>
      <c r="BY54" s="754"/>
      <c r="BZ54" s="754"/>
      <c r="CA54" s="754"/>
    </row>
    <row r="55" spans="2:79" ht="19.95" customHeight="1">
      <c r="B55" s="1158"/>
      <c r="C55" s="1159"/>
      <c r="D55" s="824"/>
      <c r="E55" s="753"/>
      <c r="F55" s="824"/>
      <c r="G55" s="753"/>
      <c r="H55" s="824"/>
      <c r="I55" s="753"/>
      <c r="J55" s="824"/>
      <c r="K55" s="753"/>
      <c r="L55" s="824"/>
      <c r="M55" s="753"/>
      <c r="N55" s="824"/>
      <c r="O55" s="753"/>
      <c r="P55" s="824"/>
      <c r="Q55" s="753"/>
      <c r="R55" s="824"/>
      <c r="S55" s="753"/>
      <c r="T55" s="824"/>
      <c r="U55" s="753"/>
      <c r="V55" s="824"/>
      <c r="W55" s="753"/>
      <c r="X55" s="824"/>
      <c r="Y55" s="753"/>
      <c r="Z55" s="824"/>
      <c r="AA55" s="753"/>
      <c r="AB55" s="828">
        <f t="shared" si="49"/>
        <v>0</v>
      </c>
      <c r="AC55" s="831">
        <f t="shared" si="50"/>
        <v>0</v>
      </c>
      <c r="AD55" s="834"/>
      <c r="AE55" s="750">
        <f t="shared" si="51"/>
        <v>0</v>
      </c>
      <c r="AF55" s="751">
        <f t="shared" si="52"/>
        <v>0</v>
      </c>
      <c r="AG55" s="752">
        <f t="shared" si="53"/>
        <v>0</v>
      </c>
      <c r="AH55" s="763"/>
      <c r="AJ55" s="763"/>
      <c r="AL55" s="763"/>
      <c r="AN55" s="763"/>
      <c r="AP55" s="763"/>
      <c r="AR55" s="763"/>
      <c r="AT55" s="763"/>
      <c r="AV55" s="763"/>
      <c r="BI55" s="759"/>
      <c r="BJ55" s="760"/>
      <c r="BV55" s="759"/>
      <c r="BW55" s="760"/>
      <c r="BY55" s="754"/>
      <c r="BZ55" s="754"/>
      <c r="CA55" s="754"/>
    </row>
    <row r="56" spans="2:79" ht="19.95" customHeight="1">
      <c r="B56" s="1158"/>
      <c r="C56" s="1159"/>
      <c r="D56" s="824"/>
      <c r="E56" s="753"/>
      <c r="F56" s="824"/>
      <c r="G56" s="753"/>
      <c r="H56" s="824"/>
      <c r="I56" s="753"/>
      <c r="J56" s="824"/>
      <c r="K56" s="753"/>
      <c r="L56" s="824"/>
      <c r="M56" s="753"/>
      <c r="N56" s="824"/>
      <c r="O56" s="753"/>
      <c r="P56" s="824"/>
      <c r="Q56" s="753"/>
      <c r="R56" s="824"/>
      <c r="S56" s="753"/>
      <c r="T56" s="824"/>
      <c r="U56" s="753"/>
      <c r="V56" s="824"/>
      <c r="W56" s="753"/>
      <c r="X56" s="824"/>
      <c r="Y56" s="753"/>
      <c r="Z56" s="824"/>
      <c r="AA56" s="753"/>
      <c r="AB56" s="828">
        <f t="shared" si="49"/>
        <v>0</v>
      </c>
      <c r="AC56" s="831">
        <f t="shared" si="50"/>
        <v>0</v>
      </c>
      <c r="AD56" s="834"/>
      <c r="AE56" s="750">
        <f t="shared" si="51"/>
        <v>0</v>
      </c>
      <c r="AF56" s="751">
        <f t="shared" si="52"/>
        <v>0</v>
      </c>
      <c r="AG56" s="752">
        <f t="shared" si="53"/>
        <v>0</v>
      </c>
      <c r="AH56" s="763"/>
      <c r="AJ56" s="763"/>
      <c r="AL56" s="763"/>
      <c r="AN56" s="763"/>
      <c r="AP56" s="763"/>
      <c r="AR56" s="763"/>
      <c r="AT56" s="763"/>
      <c r="AV56" s="763"/>
      <c r="BI56" s="759"/>
      <c r="BJ56" s="760"/>
      <c r="BV56" s="759"/>
      <c r="BW56" s="760"/>
      <c r="BY56" s="754"/>
      <c r="BZ56" s="754"/>
      <c r="CA56" s="754"/>
    </row>
    <row r="57" spans="2:79" ht="19.95" customHeight="1">
      <c r="B57" s="1158"/>
      <c r="C57" s="1159"/>
      <c r="D57" s="824"/>
      <c r="E57" s="753"/>
      <c r="F57" s="824"/>
      <c r="G57" s="753"/>
      <c r="H57" s="824"/>
      <c r="I57" s="753"/>
      <c r="J57" s="824"/>
      <c r="K57" s="753"/>
      <c r="L57" s="824"/>
      <c r="M57" s="753"/>
      <c r="N57" s="824"/>
      <c r="O57" s="753"/>
      <c r="P57" s="824"/>
      <c r="Q57" s="753"/>
      <c r="R57" s="824"/>
      <c r="S57" s="753"/>
      <c r="T57" s="824"/>
      <c r="U57" s="753"/>
      <c r="V57" s="824"/>
      <c r="W57" s="753"/>
      <c r="X57" s="824"/>
      <c r="Y57" s="753"/>
      <c r="Z57" s="824"/>
      <c r="AA57" s="753"/>
      <c r="AB57" s="828">
        <f t="shared" si="49"/>
        <v>0</v>
      </c>
      <c r="AC57" s="831">
        <f t="shared" si="50"/>
        <v>0</v>
      </c>
      <c r="AD57" s="834"/>
      <c r="AE57" s="750">
        <f t="shared" si="51"/>
        <v>0</v>
      </c>
      <c r="AF57" s="751">
        <f t="shared" si="52"/>
        <v>0</v>
      </c>
      <c r="AG57" s="752">
        <f t="shared" si="53"/>
        <v>0</v>
      </c>
      <c r="AH57" s="763"/>
      <c r="AJ57" s="763"/>
      <c r="AL57" s="763"/>
      <c r="AN57" s="763"/>
      <c r="AP57" s="763"/>
      <c r="AR57" s="763"/>
      <c r="AT57" s="763"/>
      <c r="AV57" s="763"/>
      <c r="BI57" s="759"/>
      <c r="BJ57" s="760"/>
      <c r="BV57" s="759"/>
      <c r="BW57" s="760"/>
      <c r="BY57" s="754"/>
      <c r="BZ57" s="754"/>
      <c r="CA57" s="754"/>
    </row>
    <row r="58" spans="2:79" s="754" customFormat="1" ht="19.95" customHeight="1">
      <c r="B58" s="1160" t="s">
        <v>0</v>
      </c>
      <c r="C58" s="1161"/>
      <c r="D58" s="825">
        <f>SUM(D50:D57)</f>
        <v>0</v>
      </c>
      <c r="E58" s="755">
        <f>SUM(E50:E54)</f>
        <v>0</v>
      </c>
      <c r="F58" s="825">
        <f>SUM(F50:F57)</f>
        <v>0</v>
      </c>
      <c r="G58" s="755">
        <f t="shared" ref="G58" si="54">SUM(G50:G54)</f>
        <v>0</v>
      </c>
      <c r="H58" s="825">
        <f>SUM(H50:H57)</f>
        <v>0</v>
      </c>
      <c r="I58" s="755">
        <f t="shared" ref="I58" si="55">SUM(I50:I54)</f>
        <v>0</v>
      </c>
      <c r="J58" s="825">
        <f>SUM(J50:J57)</f>
        <v>0</v>
      </c>
      <c r="K58" s="755">
        <f t="shared" ref="K58" si="56">SUM(K50:K54)</f>
        <v>0</v>
      </c>
      <c r="L58" s="825">
        <f>SUM(L50:L57)</f>
        <v>0</v>
      </c>
      <c r="M58" s="755">
        <f t="shared" ref="M58" si="57">SUM(M50:M54)</f>
        <v>0</v>
      </c>
      <c r="N58" s="825">
        <f>SUM(N50:N57)</f>
        <v>0</v>
      </c>
      <c r="O58" s="755">
        <f t="shared" ref="O58" si="58">SUM(O50:O54)</f>
        <v>0</v>
      </c>
      <c r="P58" s="825">
        <f>SUM(P50:P57)</f>
        <v>0</v>
      </c>
      <c r="Q58" s="755">
        <f t="shared" ref="Q58" si="59">SUM(Q50:Q54)</f>
        <v>0</v>
      </c>
      <c r="R58" s="825">
        <f>SUM(R50:R57)</f>
        <v>0</v>
      </c>
      <c r="S58" s="755">
        <f t="shared" ref="S58" si="60">SUM(S50:S54)</f>
        <v>0</v>
      </c>
      <c r="T58" s="825">
        <f>SUM(T50:T57)</f>
        <v>0</v>
      </c>
      <c r="U58" s="755">
        <f t="shared" ref="U58" si="61">SUM(U50:U54)</f>
        <v>0</v>
      </c>
      <c r="V58" s="825">
        <f>SUM(V50:V57)</f>
        <v>0</v>
      </c>
      <c r="W58" s="755">
        <f t="shared" ref="W58" si="62">SUM(W50:W54)</f>
        <v>0</v>
      </c>
      <c r="X58" s="825">
        <f>SUM(X50:X57)</f>
        <v>0</v>
      </c>
      <c r="Y58" s="755">
        <f t="shared" ref="Y58" si="63">SUM(Y50:Y54)</f>
        <v>0</v>
      </c>
      <c r="Z58" s="825">
        <f>SUM(Z50:Z57)</f>
        <v>0</v>
      </c>
      <c r="AA58" s="755">
        <f t="shared" ref="AA58" si="64">SUM(AA50:AA54)</f>
        <v>0</v>
      </c>
      <c r="AB58" s="829">
        <f>SUM(AB50:AB57)</f>
        <v>0</v>
      </c>
      <c r="AC58" s="833">
        <f>SUM(AC50:AC54)</f>
        <v>0</v>
      </c>
      <c r="AD58" s="835" t="str">
        <f>IF(ISERROR(AE58/AC58)," ",AE58/AC58)</f>
        <v xml:space="preserve"> </v>
      </c>
      <c r="AE58" s="756">
        <f>SUM(AE50:AE57)</f>
        <v>0</v>
      </c>
      <c r="AF58" s="757">
        <f t="shared" ref="AF58:AG58" si="65">SUM(AF50:AF57)</f>
        <v>0</v>
      </c>
      <c r="AG58" s="758">
        <f t="shared" si="65"/>
        <v>0</v>
      </c>
      <c r="AH58" s="763"/>
      <c r="AJ58" s="763"/>
      <c r="AL58" s="763"/>
      <c r="AN58" s="763"/>
      <c r="AP58" s="763"/>
      <c r="AR58" s="763"/>
      <c r="AT58" s="763"/>
      <c r="AV58" s="763"/>
      <c r="BI58" s="760"/>
      <c r="BJ58" s="760"/>
      <c r="BV58" s="760"/>
      <c r="BW58" s="760"/>
    </row>
    <row r="59" spans="2:79" ht="19.95" customHeight="1">
      <c r="Q59" s="759"/>
      <c r="R59" s="759"/>
      <c r="S59" s="760"/>
      <c r="T59" s="760"/>
      <c r="U59" s="761"/>
      <c r="V59" s="761"/>
      <c r="W59" s="762"/>
      <c r="X59" s="762"/>
      <c r="Y59" s="763"/>
      <c r="Z59" s="763"/>
      <c r="BF59" s="759"/>
      <c r="BG59" s="760"/>
      <c r="BS59" s="759"/>
      <c r="BT59" s="760"/>
      <c r="BV59" s="754"/>
      <c r="BW59" s="754"/>
      <c r="BX59" s="754"/>
    </row>
    <row r="60" spans="2:79" ht="19.95" customHeight="1">
      <c r="B60" s="741" t="s">
        <v>311</v>
      </c>
      <c r="C60" s="742" t="str">
        <f>IF(ISBLANK(durée_5)," ",durée_5)</f>
        <v xml:space="preserve"> </v>
      </c>
      <c r="D60" s="826"/>
      <c r="E60" s="819"/>
      <c r="F60" s="819"/>
      <c r="G60" s="819"/>
      <c r="H60" s="819"/>
      <c r="I60" s="819"/>
      <c r="J60" s="819"/>
      <c r="K60" s="819"/>
      <c r="L60" s="819"/>
      <c r="M60" s="761"/>
      <c r="N60" s="761"/>
      <c r="O60" s="761"/>
      <c r="P60" s="761"/>
      <c r="Q60" s="761"/>
      <c r="R60" s="761"/>
      <c r="S60" s="761"/>
      <c r="T60" s="761"/>
      <c r="U60" s="761"/>
      <c r="V60" s="761"/>
      <c r="W60" s="762"/>
      <c r="X60" s="762"/>
      <c r="Y60" s="763"/>
      <c r="Z60" s="763"/>
      <c r="BF60" s="759"/>
      <c r="BG60" s="760"/>
      <c r="BS60" s="759"/>
      <c r="BT60" s="760"/>
      <c r="BV60" s="754"/>
      <c r="BW60" s="754"/>
      <c r="BX60" s="754"/>
    </row>
    <row r="61" spans="2:79" ht="3" customHeight="1">
      <c r="W61" s="762"/>
      <c r="X61" s="762"/>
      <c r="Y61" s="763"/>
      <c r="Z61" s="763"/>
      <c r="BF61" s="759"/>
      <c r="BG61" s="760"/>
      <c r="BS61" s="759"/>
      <c r="BT61" s="760"/>
      <c r="BV61" s="754"/>
      <c r="BW61" s="754"/>
      <c r="BX61" s="754"/>
    </row>
    <row r="62" spans="2:79" ht="19.95" customHeight="1">
      <c r="B62" s="1178" t="s">
        <v>164</v>
      </c>
      <c r="C62" s="1179"/>
      <c r="D62" s="1174" t="str">
        <f>IF(ISBLANK(durée_5)," ",1)</f>
        <v xml:space="preserve"> </v>
      </c>
      <c r="E62" s="1175"/>
      <c r="F62" s="1174" t="str">
        <f>IF(ISBLANK(durée_5)," ",D62+1)</f>
        <v xml:space="preserve"> </v>
      </c>
      <c r="G62" s="1175"/>
      <c r="H62" s="1176" t="str">
        <f>IF(ISBLANK(durée_5)," ",F62+1)</f>
        <v xml:space="preserve"> </v>
      </c>
      <c r="I62" s="1177"/>
      <c r="J62" s="1176" t="str">
        <f>IF(ISBLANK(durée_5)," ",H62+1)</f>
        <v xml:space="preserve"> </v>
      </c>
      <c r="K62" s="1177"/>
      <c r="L62" s="1176" t="str">
        <f>IF(ISBLANK(durée_5)," ",J62+1)</f>
        <v xml:space="preserve"> </v>
      </c>
      <c r="M62" s="1177"/>
      <c r="N62" s="1176" t="str">
        <f>IF(ISBLANK(durée_5)," ",L62+1)</f>
        <v xml:space="preserve"> </v>
      </c>
      <c r="O62" s="1177"/>
      <c r="P62" s="1162" t="str">
        <f>IF(ISBLANK(durée_5)," ",N62+1)</f>
        <v xml:space="preserve"> </v>
      </c>
      <c r="Q62" s="1163"/>
      <c r="R62" s="1162" t="str">
        <f>IF(ISBLANK(durée_5)," ",P62+1)</f>
        <v xml:space="preserve"> </v>
      </c>
      <c r="S62" s="1163"/>
      <c r="T62" s="1162" t="str">
        <f>IF(ISBLANK(durée_5)," ",R62+1)</f>
        <v xml:space="preserve"> </v>
      </c>
      <c r="U62" s="1163"/>
      <c r="V62" s="1162" t="str">
        <f>IF(ISBLANK(durée_5)," ",T62+1)</f>
        <v xml:space="preserve"> </v>
      </c>
      <c r="W62" s="1163"/>
      <c r="X62" s="1162" t="str">
        <f>IF(ISBLANK(durée_5)," ",V62+1)</f>
        <v xml:space="preserve"> </v>
      </c>
      <c r="Y62" s="1163"/>
      <c r="Z62" s="1162" t="str">
        <f>IF(ISBLANK(durée_5)," ",X62+1)</f>
        <v xml:space="preserve"> </v>
      </c>
      <c r="AA62" s="1163"/>
      <c r="AB62" s="1164" t="s">
        <v>275</v>
      </c>
      <c r="AC62" s="1165"/>
      <c r="AD62" s="1166" t="s">
        <v>276</v>
      </c>
      <c r="AE62" s="1167"/>
      <c r="AF62" s="1168" t="s">
        <v>277</v>
      </c>
      <c r="AG62" s="1169"/>
      <c r="AH62" s="763"/>
      <c r="AJ62" s="763"/>
      <c r="AL62" s="763"/>
      <c r="AN62" s="763"/>
      <c r="AP62" s="763"/>
      <c r="AR62" s="763"/>
      <c r="AT62" s="763"/>
      <c r="AV62" s="763"/>
      <c r="BI62" s="759"/>
      <c r="BJ62" s="760"/>
      <c r="BV62" s="759"/>
      <c r="BW62" s="760"/>
      <c r="BY62" s="754"/>
      <c r="BZ62" s="754"/>
      <c r="CA62" s="754"/>
    </row>
    <row r="63" spans="2:79" ht="19.95" customHeight="1">
      <c r="B63" s="1170" t="s">
        <v>278</v>
      </c>
      <c r="C63" s="1171"/>
      <c r="D63" s="821" t="str">
        <f>IF(ISBLANK(durée_5)," ","Nb")</f>
        <v xml:space="preserve"> </v>
      </c>
      <c r="E63" s="822" t="str">
        <f>IF(ISBLANK(durée_5)," ","€")</f>
        <v xml:space="preserve"> </v>
      </c>
      <c r="F63" s="821" t="str">
        <f>IF(ISBLANK(durée_5)," ","Nb")</f>
        <v xml:space="preserve"> </v>
      </c>
      <c r="G63" s="822" t="str">
        <f>IF(ISBLANK(durée_5)," ","€")</f>
        <v xml:space="preserve"> </v>
      </c>
      <c r="H63" s="821" t="str">
        <f>IF(ISBLANK(durée_5)," ","Nb")</f>
        <v xml:space="preserve"> </v>
      </c>
      <c r="I63" s="822" t="str">
        <f>IF(ISBLANK(durée_5)," ","€")</f>
        <v xml:space="preserve"> </v>
      </c>
      <c r="J63" s="821" t="str">
        <f>IF(ISBLANK(durée_5)," ","Nb")</f>
        <v xml:space="preserve"> </v>
      </c>
      <c r="K63" s="822" t="str">
        <f>IF(ISBLANK(durée_5)," ","€")</f>
        <v xml:space="preserve"> </v>
      </c>
      <c r="L63" s="821" t="str">
        <f>IF(ISBLANK(durée_5)," ","Nb")</f>
        <v xml:space="preserve"> </v>
      </c>
      <c r="M63" s="822" t="str">
        <f>IF(ISBLANK(durée_5)," ","€")</f>
        <v xml:space="preserve"> </v>
      </c>
      <c r="N63" s="821" t="str">
        <f>IF(ISBLANK(durée_5)," ","Nb")</f>
        <v xml:space="preserve"> </v>
      </c>
      <c r="O63" s="822" t="str">
        <f>IF(ISBLANK(durée_5)," ","€")</f>
        <v xml:space="preserve"> </v>
      </c>
      <c r="P63" s="821" t="str">
        <f>IF(ISBLANK(durée_5)," ","Nb")</f>
        <v xml:space="preserve"> </v>
      </c>
      <c r="Q63" s="822" t="str">
        <f>IF(ISBLANK(durée_5)," ","€")</f>
        <v xml:space="preserve"> </v>
      </c>
      <c r="R63" s="821" t="str">
        <f>IF(ISBLANK(durée_5)," ","Nb")</f>
        <v xml:space="preserve"> </v>
      </c>
      <c r="S63" s="822" t="str">
        <f>IF(ISBLANK(durée_5)," ","€")</f>
        <v xml:space="preserve"> </v>
      </c>
      <c r="T63" s="821" t="str">
        <f>IF(ISBLANK(durée_5)," ","Nb")</f>
        <v xml:space="preserve"> </v>
      </c>
      <c r="U63" s="822" t="str">
        <f>IF(ISBLANK(durée_5)," ","€")</f>
        <v xml:space="preserve"> </v>
      </c>
      <c r="V63" s="821" t="str">
        <f>IF(ISBLANK(durée_5)," ","Nb")</f>
        <v xml:space="preserve"> </v>
      </c>
      <c r="W63" s="822" t="str">
        <f>IF(ISBLANK(durée_5)," ","€")</f>
        <v xml:space="preserve"> </v>
      </c>
      <c r="X63" s="821" t="str">
        <f>IF(ISBLANK(durée_5)," ","Nb")</f>
        <v xml:space="preserve"> </v>
      </c>
      <c r="Y63" s="822" t="str">
        <f>IF(ISBLANK(durée_5)," ","€")</f>
        <v xml:space="preserve"> </v>
      </c>
      <c r="Z63" s="821" t="str">
        <f>IF(ISBLANK(durée_5)," ","Nb")</f>
        <v xml:space="preserve"> </v>
      </c>
      <c r="AA63" s="822" t="str">
        <f>IF(ISBLANK(durée_5)," ","€")</f>
        <v xml:space="preserve"> </v>
      </c>
      <c r="AB63" s="827" t="str">
        <f>IF(ISBLANK(durée_5)," ","Nb")</f>
        <v xml:space="preserve"> </v>
      </c>
      <c r="AC63" s="830" t="str">
        <f>IF(ISBLANK(durée_5)," ","€")</f>
        <v xml:space="preserve"> </v>
      </c>
      <c r="AD63" s="839" t="str">
        <f>IF(ISBLANK(durée_5)," ","Taux")</f>
        <v xml:space="preserve"> </v>
      </c>
      <c r="AE63" s="840" t="str">
        <f>IF(ISBLANK(durée_5)," ","Nb")</f>
        <v xml:space="preserve"> </v>
      </c>
      <c r="AF63" s="747" t="str">
        <f>IF(ISBLANK(durée_5)," ","€")</f>
        <v xml:space="preserve"> </v>
      </c>
      <c r="AG63" s="748" t="str">
        <f>IF(ISBLANK(durée_5)," ","€")</f>
        <v xml:space="preserve"> </v>
      </c>
      <c r="AH63" s="763"/>
      <c r="AJ63" s="763"/>
      <c r="AL63" s="763"/>
      <c r="AN63" s="763"/>
      <c r="AP63" s="763"/>
      <c r="AR63" s="763"/>
      <c r="AT63" s="763"/>
      <c r="AV63" s="763"/>
      <c r="BI63" s="759"/>
      <c r="BJ63" s="760"/>
      <c r="BV63" s="759"/>
      <c r="BW63" s="760"/>
      <c r="BY63" s="754"/>
      <c r="BZ63" s="754"/>
      <c r="CA63" s="754"/>
    </row>
    <row r="64" spans="2:79" ht="19.95" customHeight="1">
      <c r="B64" s="1172" t="s">
        <v>279</v>
      </c>
      <c r="C64" s="1173"/>
      <c r="D64" s="823"/>
      <c r="E64" s="749"/>
      <c r="F64" s="823"/>
      <c r="G64" s="749"/>
      <c r="H64" s="823"/>
      <c r="I64" s="749"/>
      <c r="J64" s="823"/>
      <c r="K64" s="749"/>
      <c r="L64" s="823"/>
      <c r="M64" s="749"/>
      <c r="N64" s="823"/>
      <c r="O64" s="749"/>
      <c r="P64" s="823"/>
      <c r="Q64" s="749"/>
      <c r="R64" s="823"/>
      <c r="S64" s="749"/>
      <c r="T64" s="823"/>
      <c r="U64" s="749"/>
      <c r="V64" s="823"/>
      <c r="W64" s="749"/>
      <c r="X64" s="823"/>
      <c r="Y64" s="749"/>
      <c r="Z64" s="823"/>
      <c r="AA64" s="749"/>
      <c r="AB64" s="828">
        <f>(D64+F64+H64+J64+L64+N64+P64+R64+T64+V64+X64+Z64)/12</f>
        <v>0</v>
      </c>
      <c r="AC64" s="831">
        <f>E64+G64+I64+K64+M64+O64+Q64+S64+U64+W64+Y64+AA64</f>
        <v>0</v>
      </c>
      <c r="AD64" s="834"/>
      <c r="AE64" s="750">
        <f>AC64*AD64</f>
        <v>0</v>
      </c>
      <c r="AF64" s="751">
        <f>AB64</f>
        <v>0</v>
      </c>
      <c r="AG64" s="752">
        <f>AC64+AE64</f>
        <v>0</v>
      </c>
      <c r="AH64" s="763"/>
      <c r="AJ64" s="763"/>
      <c r="AL64" s="763"/>
      <c r="AN64" s="763"/>
      <c r="AP64" s="763"/>
      <c r="AR64" s="763"/>
      <c r="AT64" s="763"/>
      <c r="AV64" s="763"/>
      <c r="BI64" s="759"/>
      <c r="BJ64" s="760"/>
      <c r="BV64" s="759"/>
      <c r="BW64" s="760"/>
      <c r="BY64" s="754"/>
      <c r="BZ64" s="754"/>
      <c r="CA64" s="754"/>
    </row>
    <row r="65" spans="2:79" ht="19.95" customHeight="1">
      <c r="B65" s="1158" t="s">
        <v>280</v>
      </c>
      <c r="C65" s="1159"/>
      <c r="D65" s="824"/>
      <c r="E65" s="753"/>
      <c r="F65" s="824"/>
      <c r="G65" s="753"/>
      <c r="H65" s="824"/>
      <c r="I65" s="753"/>
      <c r="J65" s="824"/>
      <c r="K65" s="753"/>
      <c r="L65" s="824"/>
      <c r="M65" s="753"/>
      <c r="N65" s="824"/>
      <c r="O65" s="753"/>
      <c r="P65" s="824"/>
      <c r="Q65" s="753"/>
      <c r="R65" s="824"/>
      <c r="S65" s="753"/>
      <c r="T65" s="824"/>
      <c r="U65" s="753"/>
      <c r="V65" s="824"/>
      <c r="W65" s="753"/>
      <c r="X65" s="824"/>
      <c r="Y65" s="753"/>
      <c r="Z65" s="824"/>
      <c r="AA65" s="753"/>
      <c r="AB65" s="828">
        <f t="shared" ref="AB65:AB71" si="66">(D65+F65+H65+J65+L65+N65+P65+R65+T65+V65+X65+Z65)/12</f>
        <v>0</v>
      </c>
      <c r="AC65" s="831">
        <f t="shared" ref="AC65:AC71" si="67">E65+G65+I65+K65+M65+O65+Q65+S65+U65+W65+Y65+AA65</f>
        <v>0</v>
      </c>
      <c r="AD65" s="834"/>
      <c r="AE65" s="750">
        <f t="shared" ref="AE65:AE71" si="68">AC65*AD65</f>
        <v>0</v>
      </c>
      <c r="AF65" s="751">
        <f t="shared" ref="AF65:AF71" si="69">AB65</f>
        <v>0</v>
      </c>
      <c r="AG65" s="752">
        <f t="shared" ref="AG65:AG71" si="70">AC65+AE65</f>
        <v>0</v>
      </c>
      <c r="AH65" s="763"/>
      <c r="AJ65" s="763"/>
      <c r="AL65" s="763"/>
      <c r="AN65" s="763"/>
      <c r="AP65" s="763"/>
      <c r="AR65" s="763"/>
      <c r="AT65" s="763"/>
      <c r="AV65" s="763"/>
      <c r="BI65" s="759"/>
      <c r="BJ65" s="760"/>
      <c r="BV65" s="759"/>
      <c r="BW65" s="760"/>
      <c r="BY65" s="754"/>
      <c r="BZ65" s="754"/>
      <c r="CA65" s="754"/>
    </row>
    <row r="66" spans="2:79" ht="19.95" customHeight="1">
      <c r="B66" s="1158" t="s">
        <v>281</v>
      </c>
      <c r="C66" s="1159"/>
      <c r="D66" s="824"/>
      <c r="E66" s="753"/>
      <c r="F66" s="824"/>
      <c r="G66" s="753"/>
      <c r="H66" s="824"/>
      <c r="I66" s="753"/>
      <c r="J66" s="824"/>
      <c r="K66" s="753"/>
      <c r="L66" s="824"/>
      <c r="M66" s="753"/>
      <c r="N66" s="824"/>
      <c r="O66" s="753"/>
      <c r="P66" s="824"/>
      <c r="Q66" s="753"/>
      <c r="R66" s="824"/>
      <c r="S66" s="753"/>
      <c r="T66" s="824"/>
      <c r="U66" s="753"/>
      <c r="V66" s="824"/>
      <c r="W66" s="753"/>
      <c r="X66" s="824"/>
      <c r="Y66" s="753"/>
      <c r="Z66" s="824"/>
      <c r="AA66" s="753"/>
      <c r="AB66" s="828">
        <f t="shared" si="66"/>
        <v>0</v>
      </c>
      <c r="AC66" s="831">
        <f t="shared" si="67"/>
        <v>0</v>
      </c>
      <c r="AD66" s="834"/>
      <c r="AE66" s="750">
        <f t="shared" si="68"/>
        <v>0</v>
      </c>
      <c r="AF66" s="751">
        <f t="shared" si="69"/>
        <v>0</v>
      </c>
      <c r="AG66" s="752">
        <f t="shared" si="70"/>
        <v>0</v>
      </c>
      <c r="AH66" s="763"/>
      <c r="AJ66" s="763"/>
      <c r="AL66" s="763"/>
      <c r="AN66" s="763"/>
      <c r="AP66" s="763"/>
      <c r="AR66" s="763"/>
      <c r="AT66" s="763"/>
      <c r="AV66" s="763"/>
      <c r="BI66" s="759"/>
      <c r="BJ66" s="760"/>
      <c r="BV66" s="759"/>
      <c r="BW66" s="760"/>
      <c r="BY66" s="754"/>
      <c r="BZ66" s="754"/>
      <c r="CA66" s="754"/>
    </row>
    <row r="67" spans="2:79" ht="19.95" customHeight="1">
      <c r="B67" s="1158" t="s">
        <v>282</v>
      </c>
      <c r="C67" s="1159"/>
      <c r="D67" s="824"/>
      <c r="E67" s="753"/>
      <c r="F67" s="824"/>
      <c r="G67" s="753"/>
      <c r="H67" s="824"/>
      <c r="I67" s="753"/>
      <c r="J67" s="824"/>
      <c r="K67" s="753"/>
      <c r="L67" s="824"/>
      <c r="M67" s="753"/>
      <c r="N67" s="824"/>
      <c r="O67" s="753"/>
      <c r="P67" s="824"/>
      <c r="Q67" s="753"/>
      <c r="R67" s="824"/>
      <c r="S67" s="753"/>
      <c r="T67" s="824"/>
      <c r="U67" s="753"/>
      <c r="V67" s="824"/>
      <c r="W67" s="753"/>
      <c r="X67" s="824"/>
      <c r="Y67" s="753"/>
      <c r="Z67" s="824"/>
      <c r="AA67" s="753"/>
      <c r="AB67" s="828">
        <f t="shared" si="66"/>
        <v>0</v>
      </c>
      <c r="AC67" s="831">
        <f t="shared" si="67"/>
        <v>0</v>
      </c>
      <c r="AD67" s="834"/>
      <c r="AE67" s="750">
        <f t="shared" si="68"/>
        <v>0</v>
      </c>
      <c r="AF67" s="751">
        <f t="shared" si="69"/>
        <v>0</v>
      </c>
      <c r="AG67" s="752">
        <f t="shared" si="70"/>
        <v>0</v>
      </c>
      <c r="AH67" s="763"/>
      <c r="AJ67" s="763"/>
      <c r="AL67" s="763"/>
      <c r="AN67" s="763"/>
      <c r="AP67" s="763"/>
      <c r="AR67" s="763"/>
      <c r="AT67" s="763"/>
      <c r="AV67" s="763"/>
      <c r="BI67" s="759"/>
      <c r="BJ67" s="760"/>
      <c r="BV67" s="759"/>
      <c r="BW67" s="760"/>
      <c r="BY67" s="754"/>
      <c r="BZ67" s="754"/>
      <c r="CA67" s="754"/>
    </row>
    <row r="68" spans="2:79" ht="19.95" customHeight="1">
      <c r="B68" s="1158" t="s">
        <v>283</v>
      </c>
      <c r="C68" s="1159"/>
      <c r="D68" s="824"/>
      <c r="E68" s="753"/>
      <c r="F68" s="824"/>
      <c r="G68" s="753"/>
      <c r="H68" s="824"/>
      <c r="I68" s="753"/>
      <c r="J68" s="824"/>
      <c r="K68" s="753"/>
      <c r="L68" s="824"/>
      <c r="M68" s="753"/>
      <c r="N68" s="824"/>
      <c r="O68" s="753"/>
      <c r="P68" s="824"/>
      <c r="Q68" s="753"/>
      <c r="R68" s="824"/>
      <c r="S68" s="753"/>
      <c r="T68" s="824"/>
      <c r="U68" s="753"/>
      <c r="V68" s="824"/>
      <c r="W68" s="753"/>
      <c r="X68" s="824"/>
      <c r="Y68" s="753"/>
      <c r="Z68" s="824"/>
      <c r="AA68" s="753"/>
      <c r="AB68" s="828">
        <f t="shared" si="66"/>
        <v>0</v>
      </c>
      <c r="AC68" s="831">
        <f t="shared" si="67"/>
        <v>0</v>
      </c>
      <c r="AD68" s="834"/>
      <c r="AE68" s="750">
        <f t="shared" si="68"/>
        <v>0</v>
      </c>
      <c r="AF68" s="751">
        <f t="shared" si="69"/>
        <v>0</v>
      </c>
      <c r="AG68" s="752">
        <f t="shared" si="70"/>
        <v>0</v>
      </c>
      <c r="AH68" s="763"/>
      <c r="AJ68" s="763"/>
      <c r="AL68" s="763"/>
      <c r="AN68" s="763"/>
      <c r="AP68" s="763"/>
      <c r="AR68" s="763"/>
      <c r="AT68" s="763"/>
      <c r="AV68" s="763"/>
      <c r="BI68" s="759"/>
      <c r="BJ68" s="760"/>
      <c r="BV68" s="759"/>
      <c r="BW68" s="760"/>
      <c r="BY68" s="754"/>
      <c r="BZ68" s="754"/>
      <c r="CA68" s="754"/>
    </row>
    <row r="69" spans="2:79" ht="19.95" customHeight="1">
      <c r="B69" s="1158"/>
      <c r="C69" s="1159"/>
      <c r="D69" s="824"/>
      <c r="E69" s="753"/>
      <c r="F69" s="824"/>
      <c r="G69" s="753"/>
      <c r="H69" s="824"/>
      <c r="I69" s="753"/>
      <c r="J69" s="824"/>
      <c r="K69" s="753"/>
      <c r="L69" s="824"/>
      <c r="M69" s="753"/>
      <c r="N69" s="824"/>
      <c r="O69" s="753"/>
      <c r="P69" s="824"/>
      <c r="Q69" s="753"/>
      <c r="R69" s="824"/>
      <c r="S69" s="753"/>
      <c r="T69" s="824"/>
      <c r="U69" s="753"/>
      <c r="V69" s="824"/>
      <c r="W69" s="753"/>
      <c r="X69" s="824"/>
      <c r="Y69" s="753"/>
      <c r="Z69" s="824"/>
      <c r="AA69" s="753"/>
      <c r="AB69" s="828">
        <f t="shared" si="66"/>
        <v>0</v>
      </c>
      <c r="AC69" s="831">
        <f t="shared" si="67"/>
        <v>0</v>
      </c>
      <c r="AD69" s="834"/>
      <c r="AE69" s="750">
        <f t="shared" si="68"/>
        <v>0</v>
      </c>
      <c r="AF69" s="751">
        <f t="shared" si="69"/>
        <v>0</v>
      </c>
      <c r="AG69" s="752">
        <f t="shared" si="70"/>
        <v>0</v>
      </c>
      <c r="AH69" s="763"/>
      <c r="AJ69" s="763"/>
      <c r="AL69" s="763"/>
      <c r="AN69" s="763"/>
      <c r="AP69" s="763"/>
      <c r="AR69" s="763"/>
      <c r="AT69" s="763"/>
      <c r="AV69" s="763"/>
      <c r="BI69" s="759"/>
      <c r="BJ69" s="760"/>
      <c r="BV69" s="759"/>
      <c r="BW69" s="760"/>
      <c r="BY69" s="754"/>
      <c r="BZ69" s="754"/>
      <c r="CA69" s="754"/>
    </row>
    <row r="70" spans="2:79" ht="19.95" customHeight="1">
      <c r="B70" s="1158"/>
      <c r="C70" s="1159"/>
      <c r="D70" s="824"/>
      <c r="E70" s="753"/>
      <c r="F70" s="824"/>
      <c r="G70" s="753"/>
      <c r="H70" s="824"/>
      <c r="I70" s="753"/>
      <c r="J70" s="824"/>
      <c r="K70" s="753"/>
      <c r="L70" s="824"/>
      <c r="M70" s="753"/>
      <c r="N70" s="824"/>
      <c r="O70" s="753"/>
      <c r="P70" s="824"/>
      <c r="Q70" s="753"/>
      <c r="R70" s="824"/>
      <c r="S70" s="753"/>
      <c r="T70" s="824"/>
      <c r="U70" s="753"/>
      <c r="V70" s="824"/>
      <c r="W70" s="753"/>
      <c r="X70" s="824"/>
      <c r="Y70" s="753"/>
      <c r="Z70" s="824"/>
      <c r="AA70" s="753"/>
      <c r="AB70" s="828">
        <f t="shared" si="66"/>
        <v>0</v>
      </c>
      <c r="AC70" s="831">
        <f t="shared" si="67"/>
        <v>0</v>
      </c>
      <c r="AD70" s="834"/>
      <c r="AE70" s="750">
        <f t="shared" si="68"/>
        <v>0</v>
      </c>
      <c r="AF70" s="751">
        <f t="shared" si="69"/>
        <v>0</v>
      </c>
      <c r="AG70" s="752">
        <f t="shared" si="70"/>
        <v>0</v>
      </c>
      <c r="AH70" s="763"/>
      <c r="AJ70" s="763"/>
      <c r="AL70" s="763"/>
      <c r="AN70" s="763"/>
      <c r="AP70" s="763"/>
      <c r="AR70" s="763"/>
      <c r="AT70" s="763"/>
      <c r="AV70" s="763"/>
      <c r="BI70" s="759"/>
      <c r="BJ70" s="760"/>
      <c r="BV70" s="759"/>
      <c r="BW70" s="760"/>
      <c r="BY70" s="754"/>
      <c r="BZ70" s="754"/>
      <c r="CA70" s="754"/>
    </row>
    <row r="71" spans="2:79" ht="19.95" customHeight="1">
      <c r="B71" s="1158"/>
      <c r="C71" s="1159"/>
      <c r="D71" s="824"/>
      <c r="E71" s="753"/>
      <c r="F71" s="824"/>
      <c r="G71" s="753"/>
      <c r="H71" s="824"/>
      <c r="I71" s="753"/>
      <c r="J71" s="824"/>
      <c r="K71" s="753"/>
      <c r="L71" s="824"/>
      <c r="M71" s="753"/>
      <c r="N71" s="824"/>
      <c r="O71" s="753"/>
      <c r="P71" s="824"/>
      <c r="Q71" s="753"/>
      <c r="R71" s="824"/>
      <c r="S71" s="753"/>
      <c r="T71" s="824"/>
      <c r="U71" s="753"/>
      <c r="V71" s="824"/>
      <c r="W71" s="753"/>
      <c r="X71" s="824"/>
      <c r="Y71" s="753"/>
      <c r="Z71" s="824"/>
      <c r="AA71" s="753"/>
      <c r="AB71" s="828">
        <f t="shared" si="66"/>
        <v>0</v>
      </c>
      <c r="AC71" s="831">
        <f t="shared" si="67"/>
        <v>0</v>
      </c>
      <c r="AD71" s="834"/>
      <c r="AE71" s="750">
        <f t="shared" si="68"/>
        <v>0</v>
      </c>
      <c r="AF71" s="751">
        <f t="shared" si="69"/>
        <v>0</v>
      </c>
      <c r="AG71" s="752">
        <f t="shared" si="70"/>
        <v>0</v>
      </c>
      <c r="AH71" s="763"/>
      <c r="AJ71" s="763"/>
      <c r="AL71" s="763"/>
      <c r="AN71" s="763"/>
      <c r="AP71" s="763"/>
      <c r="AR71" s="763"/>
      <c r="AT71" s="763"/>
      <c r="AV71" s="763"/>
      <c r="BI71" s="759"/>
      <c r="BJ71" s="760"/>
      <c r="BV71" s="759"/>
      <c r="BW71" s="760"/>
      <c r="BY71" s="754"/>
      <c r="BZ71" s="754"/>
      <c r="CA71" s="754"/>
    </row>
    <row r="72" spans="2:79" s="754" customFormat="1" ht="19.95" customHeight="1">
      <c r="B72" s="1160" t="s">
        <v>0</v>
      </c>
      <c r="C72" s="1161"/>
      <c r="D72" s="825">
        <f>SUM(D64:D71)</f>
        <v>0</v>
      </c>
      <c r="E72" s="755">
        <f>SUM(E64:E68)</f>
        <v>0</v>
      </c>
      <c r="F72" s="825">
        <f>SUM(F64:F71)</f>
        <v>0</v>
      </c>
      <c r="G72" s="755">
        <f t="shared" ref="G72" si="71">SUM(G64:G68)</f>
        <v>0</v>
      </c>
      <c r="H72" s="825">
        <f>SUM(H64:H71)</f>
        <v>0</v>
      </c>
      <c r="I72" s="755">
        <f t="shared" ref="I72" si="72">SUM(I64:I68)</f>
        <v>0</v>
      </c>
      <c r="J72" s="825">
        <f>SUM(J64:J71)</f>
        <v>0</v>
      </c>
      <c r="K72" s="755">
        <f t="shared" ref="K72" si="73">SUM(K64:K68)</f>
        <v>0</v>
      </c>
      <c r="L72" s="825">
        <f>SUM(L64:L71)</f>
        <v>0</v>
      </c>
      <c r="M72" s="755">
        <f t="shared" ref="M72" si="74">SUM(M64:M68)</f>
        <v>0</v>
      </c>
      <c r="N72" s="825">
        <f>SUM(N64:N71)</f>
        <v>0</v>
      </c>
      <c r="O72" s="755">
        <f t="shared" ref="O72" si="75">SUM(O64:O68)</f>
        <v>0</v>
      </c>
      <c r="P72" s="825">
        <f>SUM(P64:P71)</f>
        <v>0</v>
      </c>
      <c r="Q72" s="755">
        <f t="shared" ref="Q72" si="76">SUM(Q64:Q68)</f>
        <v>0</v>
      </c>
      <c r="R72" s="825">
        <f>SUM(R64:R71)</f>
        <v>0</v>
      </c>
      <c r="S72" s="755">
        <f t="shared" ref="S72" si="77">SUM(S64:S68)</f>
        <v>0</v>
      </c>
      <c r="T72" s="825">
        <f>SUM(T64:T71)</f>
        <v>0</v>
      </c>
      <c r="U72" s="755">
        <f t="shared" ref="U72" si="78">SUM(U64:U68)</f>
        <v>0</v>
      </c>
      <c r="V72" s="825">
        <f>SUM(V64:V71)</f>
        <v>0</v>
      </c>
      <c r="W72" s="755">
        <f t="shared" ref="W72" si="79">SUM(W64:W68)</f>
        <v>0</v>
      </c>
      <c r="X72" s="825">
        <f>SUM(X64:X71)</f>
        <v>0</v>
      </c>
      <c r="Y72" s="755">
        <f t="shared" ref="Y72" si="80">SUM(Y64:Y68)</f>
        <v>0</v>
      </c>
      <c r="Z72" s="825">
        <f>SUM(Z64:Z71)</f>
        <v>0</v>
      </c>
      <c r="AA72" s="755">
        <f t="shared" ref="AA72" si="81">SUM(AA64:AA68)</f>
        <v>0</v>
      </c>
      <c r="AB72" s="829">
        <f>SUM(AB64:AB71)</f>
        <v>0</v>
      </c>
      <c r="AC72" s="833">
        <f>SUM(AC64:AC68)</f>
        <v>0</v>
      </c>
      <c r="AD72" s="835" t="str">
        <f>IF(ISERROR(AE72/AC72)," ",AE72/AC72)</f>
        <v xml:space="preserve"> </v>
      </c>
      <c r="AE72" s="756">
        <f>SUM(AE64:AE71)</f>
        <v>0</v>
      </c>
      <c r="AF72" s="757">
        <f t="shared" ref="AF72:AG72" si="82">SUM(AF64:AF71)</f>
        <v>0</v>
      </c>
      <c r="AG72" s="758">
        <f t="shared" si="82"/>
        <v>0</v>
      </c>
      <c r="AH72" s="763"/>
      <c r="AJ72" s="763"/>
      <c r="AL72" s="763"/>
      <c r="AN72" s="763"/>
      <c r="AP72" s="763"/>
      <c r="AR72" s="763"/>
      <c r="AT72" s="763"/>
      <c r="AV72" s="763"/>
      <c r="BI72" s="760"/>
      <c r="BJ72" s="760"/>
      <c r="BV72" s="760"/>
      <c r="BW72" s="760"/>
    </row>
  </sheetData>
  <sheetProtection algorithmName="SHA-512" hashValue="qIXPPEC1QP4WCno4UAEmvhKREoK0e2KRalIP4CVuOvjEdOgfVBwvTQ96Mt2hMtoVw5EHZ81rVzN9eOGz2Xf7Pw==" saltValue="b95XwIkUtIGNxWXLI/veFg==" spinCount="100000" sheet="1" formatCells="0" formatColumns="0" formatRows="0" insertColumns="0" insertRows="0" insertHyperlinks="0" deleteColumns="0" deleteRows="0" sort="0" autoFilter="0" pivotTables="0"/>
  <mergeCells count="166">
    <mergeCell ref="B41:C41"/>
    <mergeCell ref="B42:C42"/>
    <mergeCell ref="B43:C43"/>
    <mergeCell ref="B44:C44"/>
    <mergeCell ref="B35:C35"/>
    <mergeCell ref="B36:C36"/>
    <mergeCell ref="B37:C37"/>
    <mergeCell ref="B38:C38"/>
    <mergeCell ref="B39:C39"/>
    <mergeCell ref="B40:C40"/>
    <mergeCell ref="V34:W34"/>
    <mergeCell ref="X34:Y34"/>
    <mergeCell ref="Z34:AA34"/>
    <mergeCell ref="AB34:AC34"/>
    <mergeCell ref="AD34:AE34"/>
    <mergeCell ref="AF34:AG34"/>
    <mergeCell ref="J34:K34"/>
    <mergeCell ref="L34:M34"/>
    <mergeCell ref="N34:O34"/>
    <mergeCell ref="P34:Q34"/>
    <mergeCell ref="R34:S34"/>
    <mergeCell ref="T34:U34"/>
    <mergeCell ref="B29:C29"/>
    <mergeCell ref="B30:C30"/>
    <mergeCell ref="B34:C34"/>
    <mergeCell ref="D34:E34"/>
    <mergeCell ref="F34:G34"/>
    <mergeCell ref="H34:I34"/>
    <mergeCell ref="B23:C23"/>
    <mergeCell ref="B24:C24"/>
    <mergeCell ref="B25:C25"/>
    <mergeCell ref="B26:C26"/>
    <mergeCell ref="B27:C27"/>
    <mergeCell ref="B28:C28"/>
    <mergeCell ref="Z20:AA20"/>
    <mergeCell ref="AB20:AC20"/>
    <mergeCell ref="AD20:AE20"/>
    <mergeCell ref="AF20:AG20"/>
    <mergeCell ref="B21:C21"/>
    <mergeCell ref="B22:C22"/>
    <mergeCell ref="N20:O20"/>
    <mergeCell ref="P20:Q20"/>
    <mergeCell ref="R20:S20"/>
    <mergeCell ref="T20:U20"/>
    <mergeCell ref="V20:W20"/>
    <mergeCell ref="X20:Y20"/>
    <mergeCell ref="B20:C20"/>
    <mergeCell ref="D20:E20"/>
    <mergeCell ref="F20:G20"/>
    <mergeCell ref="H20:I20"/>
    <mergeCell ref="J20:K20"/>
    <mergeCell ref="L20:M20"/>
    <mergeCell ref="B13:C13"/>
    <mergeCell ref="B14:C14"/>
    <mergeCell ref="B15:C15"/>
    <mergeCell ref="B16:C16"/>
    <mergeCell ref="AZ6:BA6"/>
    <mergeCell ref="BB6:BC6"/>
    <mergeCell ref="B7:C7"/>
    <mergeCell ref="B8:C8"/>
    <mergeCell ref="B9:C9"/>
    <mergeCell ref="B10:C10"/>
    <mergeCell ref="AN6:AO6"/>
    <mergeCell ref="AP6:AQ6"/>
    <mergeCell ref="AR6:AS6"/>
    <mergeCell ref="AT6:AU6"/>
    <mergeCell ref="AV6:AW6"/>
    <mergeCell ref="AX6:AY6"/>
    <mergeCell ref="AB6:AC6"/>
    <mergeCell ref="AD6:AE6"/>
    <mergeCell ref="AF6:AG6"/>
    <mergeCell ref="AH6:AI6"/>
    <mergeCell ref="AJ6:AK6"/>
    <mergeCell ref="AL6:AM6"/>
    <mergeCell ref="P6:Q6"/>
    <mergeCell ref="R6:S6"/>
    <mergeCell ref="AR5:AS5"/>
    <mergeCell ref="AT5:AU5"/>
    <mergeCell ref="AV5:AW5"/>
    <mergeCell ref="AJ5:AK5"/>
    <mergeCell ref="AL5:AM5"/>
    <mergeCell ref="AN5:AO5"/>
    <mergeCell ref="AP5:AQ5"/>
    <mergeCell ref="B11:C11"/>
    <mergeCell ref="B12:C12"/>
    <mergeCell ref="B6:C6"/>
    <mergeCell ref="D6:E6"/>
    <mergeCell ref="F6:G6"/>
    <mergeCell ref="H6:I6"/>
    <mergeCell ref="J6:K6"/>
    <mergeCell ref="L6:M6"/>
    <mergeCell ref="N6:O6"/>
    <mergeCell ref="AF5:AG5"/>
    <mergeCell ref="AH5:AI5"/>
    <mergeCell ref="T5:U5"/>
    <mergeCell ref="V5:W5"/>
    <mergeCell ref="X5:Y5"/>
    <mergeCell ref="Z5:AA5"/>
    <mergeCell ref="AB5:AC5"/>
    <mergeCell ref="AD5:AE5"/>
    <mergeCell ref="T6:U6"/>
    <mergeCell ref="V6:W6"/>
    <mergeCell ref="X6:Y6"/>
    <mergeCell ref="Z6:AA6"/>
    <mergeCell ref="B2:AC2"/>
    <mergeCell ref="I4:J4"/>
    <mergeCell ref="D5:E5"/>
    <mergeCell ref="F5:G5"/>
    <mergeCell ref="H5:I5"/>
    <mergeCell ref="J5:K5"/>
    <mergeCell ref="L5:M5"/>
    <mergeCell ref="N5:O5"/>
    <mergeCell ref="P5:Q5"/>
    <mergeCell ref="R5:S5"/>
    <mergeCell ref="T48:U48"/>
    <mergeCell ref="V48:W48"/>
    <mergeCell ref="X48:Y48"/>
    <mergeCell ref="Z48:AA48"/>
    <mergeCell ref="AB48:AC48"/>
    <mergeCell ref="AD48:AE48"/>
    <mergeCell ref="AF48:AG48"/>
    <mergeCell ref="B49:C49"/>
    <mergeCell ref="B50:C50"/>
    <mergeCell ref="B48:C48"/>
    <mergeCell ref="D48:E48"/>
    <mergeCell ref="F48:G48"/>
    <mergeCell ref="H48:I48"/>
    <mergeCell ref="J48:K48"/>
    <mergeCell ref="L48:M48"/>
    <mergeCell ref="N48:O48"/>
    <mergeCell ref="P48:Q48"/>
    <mergeCell ref="R48:S48"/>
    <mergeCell ref="B51:C51"/>
    <mergeCell ref="B52:C52"/>
    <mergeCell ref="B53:C53"/>
    <mergeCell ref="B54:C54"/>
    <mergeCell ref="B55:C55"/>
    <mergeCell ref="B56:C56"/>
    <mergeCell ref="B57:C57"/>
    <mergeCell ref="B58:C58"/>
    <mergeCell ref="B62:C62"/>
    <mergeCell ref="Z62:AA62"/>
    <mergeCell ref="AB62:AC62"/>
    <mergeCell ref="AD62:AE62"/>
    <mergeCell ref="AF62:AG62"/>
    <mergeCell ref="B63:C63"/>
    <mergeCell ref="B64:C64"/>
    <mergeCell ref="B65:C65"/>
    <mergeCell ref="D62:E62"/>
    <mergeCell ref="F62:G62"/>
    <mergeCell ref="H62:I62"/>
    <mergeCell ref="J62:K62"/>
    <mergeCell ref="L62:M62"/>
    <mergeCell ref="N62:O62"/>
    <mergeCell ref="P62:Q62"/>
    <mergeCell ref="R62:S62"/>
    <mergeCell ref="T62:U62"/>
    <mergeCell ref="B66:C66"/>
    <mergeCell ref="B67:C67"/>
    <mergeCell ref="B68:C68"/>
    <mergeCell ref="B69:C69"/>
    <mergeCell ref="B70:C70"/>
    <mergeCell ref="B71:C71"/>
    <mergeCell ref="B72:C72"/>
    <mergeCell ref="V62:W62"/>
    <mergeCell ref="X62:Y62"/>
  </mergeCells>
  <conditionalFormatting sqref="D6">
    <cfRule type="cellIs" dxfId="69" priority="57" operator="equal">
      <formula>0</formula>
    </cfRule>
  </conditionalFormatting>
  <conditionalFormatting sqref="AX8:AY15">
    <cfRule type="cellIs" dxfId="68" priority="55" operator="equal">
      <formula>0</formula>
    </cfRule>
  </conditionalFormatting>
  <conditionalFormatting sqref="AF26:AG29">
    <cfRule type="cellIs" dxfId="67" priority="54" operator="equal">
      <formula>0</formula>
    </cfRule>
  </conditionalFormatting>
  <conditionalFormatting sqref="AD22:AE29">
    <cfRule type="cellIs" dxfId="66" priority="53" operator="equal">
      <formula>0</formula>
    </cfRule>
  </conditionalFormatting>
  <conditionalFormatting sqref="BB12:BC15">
    <cfRule type="cellIs" dxfId="65" priority="52" operator="equal">
      <formula>0</formula>
    </cfRule>
  </conditionalFormatting>
  <conditionalFormatting sqref="AZ8:BA15">
    <cfRule type="cellIs" dxfId="64" priority="51" operator="equal">
      <formula>0</formula>
    </cfRule>
  </conditionalFormatting>
  <conditionalFormatting sqref="D16:AW16">
    <cfRule type="cellIs" dxfId="63" priority="50" operator="equal">
      <formula>0</formula>
    </cfRule>
  </conditionalFormatting>
  <conditionalFormatting sqref="D30:AA30">
    <cfRule type="cellIs" dxfId="62" priority="49" operator="equal">
      <formula>0</formula>
    </cfRule>
  </conditionalFormatting>
  <conditionalFormatting sqref="AD36:AE43">
    <cfRule type="cellIs" dxfId="61" priority="46" operator="equal">
      <formula>0</formula>
    </cfRule>
  </conditionalFormatting>
  <conditionalFormatting sqref="D44:AA44">
    <cfRule type="cellIs" dxfId="60" priority="45" operator="equal">
      <formula>0</formula>
    </cfRule>
  </conditionalFormatting>
  <conditionalFormatting sqref="AD50:AE57">
    <cfRule type="cellIs" dxfId="59" priority="38" operator="equal">
      <formula>0</formula>
    </cfRule>
  </conditionalFormatting>
  <conditionalFormatting sqref="AD64:AE71">
    <cfRule type="cellIs" dxfId="58" priority="32" operator="equal">
      <formula>0</formula>
    </cfRule>
  </conditionalFormatting>
  <conditionalFormatting sqref="BB8:BB11">
    <cfRule type="cellIs" dxfId="57" priority="28" operator="equal">
      <formula>0</formula>
    </cfRule>
  </conditionalFormatting>
  <conditionalFormatting sqref="BC8:BC11">
    <cfRule type="cellIs" dxfId="56" priority="27" operator="equal">
      <formula>0</formula>
    </cfRule>
  </conditionalFormatting>
  <conditionalFormatting sqref="AF22:AG25">
    <cfRule type="cellIs" dxfId="55" priority="26" operator="equal">
      <formula>0</formula>
    </cfRule>
  </conditionalFormatting>
  <conditionalFormatting sqref="AB36:AC43">
    <cfRule type="cellIs" dxfId="54" priority="22" operator="equal">
      <formula>0</formula>
    </cfRule>
  </conditionalFormatting>
  <conditionalFormatting sqref="AB22:AC29">
    <cfRule type="cellIs" dxfId="53" priority="21" operator="equal">
      <formula>0</formula>
    </cfRule>
  </conditionalFormatting>
  <conditionalFormatting sqref="AF40:AG43">
    <cfRule type="cellIs" dxfId="52" priority="20" operator="equal">
      <formula>0</formula>
    </cfRule>
  </conditionalFormatting>
  <conditionalFormatting sqref="AF36:AG39">
    <cfRule type="cellIs" dxfId="51" priority="19" operator="equal">
      <formula>0</formula>
    </cfRule>
  </conditionalFormatting>
  <conditionalFormatting sqref="AF54:AG57">
    <cfRule type="cellIs" dxfId="50" priority="18" operator="equal">
      <formula>0</formula>
    </cfRule>
  </conditionalFormatting>
  <conditionalFormatting sqref="AF50:AG53">
    <cfRule type="cellIs" dxfId="49" priority="17" operator="equal">
      <formula>0</formula>
    </cfRule>
  </conditionalFormatting>
  <conditionalFormatting sqref="AF68:AG71">
    <cfRule type="cellIs" dxfId="48" priority="16" operator="equal">
      <formula>0</formula>
    </cfRule>
  </conditionalFormatting>
  <conditionalFormatting sqref="AF64:AG67">
    <cfRule type="cellIs" dxfId="47" priority="15" operator="equal">
      <formula>0</formula>
    </cfRule>
  </conditionalFormatting>
  <conditionalFormatting sqref="AB50:AC57">
    <cfRule type="cellIs" dxfId="46" priority="14" operator="equal">
      <formula>0</formula>
    </cfRule>
  </conditionalFormatting>
  <conditionalFormatting sqref="AB64:AC71">
    <cfRule type="cellIs" dxfId="45" priority="13" operator="equal">
      <formula>0</formula>
    </cfRule>
  </conditionalFormatting>
  <conditionalFormatting sqref="D58:AA58">
    <cfRule type="cellIs" dxfId="44" priority="12" operator="equal">
      <formula>0</formula>
    </cfRule>
  </conditionalFormatting>
  <conditionalFormatting sqref="D72:AA72">
    <cfRule type="cellIs" dxfId="43" priority="11" operator="equal">
      <formula>0</formula>
    </cfRule>
  </conditionalFormatting>
  <conditionalFormatting sqref="D20">
    <cfRule type="cellIs" dxfId="42" priority="9" operator="equal">
      <formula>0</formula>
    </cfRule>
  </conditionalFormatting>
  <conditionalFormatting sqref="F20">
    <cfRule type="cellIs" dxfId="41" priority="8" operator="equal">
      <formula>0</formula>
    </cfRule>
  </conditionalFormatting>
  <conditionalFormatting sqref="Z20 X20 V20 T20 R20 P20 N20 L20 J20 H20">
    <cfRule type="cellIs" dxfId="40" priority="7" operator="equal">
      <formula>0</formula>
    </cfRule>
  </conditionalFormatting>
  <conditionalFormatting sqref="D34">
    <cfRule type="cellIs" dxfId="39" priority="6" operator="equal">
      <formula>0</formula>
    </cfRule>
  </conditionalFormatting>
  <conditionalFormatting sqref="F34">
    <cfRule type="cellIs" dxfId="38" priority="5" operator="equal">
      <formula>0</formula>
    </cfRule>
  </conditionalFormatting>
  <conditionalFormatting sqref="D48">
    <cfRule type="cellIs" dxfId="37" priority="4" operator="equal">
      <formula>0</formula>
    </cfRule>
  </conditionalFormatting>
  <conditionalFormatting sqref="F48">
    <cfRule type="cellIs" dxfId="36" priority="3" operator="equal">
      <formula>0</formula>
    </cfRule>
  </conditionalFormatting>
  <conditionalFormatting sqref="D62">
    <cfRule type="cellIs" dxfId="35" priority="2" operator="equal">
      <formula>0</formula>
    </cfRule>
  </conditionalFormatting>
  <conditionalFormatting sqref="F62">
    <cfRule type="cellIs" dxfId="34"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499984740745262"/>
  </sheetPr>
  <dimension ref="B1:N77"/>
  <sheetViews>
    <sheetView showGridLines="0" showRowColHeaders="0" workbookViewId="0">
      <selection activeCell="B2" sqref="B2:G3"/>
    </sheetView>
  </sheetViews>
  <sheetFormatPr baseColWidth="10" defaultColWidth="11.44140625" defaultRowHeight="13.8"/>
  <cols>
    <col min="1" max="2" width="1.6640625" style="1" customWidth="1"/>
    <col min="3" max="3" width="12.6640625" style="1" customWidth="1"/>
    <col min="4" max="4" width="12.6640625" style="813" customWidth="1"/>
    <col min="5" max="5" width="11.33203125" style="814" customWidth="1"/>
    <col min="6" max="6" width="10.6640625" style="815" customWidth="1"/>
    <col min="7" max="8" width="1.6640625" style="1" customWidth="1"/>
    <col min="9" max="9" width="12.6640625" style="1" customWidth="1"/>
    <col min="10" max="11" width="11.6640625" style="1" customWidth="1"/>
    <col min="12" max="14" width="10.6640625" style="1" customWidth="1"/>
    <col min="15" max="16384" width="11.44140625" style="1"/>
  </cols>
  <sheetData>
    <row r="1" spans="2:14" s="738" customFormat="1" ht="6" customHeight="1"/>
    <row r="2" spans="2:14" s="765" customFormat="1" ht="21.9" customHeight="1">
      <c r="B2" s="1186" t="s">
        <v>286</v>
      </c>
      <c r="C2" s="1187"/>
      <c r="D2" s="1187"/>
      <c r="E2" s="1187"/>
      <c r="F2" s="1187"/>
      <c r="G2" s="1188"/>
      <c r="H2" s="764"/>
      <c r="I2" s="1192" t="s">
        <v>287</v>
      </c>
      <c r="J2" s="1193"/>
      <c r="K2" s="1193"/>
      <c r="L2" s="1194"/>
      <c r="M2" s="764"/>
      <c r="N2" s="764"/>
    </row>
    <row r="3" spans="2:14" s="765" customFormat="1" ht="20.100000000000001" customHeight="1">
      <c r="B3" s="1189"/>
      <c r="C3" s="1190"/>
      <c r="D3" s="1190"/>
      <c r="E3" s="1190"/>
      <c r="F3" s="1190"/>
      <c r="G3" s="1191"/>
      <c r="H3" s="764"/>
      <c r="I3" s="1195"/>
      <c r="J3" s="1196"/>
      <c r="K3" s="1196"/>
      <c r="L3" s="1197"/>
      <c r="M3" s="764"/>
      <c r="N3" s="764"/>
    </row>
    <row r="4" spans="2:14" ht="6" customHeight="1">
      <c r="D4" s="1"/>
      <c r="E4" s="1"/>
      <c r="F4" s="1"/>
    </row>
    <row r="5" spans="2:14" ht="6" customHeight="1">
      <c r="B5" s="766"/>
      <c r="C5" s="767"/>
      <c r="D5" s="767"/>
      <c r="E5" s="767"/>
      <c r="F5" s="767"/>
      <c r="G5" s="768"/>
      <c r="I5" s="1198" t="s">
        <v>288</v>
      </c>
      <c r="J5" s="1201" t="s">
        <v>289</v>
      </c>
      <c r="K5" s="1202"/>
      <c r="L5" s="1205" t="s">
        <v>290</v>
      </c>
    </row>
    <row r="6" spans="2:14" s="572" customFormat="1" ht="21.9" customHeight="1">
      <c r="B6" s="571"/>
      <c r="C6" s="1208" t="s">
        <v>291</v>
      </c>
      <c r="D6" s="1208"/>
      <c r="E6" s="1208"/>
      <c r="F6" s="769"/>
      <c r="G6" s="770"/>
      <c r="I6" s="1199"/>
      <c r="J6" s="1203"/>
      <c r="K6" s="1204"/>
      <c r="L6" s="1206"/>
    </row>
    <row r="7" spans="2:14" s="572" customFormat="1" ht="21.9" customHeight="1">
      <c r="B7" s="571"/>
      <c r="C7" s="1209" t="s">
        <v>292</v>
      </c>
      <c r="D7" s="1209"/>
      <c r="E7" s="1209"/>
      <c r="F7" s="771"/>
      <c r="G7" s="770"/>
      <c r="I7" s="1200"/>
      <c r="J7" s="772" t="s">
        <v>293</v>
      </c>
      <c r="K7" s="773" t="s">
        <v>294</v>
      </c>
      <c r="L7" s="1207"/>
    </row>
    <row r="8" spans="2:14" s="572" customFormat="1" ht="20.100000000000001" customHeight="1">
      <c r="B8" s="571"/>
      <c r="D8" s="774"/>
      <c r="E8" s="775"/>
      <c r="F8" s="776"/>
      <c r="G8" s="770"/>
      <c r="I8" s="777" t="s">
        <v>295</v>
      </c>
      <c r="J8" s="778">
        <f t="shared" ref="J8:J19" si="0">SUMIF($D$11:$D$14,"="&amp;I8,$E$11:$E$14)</f>
        <v>0</v>
      </c>
      <c r="K8" s="779">
        <f t="shared" ref="K8:K19" si="1">SUMIF($D$11:$D$14,"="&amp;I8,$F$11:$F$14)</f>
        <v>0</v>
      </c>
      <c r="L8" s="780">
        <f>(1+J8+K8)</f>
        <v>1</v>
      </c>
    </row>
    <row r="9" spans="2:14" s="572" customFormat="1" ht="20.100000000000001" customHeight="1">
      <c r="B9" s="571"/>
      <c r="D9" s="1210" t="s">
        <v>296</v>
      </c>
      <c r="E9" s="1212" t="s">
        <v>289</v>
      </c>
      <c r="F9" s="1213"/>
      <c r="G9" s="770"/>
      <c r="I9" s="781" t="s">
        <v>297</v>
      </c>
      <c r="J9" s="782">
        <f t="shared" si="0"/>
        <v>0</v>
      </c>
      <c r="K9" s="783">
        <f t="shared" si="1"/>
        <v>0</v>
      </c>
      <c r="L9" s="784">
        <f t="shared" ref="L9:L19" si="2">L8*(1+J9+K9)</f>
        <v>1</v>
      </c>
    </row>
    <row r="10" spans="2:14" s="572" customFormat="1" ht="20.100000000000001" customHeight="1">
      <c r="B10" s="571"/>
      <c r="D10" s="1211"/>
      <c r="E10" s="785" t="s">
        <v>293</v>
      </c>
      <c r="F10" s="786" t="s">
        <v>294</v>
      </c>
      <c r="G10" s="770"/>
      <c r="I10" s="781" t="s">
        <v>298</v>
      </c>
      <c r="J10" s="782">
        <f t="shared" si="0"/>
        <v>0</v>
      </c>
      <c r="K10" s="783">
        <f t="shared" si="1"/>
        <v>0</v>
      </c>
      <c r="L10" s="784">
        <f t="shared" si="2"/>
        <v>1</v>
      </c>
    </row>
    <row r="11" spans="2:14" s="572" customFormat="1" ht="20.100000000000001" customHeight="1">
      <c r="B11" s="1184"/>
      <c r="C11" s="1185"/>
      <c r="D11" s="787"/>
      <c r="E11" s="788"/>
      <c r="F11" s="789"/>
      <c r="G11" s="770"/>
      <c r="I11" s="781" t="s">
        <v>300</v>
      </c>
      <c r="J11" s="782">
        <f t="shared" si="0"/>
        <v>0</v>
      </c>
      <c r="K11" s="783">
        <f t="shared" si="1"/>
        <v>0</v>
      </c>
      <c r="L11" s="784">
        <f t="shared" si="2"/>
        <v>1</v>
      </c>
    </row>
    <row r="12" spans="2:14" s="572" customFormat="1" ht="20.100000000000001" customHeight="1">
      <c r="B12" s="1184"/>
      <c r="C12" s="1185"/>
      <c r="D12" s="790"/>
      <c r="E12" s="791"/>
      <c r="F12" s="792"/>
      <c r="G12" s="770"/>
      <c r="I12" s="781" t="s">
        <v>299</v>
      </c>
      <c r="J12" s="782">
        <f t="shared" si="0"/>
        <v>0</v>
      </c>
      <c r="K12" s="783">
        <f t="shared" si="1"/>
        <v>0</v>
      </c>
      <c r="L12" s="784">
        <f t="shared" si="2"/>
        <v>1</v>
      </c>
    </row>
    <row r="13" spans="2:14" s="572" customFormat="1" ht="20.100000000000001" customHeight="1">
      <c r="B13" s="1184"/>
      <c r="C13" s="1185"/>
      <c r="D13" s="790"/>
      <c r="E13" s="791"/>
      <c r="F13" s="792"/>
      <c r="G13" s="770"/>
      <c r="I13" s="781" t="s">
        <v>303</v>
      </c>
      <c r="J13" s="782">
        <f t="shared" si="0"/>
        <v>0</v>
      </c>
      <c r="K13" s="783">
        <f t="shared" si="1"/>
        <v>0</v>
      </c>
      <c r="L13" s="784">
        <f t="shared" si="2"/>
        <v>1</v>
      </c>
    </row>
    <row r="14" spans="2:14" s="572" customFormat="1" ht="20.100000000000001" customHeight="1">
      <c r="B14" s="1184"/>
      <c r="C14" s="1185"/>
      <c r="D14" s="793"/>
      <c r="E14" s="794"/>
      <c r="F14" s="795"/>
      <c r="G14" s="770"/>
      <c r="I14" s="781" t="s">
        <v>304</v>
      </c>
      <c r="J14" s="782">
        <f t="shared" si="0"/>
        <v>0</v>
      </c>
      <c r="K14" s="783">
        <f t="shared" si="1"/>
        <v>0</v>
      </c>
      <c r="L14" s="784">
        <f t="shared" si="2"/>
        <v>1</v>
      </c>
    </row>
    <row r="15" spans="2:14" s="572" customFormat="1" ht="20.100000000000001" customHeight="1">
      <c r="B15" s="571"/>
      <c r="D15" s="796" t="s">
        <v>0</v>
      </c>
      <c r="E15" s="797">
        <f>SUM(E11:E14)</f>
        <v>0</v>
      </c>
      <c r="F15" s="798">
        <f>SUM(F11:F14)</f>
        <v>0</v>
      </c>
      <c r="G15" s="770"/>
      <c r="I15" s="781" t="s">
        <v>301</v>
      </c>
      <c r="J15" s="782">
        <f t="shared" si="0"/>
        <v>0</v>
      </c>
      <c r="K15" s="783">
        <f t="shared" si="1"/>
        <v>0</v>
      </c>
      <c r="L15" s="784">
        <f t="shared" si="2"/>
        <v>1</v>
      </c>
    </row>
    <row r="16" spans="2:14" ht="20.100000000000001" customHeight="1">
      <c r="B16" s="799"/>
      <c r="C16" s="800"/>
      <c r="D16" s="801" t="str">
        <f>IF(OR(E16&lt;&gt;0,F16&lt;&gt;0),"Ecart"," ")</f>
        <v xml:space="preserve"> </v>
      </c>
      <c r="E16" s="802">
        <f>E15-F6</f>
        <v>0</v>
      </c>
      <c r="F16" s="802">
        <f>F15-F7</f>
        <v>0</v>
      </c>
      <c r="G16" s="803"/>
      <c r="I16" s="781" t="s">
        <v>302</v>
      </c>
      <c r="J16" s="782">
        <f t="shared" si="0"/>
        <v>0</v>
      </c>
      <c r="K16" s="783">
        <f t="shared" si="1"/>
        <v>0</v>
      </c>
      <c r="L16" s="784">
        <f t="shared" si="2"/>
        <v>1</v>
      </c>
    </row>
    <row r="17" spans="4:13" ht="20.100000000000001" customHeight="1">
      <c r="D17" s="1"/>
      <c r="E17" s="1"/>
      <c r="F17" s="1"/>
      <c r="I17" s="781" t="s">
        <v>305</v>
      </c>
      <c r="J17" s="782">
        <f t="shared" si="0"/>
        <v>0</v>
      </c>
      <c r="K17" s="783">
        <f t="shared" si="1"/>
        <v>0</v>
      </c>
      <c r="L17" s="784">
        <f t="shared" si="2"/>
        <v>1</v>
      </c>
    </row>
    <row r="18" spans="4:13" ht="20.100000000000001" customHeight="1">
      <c r="D18" s="1"/>
      <c r="E18" s="1"/>
      <c r="F18" s="1"/>
      <c r="I18" s="781" t="s">
        <v>306</v>
      </c>
      <c r="J18" s="782">
        <f t="shared" si="0"/>
        <v>0</v>
      </c>
      <c r="K18" s="783">
        <f t="shared" si="1"/>
        <v>0</v>
      </c>
      <c r="L18" s="784">
        <f t="shared" si="2"/>
        <v>1</v>
      </c>
    </row>
    <row r="19" spans="4:13" ht="20.100000000000001" customHeight="1">
      <c r="D19" s="1"/>
      <c r="E19" s="1"/>
      <c r="F19" s="1"/>
      <c r="I19" s="777" t="s">
        <v>307</v>
      </c>
      <c r="J19" s="778">
        <f t="shared" si="0"/>
        <v>0</v>
      </c>
      <c r="K19" s="779">
        <f t="shared" si="1"/>
        <v>0</v>
      </c>
      <c r="L19" s="780">
        <f t="shared" si="2"/>
        <v>1</v>
      </c>
    </row>
    <row r="20" spans="4:13" ht="21.9" customHeight="1">
      <c r="D20" s="1"/>
      <c r="E20" s="1"/>
      <c r="F20" s="1"/>
      <c r="I20" s="804" t="s">
        <v>308</v>
      </c>
      <c r="J20" s="805">
        <f>SUM(J8:J19)</f>
        <v>0</v>
      </c>
      <c r="K20" s="806">
        <f>SUM(K8:K19)</f>
        <v>0</v>
      </c>
      <c r="L20" s="807">
        <f>SUM(L8:L19)</f>
        <v>12</v>
      </c>
    </row>
    <row r="21" spans="4:13" ht="3" customHeight="1">
      <c r="D21" s="1"/>
      <c r="E21" s="1"/>
      <c r="F21" s="1"/>
      <c r="I21" s="808"/>
      <c r="J21" s="808"/>
      <c r="K21" s="808"/>
      <c r="L21" s="808"/>
    </row>
    <row r="22" spans="4:13" ht="21.9" customHeight="1">
      <c r="D22" s="1"/>
      <c r="E22" s="1"/>
      <c r="F22" s="1"/>
      <c r="J22" s="809"/>
      <c r="K22" s="810" t="s">
        <v>309</v>
      </c>
      <c r="L22" s="811">
        <f>(GEOMEAN(L8:L19))-1</f>
        <v>0</v>
      </c>
      <c r="M22" s="808"/>
    </row>
    <row r="23" spans="4:13" ht="20.100000000000001" customHeight="1">
      <c r="D23" s="1"/>
      <c r="E23" s="1"/>
      <c r="F23" s="1"/>
    </row>
    <row r="24" spans="4:13" ht="20.100000000000001" customHeight="1">
      <c r="D24" s="1"/>
      <c r="E24" s="1"/>
      <c r="F24" s="1"/>
    </row>
    <row r="25" spans="4:13" ht="20.100000000000001" customHeight="1">
      <c r="D25" s="1"/>
      <c r="E25" s="1"/>
      <c r="F25" s="1"/>
    </row>
    <row r="26" spans="4:13" ht="20.100000000000001" customHeight="1">
      <c r="D26" s="1"/>
      <c r="E26" s="1"/>
      <c r="F26" s="1"/>
    </row>
    <row r="27" spans="4:13" ht="20.100000000000001" customHeight="1">
      <c r="D27" s="1"/>
      <c r="E27" s="1"/>
      <c r="F27" s="1"/>
    </row>
    <row r="28" spans="4:13" ht="20.100000000000001" customHeight="1">
      <c r="D28" s="1"/>
      <c r="E28" s="1"/>
      <c r="F28" s="1"/>
    </row>
    <row r="29" spans="4:13" ht="20.100000000000001" customHeight="1">
      <c r="D29" s="1"/>
      <c r="E29" s="1"/>
      <c r="F29" s="1"/>
    </row>
    <row r="30" spans="4:13" ht="20.100000000000001" customHeight="1">
      <c r="D30" s="1"/>
      <c r="E30" s="1"/>
      <c r="F30" s="1"/>
    </row>
    <row r="31" spans="4:13" ht="20.100000000000001" customHeight="1">
      <c r="D31" s="1"/>
      <c r="E31" s="1"/>
      <c r="F31" s="1"/>
    </row>
    <row r="32" spans="4:13" ht="3" customHeight="1">
      <c r="D32" s="1"/>
      <c r="E32" s="1"/>
      <c r="F32" s="1"/>
    </row>
    <row r="33" spans="4:10" ht="20.100000000000001" customHeight="1">
      <c r="D33" s="1"/>
      <c r="E33" s="1"/>
      <c r="F33" s="1"/>
      <c r="H33" s="812"/>
    </row>
    <row r="42" spans="4:10">
      <c r="J42" s="816"/>
    </row>
    <row r="43" spans="4:10">
      <c r="J43" s="816"/>
    </row>
    <row r="44" spans="4:10">
      <c r="J44" s="816"/>
    </row>
    <row r="45" spans="4:10">
      <c r="J45" s="816"/>
    </row>
    <row r="46" spans="4:10">
      <c r="J46" s="816"/>
    </row>
    <row r="47" spans="4:10">
      <c r="J47" s="816"/>
    </row>
    <row r="48" spans="4:10">
      <c r="E48" s="816"/>
      <c r="F48" s="817"/>
      <c r="J48" s="816"/>
    </row>
    <row r="49" spans="5:10">
      <c r="E49" s="816"/>
      <c r="F49" s="817"/>
      <c r="J49" s="816"/>
    </row>
    <row r="50" spans="5:10">
      <c r="E50" s="816"/>
      <c r="F50" s="817"/>
    </row>
    <row r="51" spans="5:10">
      <c r="E51" s="816"/>
      <c r="F51" s="817"/>
    </row>
    <row r="52" spans="5:10">
      <c r="E52" s="816"/>
      <c r="F52" s="817"/>
    </row>
    <row r="53" spans="5:10">
      <c r="E53" s="816"/>
      <c r="F53" s="817"/>
    </row>
    <row r="54" spans="5:10">
      <c r="E54" s="816"/>
      <c r="F54" s="817"/>
    </row>
    <row r="55" spans="5:10">
      <c r="E55" s="816"/>
      <c r="F55" s="817"/>
    </row>
    <row r="56" spans="5:10">
      <c r="E56" s="816"/>
      <c r="F56" s="817"/>
    </row>
    <row r="57" spans="5:10">
      <c r="E57" s="816"/>
      <c r="F57" s="817"/>
    </row>
    <row r="58" spans="5:10">
      <c r="E58" s="816"/>
      <c r="F58" s="817"/>
    </row>
    <row r="59" spans="5:10">
      <c r="E59" s="816"/>
      <c r="F59" s="817"/>
    </row>
    <row r="60" spans="5:10">
      <c r="E60" s="818"/>
      <c r="F60" s="817"/>
    </row>
    <row r="61" spans="5:10">
      <c r="E61" s="818"/>
      <c r="F61" s="817"/>
    </row>
    <row r="62" spans="5:10">
      <c r="E62" s="818"/>
      <c r="F62" s="817"/>
    </row>
    <row r="63" spans="5:10">
      <c r="E63" s="818"/>
      <c r="F63" s="817"/>
    </row>
    <row r="64" spans="5:10">
      <c r="E64" s="818"/>
      <c r="F64" s="817"/>
    </row>
    <row r="65" spans="5:6">
      <c r="E65" s="818"/>
      <c r="F65" s="817"/>
    </row>
    <row r="66" spans="5:6">
      <c r="E66" s="818"/>
      <c r="F66" s="817"/>
    </row>
    <row r="67" spans="5:6">
      <c r="E67" s="818"/>
      <c r="F67" s="817"/>
    </row>
    <row r="68" spans="5:6">
      <c r="E68" s="818"/>
      <c r="F68" s="817"/>
    </row>
    <row r="69" spans="5:6">
      <c r="E69" s="818"/>
      <c r="F69" s="817"/>
    </row>
    <row r="70" spans="5:6">
      <c r="E70" s="818"/>
      <c r="F70" s="817"/>
    </row>
    <row r="71" spans="5:6">
      <c r="E71" s="818"/>
      <c r="F71" s="817"/>
    </row>
    <row r="72" spans="5:6">
      <c r="E72" s="818"/>
      <c r="F72" s="817"/>
    </row>
    <row r="73" spans="5:6">
      <c r="E73" s="818"/>
      <c r="F73" s="817"/>
    </row>
    <row r="74" spans="5:6">
      <c r="E74" s="818"/>
      <c r="F74" s="817"/>
    </row>
    <row r="75" spans="5:6">
      <c r="E75" s="818"/>
      <c r="F75" s="817"/>
    </row>
    <row r="76" spans="5:6">
      <c r="E76" s="818"/>
      <c r="F76" s="817"/>
    </row>
    <row r="77" spans="5:6">
      <c r="E77" s="818"/>
      <c r="F77" s="817"/>
    </row>
  </sheetData>
  <sheetProtection algorithmName="SHA-512" hashValue="cDnIa4v/F0jsgQNiLS0eh8JilaQFjTbEkmq9NL1fBBhg3uStNoEFGKIcOpx0rjfvpP0y+PBL/1PuQrwD00D/IQ==" saltValue="piAUEH8JOvdWT9R3NMNcpg==" spinCount="100000" sheet="1" formatCells="0" formatColumns="0" formatRows="0" insertColumns="0" insertRows="0" insertHyperlinks="0" deleteColumns="0" deleteRows="0" sort="0" autoFilter="0" pivotTables="0"/>
  <mergeCells count="13">
    <mergeCell ref="B14:C14"/>
    <mergeCell ref="B2:G3"/>
    <mergeCell ref="I2:L3"/>
    <mergeCell ref="I5:I7"/>
    <mergeCell ref="J5:K6"/>
    <mergeCell ref="L5:L7"/>
    <mergeCell ref="C6:E6"/>
    <mergeCell ref="C7:E7"/>
    <mergeCell ref="D9:D10"/>
    <mergeCell ref="E9:F9"/>
    <mergeCell ref="B11:C11"/>
    <mergeCell ref="B12:C12"/>
    <mergeCell ref="B13:C13"/>
  </mergeCells>
  <conditionalFormatting sqref="J8:K19">
    <cfRule type="cellIs" dxfId="33" priority="3" operator="equal">
      <formula>0</formula>
    </cfRule>
  </conditionalFormatting>
  <conditionalFormatting sqref="L8:L19">
    <cfRule type="cellIs" dxfId="32" priority="2" operator="equal">
      <formula>1</formula>
    </cfRule>
  </conditionalFormatting>
  <conditionalFormatting sqref="E16:F16">
    <cfRule type="cellIs" dxfId="31" priority="1" operator="equal">
      <formula>0</formula>
    </cfRule>
  </conditionalFormatting>
  <dataValidations count="1">
    <dataValidation type="list" allowBlank="1" showInputMessage="1" showErrorMessage="1" sqref="D11:D14" xr:uid="{00000000-0002-0000-0600-000000000000}">
      <formula1>$I$8:$I$19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M29"/>
  <sheetViews>
    <sheetView showGridLines="0" showRowColHeaders="0" workbookViewId="0">
      <selection activeCell="C5" sqref="C5"/>
    </sheetView>
  </sheetViews>
  <sheetFormatPr baseColWidth="10" defaultColWidth="11.44140625" defaultRowHeight="13.8"/>
  <cols>
    <col min="1" max="1" width="5.6640625" style="1" customWidth="1"/>
    <col min="2" max="2" width="10.6640625" style="1" customWidth="1"/>
    <col min="3" max="3" width="11.6640625" style="1" customWidth="1"/>
    <col min="4" max="4" width="7.6640625" style="1" customWidth="1"/>
    <col min="5" max="5" width="0.88671875" style="689" customWidth="1"/>
    <col min="6" max="6" width="10.6640625" style="1" customWidth="1"/>
    <col min="7" max="7" width="11.6640625" style="1" customWidth="1"/>
    <col min="8" max="8" width="7.6640625" style="1" customWidth="1"/>
    <col min="9" max="9" width="0.88671875" style="1" customWidth="1"/>
    <col min="10" max="10" width="10.6640625" style="1" customWidth="1"/>
    <col min="11" max="11" width="11.6640625" style="1" customWidth="1"/>
    <col min="12" max="12" width="7.6640625" style="1" customWidth="1"/>
    <col min="13" max="13" width="0.88671875" style="1" customWidth="1"/>
    <col min="14" max="14" width="10.6640625" style="1" customWidth="1"/>
    <col min="15" max="15" width="11.6640625" style="1" customWidth="1"/>
    <col min="16" max="16" width="7.6640625" style="1" customWidth="1"/>
    <col min="17" max="17" width="0.88671875" style="1" customWidth="1"/>
    <col min="18" max="18" width="10.6640625" style="1" customWidth="1"/>
    <col min="19" max="19" width="11.6640625" style="1" customWidth="1"/>
    <col min="20" max="20" width="7.6640625" style="1" customWidth="1"/>
    <col min="21" max="27" width="3.6640625" style="1" customWidth="1"/>
    <col min="28" max="29" width="10.6640625" style="1" customWidth="1"/>
    <col min="30" max="30" width="3.6640625" style="1" customWidth="1"/>
    <col min="31" max="38" width="10.6640625" style="1" customWidth="1"/>
    <col min="39" max="39" width="8.44140625" style="283" customWidth="1"/>
    <col min="40" max="16384" width="11.44140625" style="1"/>
  </cols>
  <sheetData>
    <row r="2" spans="1:39" ht="22.2" customHeight="1">
      <c r="B2" s="1217" t="str">
        <f>IF(ISBLANK(entreprise)," ",entreprise)</f>
        <v xml:space="preserve"> </v>
      </c>
      <c r="C2" s="1218"/>
      <c r="D2" s="1218"/>
      <c r="E2" s="1218"/>
      <c r="F2" s="1219"/>
      <c r="G2" s="1215" t="s">
        <v>271</v>
      </c>
      <c r="H2" s="1215"/>
      <c r="I2" s="1215"/>
      <c r="J2" s="1215"/>
      <c r="K2" s="1215"/>
      <c r="L2" s="1215"/>
      <c r="M2" s="1215"/>
      <c r="N2" s="1215"/>
      <c r="O2" s="1215"/>
      <c r="P2" s="1215"/>
      <c r="Q2" s="1215"/>
      <c r="R2" s="1215"/>
      <c r="S2" s="1215"/>
      <c r="T2" s="1216"/>
      <c r="AB2" s="690"/>
      <c r="AC2" s="690"/>
      <c r="AD2" s="690"/>
      <c r="AE2" s="690"/>
      <c r="AF2" s="690"/>
      <c r="AG2" s="690"/>
      <c r="AH2" s="690"/>
      <c r="AI2" s="690"/>
      <c r="AJ2" s="690"/>
      <c r="AK2" s="690"/>
      <c r="AL2" s="690"/>
    </row>
    <row r="3" spans="1:39" s="2" customFormat="1" ht="15" customHeight="1">
      <c r="B3" s="1220" t="s">
        <v>272</v>
      </c>
      <c r="C3" s="1220"/>
      <c r="AB3" s="691"/>
      <c r="AC3" s="691"/>
      <c r="AD3" s="691"/>
      <c r="AE3" s="691"/>
      <c r="AF3" s="691"/>
      <c r="AG3" s="691"/>
      <c r="AH3" s="691"/>
      <c r="AI3" s="691"/>
      <c r="AJ3" s="691"/>
      <c r="AK3" s="691"/>
      <c r="AL3" s="692"/>
      <c r="AM3" s="284"/>
    </row>
    <row r="4" spans="1:39" s="2" customFormat="1" ht="22.2" customHeight="1">
      <c r="B4" s="693" t="s">
        <v>269</v>
      </c>
      <c r="C4" s="694" t="s">
        <v>160</v>
      </c>
      <c r="D4" s="695" t="s">
        <v>270</v>
      </c>
      <c r="E4" s="696"/>
      <c r="F4" s="693" t="s">
        <v>269</v>
      </c>
      <c r="G4" s="694" t="s">
        <v>160</v>
      </c>
      <c r="H4" s="695" t="s">
        <v>270</v>
      </c>
      <c r="J4" s="693" t="s">
        <v>269</v>
      </c>
      <c r="K4" s="694" t="s">
        <v>160</v>
      </c>
      <c r="L4" s="695" t="s">
        <v>270</v>
      </c>
      <c r="N4" s="693" t="s">
        <v>269</v>
      </c>
      <c r="O4" s="694" t="s">
        <v>160</v>
      </c>
      <c r="P4" s="695" t="s">
        <v>270</v>
      </c>
      <c r="R4" s="693" t="s">
        <v>269</v>
      </c>
      <c r="S4" s="694" t="s">
        <v>160</v>
      </c>
      <c r="T4" s="695" t="s">
        <v>270</v>
      </c>
      <c r="U4" s="399"/>
      <c r="V4" s="288">
        <v>1</v>
      </c>
      <c r="W4" s="288">
        <v>2</v>
      </c>
      <c r="X4" s="288">
        <v>3</v>
      </c>
      <c r="Y4" s="841">
        <v>4</v>
      </c>
      <c r="Z4" s="842">
        <v>5</v>
      </c>
      <c r="AA4" s="691"/>
      <c r="AB4" s="691"/>
      <c r="AC4" s="691"/>
      <c r="AD4" s="691"/>
      <c r="AE4" s="691"/>
      <c r="AF4" s="691"/>
      <c r="AG4" s="691"/>
      <c r="AH4" s="691"/>
      <c r="AI4" s="691"/>
      <c r="AJ4" s="691"/>
      <c r="AK4" s="691"/>
      <c r="AL4" s="692"/>
      <c r="AM4" s="284"/>
    </row>
    <row r="5" spans="1:39" s="286" customFormat="1" ht="19.95" customHeight="1">
      <c r="A5" s="697">
        <v>1</v>
      </c>
      <c r="B5" s="709">
        <v>1</v>
      </c>
      <c r="C5" s="698"/>
      <c r="D5" s="699" t="str">
        <f t="shared" ref="D5:D17" si="0">IF(ISERROR(C5/$C$17)," ",C5/$C$17)</f>
        <v xml:space="preserve"> </v>
      </c>
      <c r="E5" s="700">
        <f t="shared" ref="E5:E16" si="1">C5/1000</f>
        <v>0</v>
      </c>
      <c r="F5" s="709">
        <v>13</v>
      </c>
      <c r="G5" s="698"/>
      <c r="H5" s="699" t="str">
        <f t="shared" ref="H5:H17" si="2">IF(ISERROR(G5/$G$17)," ",G5/$G$17)</f>
        <v xml:space="preserve"> </v>
      </c>
      <c r="I5" s="700">
        <f t="shared" ref="I5:I16" si="3">G5/1000</f>
        <v>0</v>
      </c>
      <c r="J5" s="709">
        <v>25</v>
      </c>
      <c r="K5" s="698"/>
      <c r="L5" s="699" t="str">
        <f t="shared" ref="L5:L17" si="4">IF(ISERROR(K5/$K$17)," ",K5/$K$17)</f>
        <v xml:space="preserve"> </v>
      </c>
      <c r="M5" s="708">
        <f t="shared" ref="M5:M16" si="5">K5/1000</f>
        <v>0</v>
      </c>
      <c r="N5" s="709">
        <v>37</v>
      </c>
      <c r="O5" s="698"/>
      <c r="P5" s="699" t="str">
        <f t="shared" ref="P5:P17" si="6">IF(ISERROR(O5/$K$17)," ",O5/$K$17)</f>
        <v xml:space="preserve"> </v>
      </c>
      <c r="Q5" s="708">
        <f t="shared" ref="Q5:Q16" si="7">O5/1000</f>
        <v>0</v>
      </c>
      <c r="R5" s="709">
        <v>49</v>
      </c>
      <c r="S5" s="698"/>
      <c r="T5" s="699" t="str">
        <f t="shared" ref="T5:T17" si="8">IF(ISERROR(S5/$K$17)," ",S5/$K$17)</f>
        <v xml:space="preserve"> </v>
      </c>
      <c r="U5" s="700">
        <f t="shared" ref="U5:U16" si="9">S5/1000</f>
        <v>0</v>
      </c>
      <c r="V5" s="700">
        <f>C5/1000</f>
        <v>0</v>
      </c>
      <c r="W5" s="700">
        <f>G5/1000</f>
        <v>0</v>
      </c>
      <c r="X5" s="700">
        <f>K5/1000</f>
        <v>0</v>
      </c>
      <c r="Y5" s="700">
        <f>O5/1000</f>
        <v>0</v>
      </c>
      <c r="Z5" s="700">
        <f>S5/1000</f>
        <v>0</v>
      </c>
      <c r="AA5" s="701"/>
      <c r="AB5" s="701"/>
      <c r="AC5" s="701"/>
      <c r="AD5" s="701"/>
      <c r="AE5" s="701"/>
      <c r="AF5" s="701"/>
      <c r="AG5" s="701"/>
      <c r="AH5" s="701"/>
      <c r="AI5" s="701"/>
      <c r="AJ5" s="701"/>
      <c r="AK5" s="701"/>
      <c r="AL5" s="257"/>
      <c r="AM5" s="288"/>
    </row>
    <row r="6" spans="1:39" s="286" customFormat="1" ht="19.95" customHeight="1">
      <c r="A6" s="697">
        <v>2</v>
      </c>
      <c r="B6" s="709">
        <v>2</v>
      </c>
      <c r="C6" s="698"/>
      <c r="D6" s="699" t="str">
        <f t="shared" si="0"/>
        <v xml:space="preserve"> </v>
      </c>
      <c r="E6" s="700">
        <f t="shared" si="1"/>
        <v>0</v>
      </c>
      <c r="F6" s="709">
        <v>14</v>
      </c>
      <c r="G6" s="698"/>
      <c r="H6" s="699" t="str">
        <f t="shared" si="2"/>
        <v xml:space="preserve"> </v>
      </c>
      <c r="I6" s="700">
        <f t="shared" si="3"/>
        <v>0</v>
      </c>
      <c r="J6" s="709">
        <v>26</v>
      </c>
      <c r="K6" s="698"/>
      <c r="L6" s="699" t="str">
        <f t="shared" si="4"/>
        <v xml:space="preserve"> </v>
      </c>
      <c r="M6" s="708">
        <f t="shared" si="5"/>
        <v>0</v>
      </c>
      <c r="N6" s="709">
        <v>38</v>
      </c>
      <c r="O6" s="698"/>
      <c r="P6" s="699" t="str">
        <f t="shared" si="6"/>
        <v xml:space="preserve"> </v>
      </c>
      <c r="Q6" s="708">
        <f t="shared" si="7"/>
        <v>0</v>
      </c>
      <c r="R6" s="709">
        <v>50</v>
      </c>
      <c r="S6" s="698"/>
      <c r="T6" s="699" t="str">
        <f t="shared" si="8"/>
        <v xml:space="preserve"> </v>
      </c>
      <c r="U6" s="700">
        <f t="shared" si="9"/>
        <v>0</v>
      </c>
      <c r="V6" s="700">
        <f t="shared" ref="V6:V16" si="10">C6/1000+V5</f>
        <v>0</v>
      </c>
      <c r="W6" s="700">
        <f t="shared" ref="W6:W16" si="11">G6/1000+W5</f>
        <v>0</v>
      </c>
      <c r="X6" s="700">
        <f t="shared" ref="X6:X16" si="12">K6/1000+X5</f>
        <v>0</v>
      </c>
      <c r="Y6" s="700">
        <f>O6/1000+Y5</f>
        <v>0</v>
      </c>
      <c r="Z6" s="700">
        <f>S6/1000+Z5</f>
        <v>0</v>
      </c>
      <c r="AA6" s="701"/>
      <c r="AB6" s="701"/>
      <c r="AC6" s="701"/>
      <c r="AD6" s="701"/>
      <c r="AE6" s="701"/>
      <c r="AF6" s="701"/>
      <c r="AG6" s="701"/>
      <c r="AH6" s="701"/>
      <c r="AI6" s="701"/>
      <c r="AJ6" s="701"/>
      <c r="AK6" s="701"/>
      <c r="AL6" s="257"/>
      <c r="AM6" s="288"/>
    </row>
    <row r="7" spans="1:39" s="286" customFormat="1" ht="19.95" customHeight="1">
      <c r="A7" s="697">
        <v>3</v>
      </c>
      <c r="B7" s="709">
        <v>3</v>
      </c>
      <c r="C7" s="698"/>
      <c r="D7" s="699" t="str">
        <f t="shared" si="0"/>
        <v xml:space="preserve"> </v>
      </c>
      <c r="E7" s="700">
        <f t="shared" si="1"/>
        <v>0</v>
      </c>
      <c r="F7" s="709">
        <v>15</v>
      </c>
      <c r="G7" s="698"/>
      <c r="H7" s="699" t="str">
        <f t="shared" si="2"/>
        <v xml:space="preserve"> </v>
      </c>
      <c r="I7" s="700">
        <f t="shared" si="3"/>
        <v>0</v>
      </c>
      <c r="J7" s="709">
        <v>27</v>
      </c>
      <c r="K7" s="698"/>
      <c r="L7" s="699" t="str">
        <f t="shared" si="4"/>
        <v xml:space="preserve"> </v>
      </c>
      <c r="M7" s="708">
        <f t="shared" si="5"/>
        <v>0</v>
      </c>
      <c r="N7" s="709">
        <v>39</v>
      </c>
      <c r="O7" s="698"/>
      <c r="P7" s="699" t="str">
        <f t="shared" si="6"/>
        <v xml:space="preserve"> </v>
      </c>
      <c r="Q7" s="708">
        <f t="shared" si="7"/>
        <v>0</v>
      </c>
      <c r="R7" s="709">
        <v>51</v>
      </c>
      <c r="S7" s="698"/>
      <c r="T7" s="699" t="str">
        <f t="shared" si="8"/>
        <v xml:space="preserve"> </v>
      </c>
      <c r="U7" s="700">
        <f t="shared" si="9"/>
        <v>0</v>
      </c>
      <c r="V7" s="700">
        <f t="shared" si="10"/>
        <v>0</v>
      </c>
      <c r="W7" s="700">
        <f t="shared" si="11"/>
        <v>0</v>
      </c>
      <c r="X7" s="700">
        <f t="shared" si="12"/>
        <v>0</v>
      </c>
      <c r="Y7" s="700">
        <f t="shared" ref="Y7:Y16" si="13">O7/1000+Y6</f>
        <v>0</v>
      </c>
      <c r="Z7" s="700">
        <f t="shared" ref="Z7:Z16" si="14">S7/1000+Z6</f>
        <v>0</v>
      </c>
      <c r="AA7" s="701"/>
      <c r="AB7" s="701"/>
      <c r="AC7" s="701"/>
      <c r="AD7" s="701"/>
      <c r="AE7" s="701"/>
      <c r="AF7" s="701"/>
      <c r="AG7" s="701"/>
      <c r="AH7" s="701"/>
      <c r="AI7" s="701"/>
      <c r="AJ7" s="701"/>
      <c r="AK7" s="701"/>
      <c r="AL7" s="2"/>
      <c r="AM7" s="289"/>
    </row>
    <row r="8" spans="1:39" s="2" customFormat="1" ht="19.95" customHeight="1">
      <c r="A8" s="697">
        <v>4</v>
      </c>
      <c r="B8" s="709">
        <v>4</v>
      </c>
      <c r="C8" s="698"/>
      <c r="D8" s="699" t="str">
        <f t="shared" si="0"/>
        <v xml:space="preserve"> </v>
      </c>
      <c r="E8" s="700">
        <f t="shared" si="1"/>
        <v>0</v>
      </c>
      <c r="F8" s="709">
        <v>16</v>
      </c>
      <c r="G8" s="698"/>
      <c r="H8" s="699" t="str">
        <f t="shared" si="2"/>
        <v xml:space="preserve"> </v>
      </c>
      <c r="I8" s="700">
        <f t="shared" si="3"/>
        <v>0</v>
      </c>
      <c r="J8" s="709">
        <v>28</v>
      </c>
      <c r="K8" s="698"/>
      <c r="L8" s="699" t="str">
        <f t="shared" si="4"/>
        <v xml:space="preserve"> </v>
      </c>
      <c r="M8" s="708">
        <f t="shared" si="5"/>
        <v>0</v>
      </c>
      <c r="N8" s="709">
        <v>40</v>
      </c>
      <c r="O8" s="698"/>
      <c r="P8" s="699" t="str">
        <f t="shared" si="6"/>
        <v xml:space="preserve"> </v>
      </c>
      <c r="Q8" s="708">
        <f t="shared" si="7"/>
        <v>0</v>
      </c>
      <c r="R8" s="709">
        <v>52</v>
      </c>
      <c r="S8" s="698"/>
      <c r="T8" s="699" t="str">
        <f t="shared" si="8"/>
        <v xml:space="preserve"> </v>
      </c>
      <c r="U8" s="700">
        <f t="shared" si="9"/>
        <v>0</v>
      </c>
      <c r="V8" s="700">
        <f t="shared" si="10"/>
        <v>0</v>
      </c>
      <c r="W8" s="700">
        <f t="shared" si="11"/>
        <v>0</v>
      </c>
      <c r="X8" s="700">
        <f t="shared" si="12"/>
        <v>0</v>
      </c>
      <c r="Y8" s="700">
        <f t="shared" si="13"/>
        <v>0</v>
      </c>
      <c r="Z8" s="700">
        <f t="shared" si="14"/>
        <v>0</v>
      </c>
      <c r="AM8" s="283"/>
    </row>
    <row r="9" spans="1:39" ht="19.95" customHeight="1">
      <c r="A9" s="697">
        <v>5</v>
      </c>
      <c r="B9" s="709">
        <v>5</v>
      </c>
      <c r="C9" s="698"/>
      <c r="D9" s="699" t="str">
        <f t="shared" si="0"/>
        <v xml:space="preserve"> </v>
      </c>
      <c r="E9" s="700">
        <f t="shared" si="1"/>
        <v>0</v>
      </c>
      <c r="F9" s="709">
        <v>17</v>
      </c>
      <c r="G9" s="698"/>
      <c r="H9" s="699" t="str">
        <f t="shared" si="2"/>
        <v xml:space="preserve"> </v>
      </c>
      <c r="I9" s="700">
        <f t="shared" si="3"/>
        <v>0</v>
      </c>
      <c r="J9" s="709">
        <v>29</v>
      </c>
      <c r="K9" s="698"/>
      <c r="L9" s="699" t="str">
        <f t="shared" si="4"/>
        <v xml:space="preserve"> </v>
      </c>
      <c r="M9" s="708">
        <f t="shared" si="5"/>
        <v>0</v>
      </c>
      <c r="N9" s="709">
        <v>41</v>
      </c>
      <c r="O9" s="698"/>
      <c r="P9" s="699" t="str">
        <f t="shared" si="6"/>
        <v xml:space="preserve"> </v>
      </c>
      <c r="Q9" s="708">
        <f t="shared" si="7"/>
        <v>0</v>
      </c>
      <c r="R9" s="709">
        <v>53</v>
      </c>
      <c r="S9" s="698"/>
      <c r="T9" s="699" t="str">
        <f t="shared" si="8"/>
        <v xml:space="preserve"> </v>
      </c>
      <c r="U9" s="700">
        <f t="shared" si="9"/>
        <v>0</v>
      </c>
      <c r="V9" s="700">
        <f t="shared" si="10"/>
        <v>0</v>
      </c>
      <c r="W9" s="700">
        <f t="shared" si="11"/>
        <v>0</v>
      </c>
      <c r="X9" s="700">
        <f t="shared" si="12"/>
        <v>0</v>
      </c>
      <c r="Y9" s="700">
        <f t="shared" si="13"/>
        <v>0</v>
      </c>
      <c r="Z9" s="700">
        <f t="shared" si="14"/>
        <v>0</v>
      </c>
    </row>
    <row r="10" spans="1:39" ht="19.95" customHeight="1">
      <c r="A10" s="697">
        <v>6</v>
      </c>
      <c r="B10" s="709">
        <v>6</v>
      </c>
      <c r="C10" s="698"/>
      <c r="D10" s="699" t="str">
        <f t="shared" si="0"/>
        <v xml:space="preserve"> </v>
      </c>
      <c r="E10" s="700">
        <f t="shared" si="1"/>
        <v>0</v>
      </c>
      <c r="F10" s="709">
        <v>18</v>
      </c>
      <c r="G10" s="698"/>
      <c r="H10" s="699" t="str">
        <f t="shared" si="2"/>
        <v xml:space="preserve"> </v>
      </c>
      <c r="I10" s="700">
        <f t="shared" si="3"/>
        <v>0</v>
      </c>
      <c r="J10" s="709">
        <v>30</v>
      </c>
      <c r="K10" s="698"/>
      <c r="L10" s="699" t="str">
        <f t="shared" si="4"/>
        <v xml:space="preserve"> </v>
      </c>
      <c r="M10" s="708">
        <f t="shared" si="5"/>
        <v>0</v>
      </c>
      <c r="N10" s="709">
        <v>42</v>
      </c>
      <c r="O10" s="698"/>
      <c r="P10" s="699" t="str">
        <f t="shared" si="6"/>
        <v xml:space="preserve"> </v>
      </c>
      <c r="Q10" s="708">
        <f t="shared" si="7"/>
        <v>0</v>
      </c>
      <c r="R10" s="709">
        <v>54</v>
      </c>
      <c r="S10" s="698"/>
      <c r="T10" s="699" t="str">
        <f t="shared" si="8"/>
        <v xml:space="preserve"> </v>
      </c>
      <c r="U10" s="700">
        <f t="shared" si="9"/>
        <v>0</v>
      </c>
      <c r="V10" s="700">
        <f t="shared" si="10"/>
        <v>0</v>
      </c>
      <c r="W10" s="700">
        <f t="shared" si="11"/>
        <v>0</v>
      </c>
      <c r="X10" s="700">
        <f t="shared" si="12"/>
        <v>0</v>
      </c>
      <c r="Y10" s="700">
        <f t="shared" si="13"/>
        <v>0</v>
      </c>
      <c r="Z10" s="700">
        <f t="shared" si="14"/>
        <v>0</v>
      </c>
    </row>
    <row r="11" spans="1:39" ht="19.95" customHeight="1">
      <c r="A11" s="697">
        <v>7</v>
      </c>
      <c r="B11" s="709">
        <v>7</v>
      </c>
      <c r="C11" s="698"/>
      <c r="D11" s="699" t="str">
        <f t="shared" si="0"/>
        <v xml:space="preserve"> </v>
      </c>
      <c r="E11" s="700">
        <f t="shared" si="1"/>
        <v>0</v>
      </c>
      <c r="F11" s="709">
        <v>19</v>
      </c>
      <c r="G11" s="698"/>
      <c r="H11" s="699" t="str">
        <f t="shared" si="2"/>
        <v xml:space="preserve"> </v>
      </c>
      <c r="I11" s="700">
        <f t="shared" si="3"/>
        <v>0</v>
      </c>
      <c r="J11" s="709">
        <v>31</v>
      </c>
      <c r="K11" s="698"/>
      <c r="L11" s="699" t="str">
        <f t="shared" si="4"/>
        <v xml:space="preserve"> </v>
      </c>
      <c r="M11" s="708">
        <f t="shared" si="5"/>
        <v>0</v>
      </c>
      <c r="N11" s="709">
        <v>43</v>
      </c>
      <c r="O11" s="698"/>
      <c r="P11" s="699" t="str">
        <f t="shared" si="6"/>
        <v xml:space="preserve"> </v>
      </c>
      <c r="Q11" s="708">
        <f t="shared" si="7"/>
        <v>0</v>
      </c>
      <c r="R11" s="709">
        <v>55</v>
      </c>
      <c r="S11" s="698"/>
      <c r="T11" s="699" t="str">
        <f t="shared" si="8"/>
        <v xml:space="preserve"> </v>
      </c>
      <c r="U11" s="700">
        <f t="shared" si="9"/>
        <v>0</v>
      </c>
      <c r="V11" s="700">
        <f t="shared" si="10"/>
        <v>0</v>
      </c>
      <c r="W11" s="700">
        <f t="shared" si="11"/>
        <v>0</v>
      </c>
      <c r="X11" s="700">
        <f t="shared" si="12"/>
        <v>0</v>
      </c>
      <c r="Y11" s="700">
        <f t="shared" si="13"/>
        <v>0</v>
      </c>
      <c r="Z11" s="700">
        <f t="shared" si="14"/>
        <v>0</v>
      </c>
    </row>
    <row r="12" spans="1:39" ht="19.95" customHeight="1">
      <c r="A12" s="697">
        <v>8</v>
      </c>
      <c r="B12" s="709">
        <v>8</v>
      </c>
      <c r="C12" s="698"/>
      <c r="D12" s="699" t="str">
        <f t="shared" si="0"/>
        <v xml:space="preserve"> </v>
      </c>
      <c r="E12" s="700">
        <f t="shared" si="1"/>
        <v>0</v>
      </c>
      <c r="F12" s="709">
        <v>20</v>
      </c>
      <c r="G12" s="698"/>
      <c r="H12" s="699" t="str">
        <f t="shared" si="2"/>
        <v xml:space="preserve"> </v>
      </c>
      <c r="I12" s="700">
        <f t="shared" si="3"/>
        <v>0</v>
      </c>
      <c r="J12" s="709">
        <v>32</v>
      </c>
      <c r="K12" s="698"/>
      <c r="L12" s="699" t="str">
        <f t="shared" si="4"/>
        <v xml:space="preserve"> </v>
      </c>
      <c r="M12" s="708">
        <f t="shared" si="5"/>
        <v>0</v>
      </c>
      <c r="N12" s="709">
        <v>44</v>
      </c>
      <c r="O12" s="698"/>
      <c r="P12" s="699" t="str">
        <f t="shared" si="6"/>
        <v xml:space="preserve"> </v>
      </c>
      <c r="Q12" s="708">
        <f t="shared" si="7"/>
        <v>0</v>
      </c>
      <c r="R12" s="709">
        <v>56</v>
      </c>
      <c r="S12" s="698"/>
      <c r="T12" s="699" t="str">
        <f t="shared" si="8"/>
        <v xml:space="preserve"> </v>
      </c>
      <c r="U12" s="700">
        <f t="shared" si="9"/>
        <v>0</v>
      </c>
      <c r="V12" s="700">
        <f t="shared" si="10"/>
        <v>0</v>
      </c>
      <c r="W12" s="700">
        <f t="shared" si="11"/>
        <v>0</v>
      </c>
      <c r="X12" s="700">
        <f t="shared" si="12"/>
        <v>0</v>
      </c>
      <c r="Y12" s="700">
        <f t="shared" si="13"/>
        <v>0</v>
      </c>
      <c r="Z12" s="700">
        <f t="shared" si="14"/>
        <v>0</v>
      </c>
    </row>
    <row r="13" spans="1:39" ht="19.95" customHeight="1">
      <c r="A13" s="697">
        <v>9</v>
      </c>
      <c r="B13" s="709">
        <v>9</v>
      </c>
      <c r="C13" s="698"/>
      <c r="D13" s="699" t="str">
        <f t="shared" si="0"/>
        <v xml:space="preserve"> </v>
      </c>
      <c r="E13" s="700">
        <f t="shared" si="1"/>
        <v>0</v>
      </c>
      <c r="F13" s="709">
        <v>21</v>
      </c>
      <c r="G13" s="698"/>
      <c r="H13" s="699" t="str">
        <f t="shared" si="2"/>
        <v xml:space="preserve"> </v>
      </c>
      <c r="I13" s="700">
        <f t="shared" si="3"/>
        <v>0</v>
      </c>
      <c r="J13" s="709">
        <v>33</v>
      </c>
      <c r="K13" s="698"/>
      <c r="L13" s="699" t="str">
        <f t="shared" si="4"/>
        <v xml:space="preserve"> </v>
      </c>
      <c r="M13" s="708">
        <f t="shared" si="5"/>
        <v>0</v>
      </c>
      <c r="N13" s="709">
        <v>45</v>
      </c>
      <c r="O13" s="698"/>
      <c r="P13" s="699" t="str">
        <f t="shared" si="6"/>
        <v xml:space="preserve"> </v>
      </c>
      <c r="Q13" s="708">
        <f t="shared" si="7"/>
        <v>0</v>
      </c>
      <c r="R13" s="709">
        <v>57</v>
      </c>
      <c r="S13" s="698"/>
      <c r="T13" s="699" t="str">
        <f t="shared" si="8"/>
        <v xml:space="preserve"> </v>
      </c>
      <c r="U13" s="700">
        <f t="shared" si="9"/>
        <v>0</v>
      </c>
      <c r="V13" s="700">
        <f t="shared" si="10"/>
        <v>0</v>
      </c>
      <c r="W13" s="700">
        <f t="shared" si="11"/>
        <v>0</v>
      </c>
      <c r="X13" s="700">
        <f t="shared" si="12"/>
        <v>0</v>
      </c>
      <c r="Y13" s="700">
        <f t="shared" si="13"/>
        <v>0</v>
      </c>
      <c r="Z13" s="700">
        <f t="shared" si="14"/>
        <v>0</v>
      </c>
    </row>
    <row r="14" spans="1:39" ht="19.95" customHeight="1">
      <c r="A14" s="697">
        <v>10</v>
      </c>
      <c r="B14" s="709">
        <v>10</v>
      </c>
      <c r="C14" s="698"/>
      <c r="D14" s="699" t="str">
        <f t="shared" si="0"/>
        <v xml:space="preserve"> </v>
      </c>
      <c r="E14" s="700">
        <f t="shared" si="1"/>
        <v>0</v>
      </c>
      <c r="F14" s="709">
        <v>22</v>
      </c>
      <c r="G14" s="698"/>
      <c r="H14" s="699" t="str">
        <f t="shared" si="2"/>
        <v xml:space="preserve"> </v>
      </c>
      <c r="I14" s="700">
        <f t="shared" si="3"/>
        <v>0</v>
      </c>
      <c r="J14" s="709">
        <v>34</v>
      </c>
      <c r="K14" s="698"/>
      <c r="L14" s="699" t="str">
        <f t="shared" si="4"/>
        <v xml:space="preserve"> </v>
      </c>
      <c r="M14" s="708">
        <f t="shared" si="5"/>
        <v>0</v>
      </c>
      <c r="N14" s="709">
        <v>46</v>
      </c>
      <c r="O14" s="698"/>
      <c r="P14" s="699" t="str">
        <f t="shared" si="6"/>
        <v xml:space="preserve"> </v>
      </c>
      <c r="Q14" s="708">
        <f t="shared" si="7"/>
        <v>0</v>
      </c>
      <c r="R14" s="709">
        <v>58</v>
      </c>
      <c r="S14" s="698"/>
      <c r="T14" s="699" t="str">
        <f t="shared" si="8"/>
        <v xml:space="preserve"> </v>
      </c>
      <c r="U14" s="700">
        <f t="shared" si="9"/>
        <v>0</v>
      </c>
      <c r="V14" s="700">
        <f t="shared" si="10"/>
        <v>0</v>
      </c>
      <c r="W14" s="700">
        <f t="shared" si="11"/>
        <v>0</v>
      </c>
      <c r="X14" s="700">
        <f t="shared" si="12"/>
        <v>0</v>
      </c>
      <c r="Y14" s="700">
        <f t="shared" si="13"/>
        <v>0</v>
      </c>
      <c r="Z14" s="700">
        <f t="shared" si="14"/>
        <v>0</v>
      </c>
    </row>
    <row r="15" spans="1:39" ht="19.95" customHeight="1">
      <c r="A15" s="697">
        <v>11</v>
      </c>
      <c r="B15" s="709">
        <v>11</v>
      </c>
      <c r="C15" s="698"/>
      <c r="D15" s="699" t="str">
        <f t="shared" si="0"/>
        <v xml:space="preserve"> </v>
      </c>
      <c r="E15" s="700">
        <f t="shared" si="1"/>
        <v>0</v>
      </c>
      <c r="F15" s="709">
        <v>23</v>
      </c>
      <c r="G15" s="698"/>
      <c r="H15" s="699" t="str">
        <f t="shared" si="2"/>
        <v xml:space="preserve"> </v>
      </c>
      <c r="I15" s="700">
        <f t="shared" si="3"/>
        <v>0</v>
      </c>
      <c r="J15" s="709">
        <v>35</v>
      </c>
      <c r="K15" s="698"/>
      <c r="L15" s="699" t="str">
        <f t="shared" si="4"/>
        <v xml:space="preserve"> </v>
      </c>
      <c r="M15" s="708">
        <f t="shared" si="5"/>
        <v>0</v>
      </c>
      <c r="N15" s="709">
        <v>47</v>
      </c>
      <c r="O15" s="698"/>
      <c r="P15" s="699" t="str">
        <f t="shared" si="6"/>
        <v xml:space="preserve"> </v>
      </c>
      <c r="Q15" s="708">
        <f t="shared" si="7"/>
        <v>0</v>
      </c>
      <c r="R15" s="709">
        <v>59</v>
      </c>
      <c r="S15" s="698"/>
      <c r="T15" s="699" t="str">
        <f t="shared" si="8"/>
        <v xml:space="preserve"> </v>
      </c>
      <c r="U15" s="700">
        <f t="shared" si="9"/>
        <v>0</v>
      </c>
      <c r="V15" s="700">
        <f t="shared" si="10"/>
        <v>0</v>
      </c>
      <c r="W15" s="700">
        <f t="shared" si="11"/>
        <v>0</v>
      </c>
      <c r="X15" s="700">
        <f t="shared" si="12"/>
        <v>0</v>
      </c>
      <c r="Y15" s="700">
        <f t="shared" si="13"/>
        <v>0</v>
      </c>
      <c r="Z15" s="700">
        <f t="shared" si="14"/>
        <v>0</v>
      </c>
    </row>
    <row r="16" spans="1:39" ht="19.95" customHeight="1">
      <c r="A16" s="697">
        <v>12</v>
      </c>
      <c r="B16" s="709">
        <v>12</v>
      </c>
      <c r="C16" s="698"/>
      <c r="D16" s="699" t="str">
        <f t="shared" si="0"/>
        <v xml:space="preserve"> </v>
      </c>
      <c r="E16" s="700">
        <f t="shared" si="1"/>
        <v>0</v>
      </c>
      <c r="F16" s="709">
        <v>24</v>
      </c>
      <c r="G16" s="702"/>
      <c r="H16" s="699" t="str">
        <f t="shared" si="2"/>
        <v xml:space="preserve"> </v>
      </c>
      <c r="I16" s="700">
        <f t="shared" si="3"/>
        <v>0</v>
      </c>
      <c r="J16" s="709">
        <v>36</v>
      </c>
      <c r="K16" s="702"/>
      <c r="L16" s="699" t="str">
        <f t="shared" si="4"/>
        <v xml:space="preserve"> </v>
      </c>
      <c r="M16" s="708">
        <f t="shared" si="5"/>
        <v>0</v>
      </c>
      <c r="N16" s="709">
        <v>48</v>
      </c>
      <c r="O16" s="702"/>
      <c r="P16" s="699" t="str">
        <f t="shared" si="6"/>
        <v xml:space="preserve"> </v>
      </c>
      <c r="Q16" s="708">
        <f t="shared" si="7"/>
        <v>0</v>
      </c>
      <c r="R16" s="709">
        <v>60</v>
      </c>
      <c r="S16" s="702"/>
      <c r="T16" s="699" t="str">
        <f t="shared" si="8"/>
        <v xml:space="preserve"> </v>
      </c>
      <c r="U16" s="700">
        <f t="shared" si="9"/>
        <v>0</v>
      </c>
      <c r="V16" s="700">
        <f t="shared" si="10"/>
        <v>0</v>
      </c>
      <c r="W16" s="700">
        <f t="shared" si="11"/>
        <v>0</v>
      </c>
      <c r="X16" s="700">
        <f t="shared" si="12"/>
        <v>0</v>
      </c>
      <c r="Y16" s="700">
        <f t="shared" si="13"/>
        <v>0</v>
      </c>
      <c r="Z16" s="700">
        <f t="shared" si="14"/>
        <v>0</v>
      </c>
    </row>
    <row r="17" spans="1:24" ht="22.2" customHeight="1">
      <c r="A17" s="697">
        <v>13</v>
      </c>
      <c r="B17" s="703" t="s">
        <v>0</v>
      </c>
      <c r="C17" s="704">
        <f>SUM(C5:C16)</f>
        <v>0</v>
      </c>
      <c r="D17" s="705" t="str">
        <f t="shared" si="0"/>
        <v xml:space="preserve"> </v>
      </c>
      <c r="E17" s="700"/>
      <c r="F17" s="703" t="s">
        <v>0</v>
      </c>
      <c r="G17" s="704">
        <f>SUM(G5:G16)</f>
        <v>0</v>
      </c>
      <c r="H17" s="705" t="str">
        <f t="shared" si="2"/>
        <v xml:space="preserve"> </v>
      </c>
      <c r="J17" s="703" t="s">
        <v>0</v>
      </c>
      <c r="K17" s="704">
        <f>SUM(K5:K16)</f>
        <v>0</v>
      </c>
      <c r="L17" s="705" t="str">
        <f t="shared" si="4"/>
        <v xml:space="preserve"> </v>
      </c>
      <c r="M17" s="83"/>
      <c r="N17" s="703" t="s">
        <v>0</v>
      </c>
      <c r="O17" s="704">
        <f>SUM(O5:O16)</f>
        <v>0</v>
      </c>
      <c r="P17" s="705" t="str">
        <f t="shared" si="6"/>
        <v xml:space="preserve"> </v>
      </c>
      <c r="Q17" s="83"/>
      <c r="R17" s="703" t="s">
        <v>0</v>
      </c>
      <c r="S17" s="704">
        <f>SUM(S5:S16)</f>
        <v>0</v>
      </c>
      <c r="T17" s="705" t="str">
        <f t="shared" si="8"/>
        <v xml:space="preserve"> </v>
      </c>
      <c r="U17" s="83"/>
      <c r="V17" s="83"/>
      <c r="W17" s="83"/>
      <c r="X17" s="83"/>
    </row>
    <row r="18" spans="1:24">
      <c r="A18" s="706">
        <v>14</v>
      </c>
      <c r="B18" s="1214" t="str">
        <f>IF(AND(durée_1=12,C17&lt;&gt;ca_1),C17-ca_1," ")</f>
        <v xml:space="preserve"> </v>
      </c>
      <c r="C18" s="1214"/>
      <c r="D18" s="1214"/>
      <c r="E18" s="706">
        <v>14</v>
      </c>
      <c r="F18" s="1214" t="str">
        <f>IF(AND(durée_1=12,G17&lt;&gt;ca_2),G17-ca_2," ")</f>
        <v xml:space="preserve"> </v>
      </c>
      <c r="G18" s="1214"/>
      <c r="H18" s="1214"/>
      <c r="I18" s="706">
        <v>14</v>
      </c>
      <c r="J18" s="1214" t="str">
        <f>IF(AND(durée_1=12,K17&lt;&gt;ca_3),K17-ca_3," ")</f>
        <v xml:space="preserve"> </v>
      </c>
      <c r="K18" s="1214"/>
      <c r="L18" s="1214"/>
      <c r="N18" s="1214" t="str">
        <f>IF(AND(durée_1=12,O17&lt;&gt;ca_4),O17-ca_4," ")</f>
        <v xml:space="preserve"> </v>
      </c>
      <c r="O18" s="1214"/>
      <c r="P18" s="1214"/>
      <c r="R18" s="1214" t="str">
        <f>IF(AND(durée_1=12,S17&lt;&gt;ca_5),S17-ca_5," ")</f>
        <v xml:space="preserve"> </v>
      </c>
      <c r="S18" s="1214"/>
      <c r="T18" s="1214"/>
    </row>
    <row r="20" spans="1:24">
      <c r="A20" s="697">
        <v>15</v>
      </c>
      <c r="E20" s="697">
        <v>14</v>
      </c>
    </row>
    <row r="21" spans="1:24">
      <c r="A21" s="697">
        <v>16</v>
      </c>
      <c r="E21" s="697">
        <v>14</v>
      </c>
    </row>
    <row r="22" spans="1:24">
      <c r="A22" s="697">
        <v>17</v>
      </c>
      <c r="E22" s="697">
        <v>14</v>
      </c>
    </row>
    <row r="23" spans="1:24">
      <c r="A23" s="697">
        <v>18</v>
      </c>
      <c r="E23" s="697">
        <v>14</v>
      </c>
    </row>
    <row r="24" spans="1:24">
      <c r="A24" s="697">
        <v>19</v>
      </c>
      <c r="E24" s="697">
        <v>14</v>
      </c>
    </row>
    <row r="25" spans="1:24">
      <c r="A25" s="697">
        <v>20</v>
      </c>
      <c r="E25" s="697">
        <v>14</v>
      </c>
    </row>
    <row r="26" spans="1:24">
      <c r="A26" s="697">
        <v>21</v>
      </c>
      <c r="E26" s="697">
        <v>14</v>
      </c>
    </row>
    <row r="27" spans="1:24">
      <c r="A27" s="697">
        <v>22</v>
      </c>
      <c r="E27" s="697">
        <v>14</v>
      </c>
    </row>
    <row r="28" spans="1:24">
      <c r="A28" s="697">
        <v>23</v>
      </c>
      <c r="E28" s="697">
        <v>14</v>
      </c>
    </row>
    <row r="29" spans="1:24">
      <c r="A29" s="707"/>
    </row>
  </sheetData>
  <sheetProtection algorithmName="SHA-512" hashValue="s1yuujKs7P6YUlONCcWKcyNjm41k5guZ2b4QyyT3mukfwEaRUUkCNNJD8Ez9LJo6BsCBYlc2RiXuURfv9UKyNQ==" saltValue="/Xs7tdiRhZsx+DXHhTVTBg==" spinCount="100000" sheet="1" formatCells="0" formatColumns="0" formatRows="0" insertColumns="0" insertRows="0" insertHyperlinks="0" deleteColumns="0" deleteRows="0" sort="0" autoFilter="0" pivotTables="0"/>
  <mergeCells count="8">
    <mergeCell ref="R18:T18"/>
    <mergeCell ref="G2:T2"/>
    <mergeCell ref="B2:F2"/>
    <mergeCell ref="B3:C3"/>
    <mergeCell ref="B18:D18"/>
    <mergeCell ref="F18:H18"/>
    <mergeCell ref="J18:L18"/>
    <mergeCell ref="N18:P18"/>
  </mergeCells>
  <conditionalFormatting sqref="B5 B7 B9 B11 B13 B15">
    <cfRule type="cellIs" dxfId="30" priority="15" operator="equal">
      <formula>0</formula>
    </cfRule>
  </conditionalFormatting>
  <conditionalFormatting sqref="B6 B8 B10 B12 B14 B16">
    <cfRule type="cellIs" dxfId="29" priority="14" operator="equal">
      <formula>0</formula>
    </cfRule>
  </conditionalFormatting>
  <conditionalFormatting sqref="D5:D16">
    <cfRule type="cellIs" dxfId="28" priority="13" operator="equal">
      <formula>0</formula>
    </cfRule>
  </conditionalFormatting>
  <conditionalFormatting sqref="H5:H16">
    <cfRule type="cellIs" dxfId="27" priority="12" operator="equal">
      <formula>0</formula>
    </cfRule>
  </conditionalFormatting>
  <conditionalFormatting sqref="L5:L16">
    <cfRule type="cellIs" dxfId="26" priority="11" operator="equal">
      <formula>0</formula>
    </cfRule>
  </conditionalFormatting>
  <conditionalFormatting sqref="F5 F7 F9 F11 F13 F15">
    <cfRule type="cellIs" dxfId="25" priority="10" operator="equal">
      <formula>0</formula>
    </cfRule>
  </conditionalFormatting>
  <conditionalFormatting sqref="F6 F8 F10 F12 F14 F16">
    <cfRule type="cellIs" dxfId="24" priority="9" operator="equal">
      <formula>0</formula>
    </cfRule>
  </conditionalFormatting>
  <conditionalFormatting sqref="J5 J7 J9 J11 J13 J15">
    <cfRule type="cellIs" dxfId="23" priority="8" operator="equal">
      <formula>0</formula>
    </cfRule>
  </conditionalFormatting>
  <conditionalFormatting sqref="J6 J8 J10 J12 J14 J16">
    <cfRule type="cellIs" dxfId="22" priority="7" operator="equal">
      <formula>0</formula>
    </cfRule>
  </conditionalFormatting>
  <conditionalFormatting sqref="P5:P16">
    <cfRule type="cellIs" dxfId="21" priority="6" operator="equal">
      <formula>0</formula>
    </cfRule>
  </conditionalFormatting>
  <conditionalFormatting sqref="N5 N7 N9 N11 N13 N15">
    <cfRule type="cellIs" dxfId="20" priority="5" operator="equal">
      <formula>0</formula>
    </cfRule>
  </conditionalFormatting>
  <conditionalFormatting sqref="N6 N8 N10 N12 N14 N16">
    <cfRule type="cellIs" dxfId="19" priority="4" operator="equal">
      <formula>0</formula>
    </cfRule>
  </conditionalFormatting>
  <conditionalFormatting sqref="T5:T16">
    <cfRule type="cellIs" dxfId="18" priority="3" operator="equal">
      <formula>0</formula>
    </cfRule>
  </conditionalFormatting>
  <conditionalFormatting sqref="R5 R7 R9 R11 R13 R15">
    <cfRule type="cellIs" dxfId="17" priority="2" operator="equal">
      <formula>0</formula>
    </cfRule>
  </conditionalFormatting>
  <conditionalFormatting sqref="R6 R8 R10 R12 R14 R16">
    <cfRule type="cellIs" dxfId="16" priority="1" operator="equal">
      <formula>0</formula>
    </cfRule>
  </conditionalFormatting>
  <dataValidations count="1">
    <dataValidation allowBlank="1" showInputMessage="1" showErrorMessage="1" prompt="le nom de l'entreprise est à renseigner dans l'onglet Compte de résultat" sqref="B2" xr:uid="{00000000-0002-0000-07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T43"/>
  <sheetViews>
    <sheetView showGridLines="0" showRowColHeaders="0" workbookViewId="0">
      <selection activeCell="K2" sqref="K2:N2"/>
    </sheetView>
  </sheetViews>
  <sheetFormatPr baseColWidth="10" defaultColWidth="11.44140625" defaultRowHeight="13.8"/>
  <cols>
    <col min="1" max="1" width="1.6640625" style="1" customWidth="1"/>
    <col min="2" max="2" width="12.33203125" style="1" customWidth="1"/>
    <col min="3" max="7" width="10.6640625" style="1" customWidth="1"/>
    <col min="8" max="8" width="11.44140625" style="1"/>
    <col min="9" max="9" width="10.6640625" style="1" customWidth="1"/>
    <col min="10" max="10" width="1.6640625" style="1" customWidth="1"/>
    <col min="11" max="17" width="11.6640625" style="1" customWidth="1"/>
    <col min="18" max="18" width="8.6640625" style="1" customWidth="1"/>
    <col min="19" max="19" width="7.6640625" style="1" customWidth="1"/>
    <col min="20" max="20" width="9.109375" style="1" bestFit="1" customWidth="1"/>
    <col min="21" max="16384" width="11.44140625" style="1"/>
  </cols>
  <sheetData>
    <row r="1" spans="2:20" s="2" customFormat="1" ht="6" customHeight="1"/>
    <row r="2" spans="2:20" s="2" customFormat="1" ht="20.100000000000001" customHeight="1">
      <c r="B2" s="1224" t="s">
        <v>163</v>
      </c>
      <c r="C2" s="1224"/>
      <c r="D2" s="1224"/>
      <c r="E2" s="316"/>
      <c r="F2" s="317">
        <f>ca_5/1000</f>
        <v>0</v>
      </c>
      <c r="G2" s="1270" t="s">
        <v>312</v>
      </c>
      <c r="H2" s="1270"/>
      <c r="I2" s="1270"/>
      <c r="K2" s="1271" t="str">
        <f>IF(R5&gt;0," indiquer le % de ventes par condition de réglement"," ")</f>
        <v xml:space="preserve"> indiquer le % de ventes par condition de réglement</v>
      </c>
      <c r="L2" s="1271"/>
      <c r="M2" s="1271"/>
      <c r="N2" s="1271"/>
      <c r="O2" s="1270" t="s">
        <v>312</v>
      </c>
      <c r="P2" s="1270"/>
      <c r="Q2" s="1270"/>
    </row>
    <row r="3" spans="2:20" s="2" customFormat="1" ht="20.100000000000001" customHeight="1">
      <c r="B3" s="1225" t="s">
        <v>164</v>
      </c>
      <c r="C3" s="1228" t="s">
        <v>243</v>
      </c>
      <c r="D3" s="1231" t="s">
        <v>165</v>
      </c>
      <c r="E3" s="1232"/>
      <c r="F3" s="1232"/>
      <c r="G3" s="1233"/>
      <c r="H3" s="1231" t="s">
        <v>166</v>
      </c>
      <c r="I3" s="1239" t="s">
        <v>167</v>
      </c>
      <c r="J3" s="477"/>
      <c r="K3" s="1221" t="s">
        <v>168</v>
      </c>
      <c r="L3" s="1222"/>
      <c r="M3" s="1222"/>
      <c r="N3" s="1222"/>
      <c r="O3" s="1222"/>
      <c r="P3" s="1222"/>
      <c r="Q3" s="1223"/>
      <c r="R3" s="318" t="s">
        <v>169</v>
      </c>
    </row>
    <row r="4" spans="2:20" s="2" customFormat="1" ht="20.100000000000001" customHeight="1">
      <c r="B4" s="1226"/>
      <c r="C4" s="1229"/>
      <c r="D4" s="1234"/>
      <c r="E4" s="1235"/>
      <c r="F4" s="1235"/>
      <c r="G4" s="1236"/>
      <c r="H4" s="1237"/>
      <c r="I4" s="1240"/>
      <c r="J4" s="477"/>
      <c r="K4" s="469" t="s">
        <v>170</v>
      </c>
      <c r="L4" s="319" t="s">
        <v>171</v>
      </c>
      <c r="M4" s="319" t="s">
        <v>172</v>
      </c>
      <c r="N4" s="319" t="s">
        <v>173</v>
      </c>
      <c r="O4" s="319" t="s">
        <v>174</v>
      </c>
      <c r="P4" s="319" t="s">
        <v>175</v>
      </c>
      <c r="Q4" s="320" t="s">
        <v>0</v>
      </c>
      <c r="R4" s="318"/>
    </row>
    <row r="5" spans="2:20" s="2" customFormat="1" ht="20.100000000000001" customHeight="1">
      <c r="B5" s="1227"/>
      <c r="C5" s="1230"/>
      <c r="D5" s="846">
        <f>tx_tva_exo</f>
        <v>0</v>
      </c>
      <c r="E5" s="847">
        <f>tx_tva_réduit</f>
        <v>5.5E-2</v>
      </c>
      <c r="F5" s="847">
        <f>tx_tva_intermédiaire</f>
        <v>0.1</v>
      </c>
      <c r="G5" s="848">
        <f>tx_tva_normal</f>
        <v>0.2</v>
      </c>
      <c r="H5" s="1238"/>
      <c r="I5" s="1241"/>
      <c r="J5" s="478"/>
      <c r="K5" s="470"/>
      <c r="L5" s="321"/>
      <c r="M5" s="321"/>
      <c r="N5" s="321"/>
      <c r="O5" s="321"/>
      <c r="P5" s="321"/>
      <c r="Q5" s="322">
        <f t="shared" ref="Q5:Q23" si="0">SUM(K5:P5)</f>
        <v>0</v>
      </c>
      <c r="R5" s="323">
        <f>100%-Q5</f>
        <v>1</v>
      </c>
      <c r="S5" s="1272" t="str">
        <f>IF(Q5&gt;100%,"erreur"," ")</f>
        <v xml:space="preserve"> </v>
      </c>
      <c r="T5" s="399"/>
    </row>
    <row r="6" spans="2:20" s="2" customFormat="1" ht="20.100000000000001" customHeight="1">
      <c r="B6" s="709">
        <v>1</v>
      </c>
      <c r="C6" s="358">
        <f>'Chiffres d''affaires mensuels'!C5</f>
        <v>0</v>
      </c>
      <c r="D6" s="325"/>
      <c r="E6" s="326"/>
      <c r="F6" s="326"/>
      <c r="G6" s="327">
        <f t="shared" ref="G6:G17" si="1">C6-D6-E6-F6</f>
        <v>0</v>
      </c>
      <c r="H6" s="328">
        <f t="shared" ref="H6:H17" si="2">(D6*$D$5)+(E6*$E$5)+(F6*$F$5)+(G6*$G$5)</f>
        <v>0</v>
      </c>
      <c r="I6" s="331">
        <f t="shared" ref="I6:I17" si="3">(D6*(1+$D$5))+(E6*(1+$E$5))+(F6*(1+$F$5))+(G6*(1+$G$5))</f>
        <v>0</v>
      </c>
      <c r="J6" s="489">
        <f>I6/1000</f>
        <v>0</v>
      </c>
      <c r="K6" s="471">
        <f t="shared" ref="K6:K17" si="4">I6*$K$5</f>
        <v>0</v>
      </c>
      <c r="L6" s="329"/>
      <c r="M6" s="329"/>
      <c r="N6" s="329"/>
      <c r="O6" s="329"/>
      <c r="P6" s="330"/>
      <c r="Q6" s="331">
        <f t="shared" si="0"/>
        <v>0</v>
      </c>
      <c r="R6" s="332">
        <f t="shared" ref="R6:R17" si="5">(K6+L7+M8+N9+O10+P11)-I6</f>
        <v>0</v>
      </c>
      <c r="S6" s="489">
        <f>Q6/1000</f>
        <v>0</v>
      </c>
      <c r="T6" s="843">
        <f t="shared" ref="T6:T17" si="6">B6</f>
        <v>1</v>
      </c>
    </row>
    <row r="7" spans="2:20" s="2" customFormat="1" ht="20.100000000000001" customHeight="1">
      <c r="B7" s="709">
        <v>2</v>
      </c>
      <c r="C7" s="360">
        <f>'Chiffres d''affaires mensuels'!C6</f>
        <v>0</v>
      </c>
      <c r="D7" s="334"/>
      <c r="E7" s="335"/>
      <c r="F7" s="335"/>
      <c r="G7" s="336">
        <f t="shared" si="1"/>
        <v>0</v>
      </c>
      <c r="H7" s="337">
        <f t="shared" si="2"/>
        <v>0</v>
      </c>
      <c r="I7" s="342">
        <f t="shared" si="3"/>
        <v>0</v>
      </c>
      <c r="J7" s="489">
        <f>I7/1000</f>
        <v>0</v>
      </c>
      <c r="K7" s="472">
        <f t="shared" si="4"/>
        <v>0</v>
      </c>
      <c r="L7" s="339">
        <f t="shared" ref="L7:L18" si="7">I6*$L$5</f>
        <v>0</v>
      </c>
      <c r="M7" s="340"/>
      <c r="N7" s="340"/>
      <c r="O7" s="340"/>
      <c r="P7" s="341"/>
      <c r="Q7" s="342">
        <f t="shared" si="0"/>
        <v>0</v>
      </c>
      <c r="R7" s="332">
        <f t="shared" si="5"/>
        <v>0</v>
      </c>
      <c r="S7" s="489">
        <f t="shared" ref="S7:S22" si="8">Q7/1000</f>
        <v>0</v>
      </c>
      <c r="T7" s="843">
        <f t="shared" si="6"/>
        <v>2</v>
      </c>
    </row>
    <row r="8" spans="2:20" s="2" customFormat="1" ht="20.100000000000001" customHeight="1">
      <c r="B8" s="709">
        <v>3</v>
      </c>
      <c r="C8" s="360">
        <f>'Chiffres d''affaires mensuels'!C7</f>
        <v>0</v>
      </c>
      <c r="D8" s="334"/>
      <c r="E8" s="335"/>
      <c r="F8" s="335"/>
      <c r="G8" s="336">
        <f t="shared" si="1"/>
        <v>0</v>
      </c>
      <c r="H8" s="337">
        <f t="shared" si="2"/>
        <v>0</v>
      </c>
      <c r="I8" s="342">
        <f t="shared" si="3"/>
        <v>0</v>
      </c>
      <c r="J8" s="489">
        <f t="shared" ref="J8:J17" si="9">I8/1000</f>
        <v>0</v>
      </c>
      <c r="K8" s="472">
        <f t="shared" si="4"/>
        <v>0</v>
      </c>
      <c r="L8" s="339">
        <f t="shared" si="7"/>
        <v>0</v>
      </c>
      <c r="M8" s="339">
        <f t="shared" ref="M8:M19" si="10">I6*$M$5</f>
        <v>0</v>
      </c>
      <c r="N8" s="340"/>
      <c r="O8" s="340"/>
      <c r="P8" s="341"/>
      <c r="Q8" s="342">
        <f t="shared" si="0"/>
        <v>0</v>
      </c>
      <c r="R8" s="332">
        <f t="shared" si="5"/>
        <v>0</v>
      </c>
      <c r="S8" s="489">
        <f t="shared" si="8"/>
        <v>0</v>
      </c>
      <c r="T8" s="843">
        <f t="shared" si="6"/>
        <v>3</v>
      </c>
    </row>
    <row r="9" spans="2:20" s="2" customFormat="1" ht="20.100000000000001" customHeight="1">
      <c r="B9" s="709">
        <v>4</v>
      </c>
      <c r="C9" s="360">
        <f>'Chiffres d''affaires mensuels'!C8</f>
        <v>0</v>
      </c>
      <c r="D9" s="334"/>
      <c r="E9" s="335"/>
      <c r="F9" s="335"/>
      <c r="G9" s="336">
        <f t="shared" si="1"/>
        <v>0</v>
      </c>
      <c r="H9" s="337">
        <f t="shared" si="2"/>
        <v>0</v>
      </c>
      <c r="I9" s="342">
        <f t="shared" si="3"/>
        <v>0</v>
      </c>
      <c r="J9" s="489">
        <f t="shared" si="9"/>
        <v>0</v>
      </c>
      <c r="K9" s="472">
        <f t="shared" si="4"/>
        <v>0</v>
      </c>
      <c r="L9" s="339">
        <f t="shared" si="7"/>
        <v>0</v>
      </c>
      <c r="M9" s="339">
        <f t="shared" si="10"/>
        <v>0</v>
      </c>
      <c r="N9" s="339">
        <f t="shared" ref="N9:N20" si="11">I6*$N$5</f>
        <v>0</v>
      </c>
      <c r="O9" s="340"/>
      <c r="P9" s="341"/>
      <c r="Q9" s="342">
        <f t="shared" si="0"/>
        <v>0</v>
      </c>
      <c r="R9" s="332">
        <f t="shared" si="5"/>
        <v>0</v>
      </c>
      <c r="S9" s="489">
        <f t="shared" si="8"/>
        <v>0</v>
      </c>
      <c r="T9" s="843">
        <f t="shared" si="6"/>
        <v>4</v>
      </c>
    </row>
    <row r="10" spans="2:20" s="2" customFormat="1" ht="20.100000000000001" customHeight="1">
      <c r="B10" s="709">
        <v>5</v>
      </c>
      <c r="C10" s="360">
        <f>'Chiffres d''affaires mensuels'!C9</f>
        <v>0</v>
      </c>
      <c r="D10" s="334"/>
      <c r="E10" s="335"/>
      <c r="F10" s="335"/>
      <c r="G10" s="336">
        <f t="shared" si="1"/>
        <v>0</v>
      </c>
      <c r="H10" s="337">
        <f t="shared" si="2"/>
        <v>0</v>
      </c>
      <c r="I10" s="342">
        <f t="shared" si="3"/>
        <v>0</v>
      </c>
      <c r="J10" s="489">
        <f t="shared" si="9"/>
        <v>0</v>
      </c>
      <c r="K10" s="472">
        <f t="shared" si="4"/>
        <v>0</v>
      </c>
      <c r="L10" s="339">
        <f t="shared" si="7"/>
        <v>0</v>
      </c>
      <c r="M10" s="339">
        <f t="shared" si="10"/>
        <v>0</v>
      </c>
      <c r="N10" s="339">
        <f t="shared" si="11"/>
        <v>0</v>
      </c>
      <c r="O10" s="339">
        <f t="shared" ref="O10:O21" si="12">I6*$O$5</f>
        <v>0</v>
      </c>
      <c r="P10" s="341"/>
      <c r="Q10" s="342">
        <f t="shared" si="0"/>
        <v>0</v>
      </c>
      <c r="R10" s="332">
        <f t="shared" si="5"/>
        <v>0</v>
      </c>
      <c r="S10" s="489">
        <f t="shared" si="8"/>
        <v>0</v>
      </c>
      <c r="T10" s="843">
        <f t="shared" si="6"/>
        <v>5</v>
      </c>
    </row>
    <row r="11" spans="2:20" s="2" customFormat="1" ht="20.100000000000001" customHeight="1">
      <c r="B11" s="709">
        <v>6</v>
      </c>
      <c r="C11" s="621">
        <f>'Chiffres d''affaires mensuels'!C10</f>
        <v>0</v>
      </c>
      <c r="D11" s="334"/>
      <c r="E11" s="335"/>
      <c r="F11" s="335"/>
      <c r="G11" s="336">
        <f t="shared" si="1"/>
        <v>0</v>
      </c>
      <c r="H11" s="337">
        <f t="shared" si="2"/>
        <v>0</v>
      </c>
      <c r="I11" s="342">
        <f t="shared" si="3"/>
        <v>0</v>
      </c>
      <c r="J11" s="489">
        <f t="shared" si="9"/>
        <v>0</v>
      </c>
      <c r="K11" s="472">
        <f t="shared" si="4"/>
        <v>0</v>
      </c>
      <c r="L11" s="339">
        <f t="shared" si="7"/>
        <v>0</v>
      </c>
      <c r="M11" s="339">
        <f t="shared" si="10"/>
        <v>0</v>
      </c>
      <c r="N11" s="339">
        <f t="shared" si="11"/>
        <v>0</v>
      </c>
      <c r="O11" s="339">
        <f t="shared" si="12"/>
        <v>0</v>
      </c>
      <c r="P11" s="338">
        <f t="shared" ref="P11:P22" si="13">I6*$P$5</f>
        <v>0</v>
      </c>
      <c r="Q11" s="342">
        <f t="shared" si="0"/>
        <v>0</v>
      </c>
      <c r="R11" s="332">
        <f t="shared" si="5"/>
        <v>0</v>
      </c>
      <c r="S11" s="489">
        <f t="shared" si="8"/>
        <v>0</v>
      </c>
      <c r="T11" s="843">
        <f t="shared" si="6"/>
        <v>6</v>
      </c>
    </row>
    <row r="12" spans="2:20" s="2" customFormat="1" ht="20.100000000000001" customHeight="1">
      <c r="B12" s="709">
        <v>7</v>
      </c>
      <c r="C12" s="360">
        <f>'Chiffres d''affaires mensuels'!C11</f>
        <v>0</v>
      </c>
      <c r="D12" s="334"/>
      <c r="E12" s="335"/>
      <c r="F12" s="335"/>
      <c r="G12" s="336">
        <f t="shared" si="1"/>
        <v>0</v>
      </c>
      <c r="H12" s="337">
        <f t="shared" si="2"/>
        <v>0</v>
      </c>
      <c r="I12" s="342">
        <f t="shared" si="3"/>
        <v>0</v>
      </c>
      <c r="J12" s="489">
        <f t="shared" si="9"/>
        <v>0</v>
      </c>
      <c r="K12" s="472">
        <f t="shared" si="4"/>
        <v>0</v>
      </c>
      <c r="L12" s="339">
        <f t="shared" si="7"/>
        <v>0</v>
      </c>
      <c r="M12" s="339">
        <f t="shared" si="10"/>
        <v>0</v>
      </c>
      <c r="N12" s="339">
        <f t="shared" si="11"/>
        <v>0</v>
      </c>
      <c r="O12" s="339">
        <f t="shared" si="12"/>
        <v>0</v>
      </c>
      <c r="P12" s="338">
        <f t="shared" si="13"/>
        <v>0</v>
      </c>
      <c r="Q12" s="342">
        <f t="shared" si="0"/>
        <v>0</v>
      </c>
      <c r="R12" s="332">
        <f t="shared" si="5"/>
        <v>0</v>
      </c>
      <c r="S12" s="489">
        <f t="shared" si="8"/>
        <v>0</v>
      </c>
      <c r="T12" s="843">
        <f t="shared" si="6"/>
        <v>7</v>
      </c>
    </row>
    <row r="13" spans="2:20" s="2" customFormat="1" ht="20.100000000000001" customHeight="1">
      <c r="B13" s="709">
        <v>8</v>
      </c>
      <c r="C13" s="360">
        <f>'Chiffres d''affaires mensuels'!C12</f>
        <v>0</v>
      </c>
      <c r="D13" s="334"/>
      <c r="E13" s="335"/>
      <c r="F13" s="335"/>
      <c r="G13" s="336">
        <f t="shared" si="1"/>
        <v>0</v>
      </c>
      <c r="H13" s="337">
        <f t="shared" si="2"/>
        <v>0</v>
      </c>
      <c r="I13" s="342">
        <f t="shared" si="3"/>
        <v>0</v>
      </c>
      <c r="J13" s="489">
        <f t="shared" si="9"/>
        <v>0</v>
      </c>
      <c r="K13" s="472">
        <f t="shared" si="4"/>
        <v>0</v>
      </c>
      <c r="L13" s="339">
        <f t="shared" si="7"/>
        <v>0</v>
      </c>
      <c r="M13" s="339">
        <f t="shared" si="10"/>
        <v>0</v>
      </c>
      <c r="N13" s="339">
        <f t="shared" si="11"/>
        <v>0</v>
      </c>
      <c r="O13" s="339">
        <f t="shared" si="12"/>
        <v>0</v>
      </c>
      <c r="P13" s="338">
        <f t="shared" si="13"/>
        <v>0</v>
      </c>
      <c r="Q13" s="342">
        <f t="shared" si="0"/>
        <v>0</v>
      </c>
      <c r="R13" s="332">
        <f t="shared" si="5"/>
        <v>0</v>
      </c>
      <c r="S13" s="489">
        <f t="shared" si="8"/>
        <v>0</v>
      </c>
      <c r="T13" s="843">
        <f t="shared" si="6"/>
        <v>8</v>
      </c>
    </row>
    <row r="14" spans="2:20" s="2" customFormat="1" ht="20.100000000000001" customHeight="1">
      <c r="B14" s="709">
        <v>9</v>
      </c>
      <c r="C14" s="360">
        <f>'Chiffres d''affaires mensuels'!C13</f>
        <v>0</v>
      </c>
      <c r="D14" s="334"/>
      <c r="E14" s="335"/>
      <c r="F14" s="335"/>
      <c r="G14" s="336">
        <f t="shared" si="1"/>
        <v>0</v>
      </c>
      <c r="H14" s="337">
        <f t="shared" si="2"/>
        <v>0</v>
      </c>
      <c r="I14" s="342">
        <f t="shared" si="3"/>
        <v>0</v>
      </c>
      <c r="J14" s="489">
        <f t="shared" si="9"/>
        <v>0</v>
      </c>
      <c r="K14" s="472">
        <f t="shared" si="4"/>
        <v>0</v>
      </c>
      <c r="L14" s="339">
        <f t="shared" si="7"/>
        <v>0</v>
      </c>
      <c r="M14" s="339">
        <f t="shared" si="10"/>
        <v>0</v>
      </c>
      <c r="N14" s="339">
        <f t="shared" si="11"/>
        <v>0</v>
      </c>
      <c r="O14" s="339">
        <f t="shared" si="12"/>
        <v>0</v>
      </c>
      <c r="P14" s="338">
        <f t="shared" si="13"/>
        <v>0</v>
      </c>
      <c r="Q14" s="342">
        <f t="shared" si="0"/>
        <v>0</v>
      </c>
      <c r="R14" s="332">
        <f t="shared" si="5"/>
        <v>0</v>
      </c>
      <c r="S14" s="489">
        <f t="shared" si="8"/>
        <v>0</v>
      </c>
      <c r="T14" s="843">
        <f t="shared" si="6"/>
        <v>9</v>
      </c>
    </row>
    <row r="15" spans="2:20" s="2" customFormat="1" ht="20.100000000000001" customHeight="1">
      <c r="B15" s="709">
        <v>10</v>
      </c>
      <c r="C15" s="360">
        <f>'Chiffres d''affaires mensuels'!C14</f>
        <v>0</v>
      </c>
      <c r="D15" s="334"/>
      <c r="E15" s="335"/>
      <c r="F15" s="335"/>
      <c r="G15" s="336">
        <f t="shared" si="1"/>
        <v>0</v>
      </c>
      <c r="H15" s="337">
        <f t="shared" si="2"/>
        <v>0</v>
      </c>
      <c r="I15" s="342">
        <f t="shared" si="3"/>
        <v>0</v>
      </c>
      <c r="J15" s="489">
        <f t="shared" si="9"/>
        <v>0</v>
      </c>
      <c r="K15" s="472">
        <f t="shared" si="4"/>
        <v>0</v>
      </c>
      <c r="L15" s="339">
        <f t="shared" si="7"/>
        <v>0</v>
      </c>
      <c r="M15" s="339">
        <f t="shared" si="10"/>
        <v>0</v>
      </c>
      <c r="N15" s="339">
        <f t="shared" si="11"/>
        <v>0</v>
      </c>
      <c r="O15" s="339">
        <f t="shared" si="12"/>
        <v>0</v>
      </c>
      <c r="P15" s="338">
        <f t="shared" si="13"/>
        <v>0</v>
      </c>
      <c r="Q15" s="342">
        <f t="shared" si="0"/>
        <v>0</v>
      </c>
      <c r="R15" s="332">
        <f t="shared" si="5"/>
        <v>0</v>
      </c>
      <c r="S15" s="489">
        <f t="shared" si="8"/>
        <v>0</v>
      </c>
      <c r="T15" s="843">
        <f t="shared" si="6"/>
        <v>10</v>
      </c>
    </row>
    <row r="16" spans="2:20" s="2" customFormat="1" ht="20.100000000000001" customHeight="1">
      <c r="B16" s="709">
        <v>11</v>
      </c>
      <c r="C16" s="360">
        <f>'Chiffres d''affaires mensuels'!C15</f>
        <v>0</v>
      </c>
      <c r="D16" s="334"/>
      <c r="E16" s="335"/>
      <c r="F16" s="335"/>
      <c r="G16" s="336">
        <f t="shared" si="1"/>
        <v>0</v>
      </c>
      <c r="H16" s="337">
        <f t="shared" si="2"/>
        <v>0</v>
      </c>
      <c r="I16" s="342">
        <f t="shared" si="3"/>
        <v>0</v>
      </c>
      <c r="J16" s="489">
        <f t="shared" si="9"/>
        <v>0</v>
      </c>
      <c r="K16" s="472">
        <f t="shared" si="4"/>
        <v>0</v>
      </c>
      <c r="L16" s="339">
        <f t="shared" si="7"/>
        <v>0</v>
      </c>
      <c r="M16" s="339">
        <f t="shared" si="10"/>
        <v>0</v>
      </c>
      <c r="N16" s="339">
        <f t="shared" si="11"/>
        <v>0</v>
      </c>
      <c r="O16" s="339">
        <f t="shared" si="12"/>
        <v>0</v>
      </c>
      <c r="P16" s="338">
        <f t="shared" si="13"/>
        <v>0</v>
      </c>
      <c r="Q16" s="342">
        <f t="shared" si="0"/>
        <v>0</v>
      </c>
      <c r="R16" s="332">
        <f t="shared" si="5"/>
        <v>0</v>
      </c>
      <c r="S16" s="489">
        <f t="shared" si="8"/>
        <v>0</v>
      </c>
      <c r="T16" s="843">
        <f t="shared" si="6"/>
        <v>11</v>
      </c>
    </row>
    <row r="17" spans="2:20" s="2" customFormat="1" ht="20.100000000000001" customHeight="1">
      <c r="B17" s="709">
        <v>12</v>
      </c>
      <c r="C17" s="358">
        <f>'Chiffres d''affaires mensuels'!C16</f>
        <v>0</v>
      </c>
      <c r="D17" s="325"/>
      <c r="E17" s="326"/>
      <c r="F17" s="326"/>
      <c r="G17" s="327">
        <f t="shared" si="1"/>
        <v>0</v>
      </c>
      <c r="H17" s="328">
        <f t="shared" si="2"/>
        <v>0</v>
      </c>
      <c r="I17" s="331">
        <f t="shared" si="3"/>
        <v>0</v>
      </c>
      <c r="J17" s="489">
        <f t="shared" si="9"/>
        <v>0</v>
      </c>
      <c r="K17" s="471">
        <f t="shared" si="4"/>
        <v>0</v>
      </c>
      <c r="L17" s="344">
        <f t="shared" si="7"/>
        <v>0</v>
      </c>
      <c r="M17" s="344">
        <f t="shared" si="10"/>
        <v>0</v>
      </c>
      <c r="N17" s="344">
        <f t="shared" si="11"/>
        <v>0</v>
      </c>
      <c r="O17" s="344">
        <f t="shared" si="12"/>
        <v>0</v>
      </c>
      <c r="P17" s="257">
        <f t="shared" si="13"/>
        <v>0</v>
      </c>
      <c r="Q17" s="331">
        <f t="shared" si="0"/>
        <v>0</v>
      </c>
      <c r="R17" s="332">
        <f t="shared" si="5"/>
        <v>0</v>
      </c>
      <c r="S17" s="489">
        <f t="shared" si="8"/>
        <v>0</v>
      </c>
      <c r="T17" s="843">
        <f t="shared" si="6"/>
        <v>12</v>
      </c>
    </row>
    <row r="18" spans="2:20" s="2" customFormat="1" ht="20.100000000000001" customHeight="1">
      <c r="B18" s="345" t="s">
        <v>0</v>
      </c>
      <c r="C18" s="346">
        <f t="shared" ref="C18:I18" si="14">SUM(C6:C17)</f>
        <v>0</v>
      </c>
      <c r="D18" s="347">
        <f t="shared" si="14"/>
        <v>0</v>
      </c>
      <c r="E18" s="348">
        <f t="shared" si="14"/>
        <v>0</v>
      </c>
      <c r="F18" s="348">
        <f t="shared" si="14"/>
        <v>0</v>
      </c>
      <c r="G18" s="347">
        <f t="shared" si="14"/>
        <v>0</v>
      </c>
      <c r="H18" s="349">
        <f t="shared" si="14"/>
        <v>0</v>
      </c>
      <c r="I18" s="365">
        <f t="shared" si="14"/>
        <v>0</v>
      </c>
      <c r="J18" s="479"/>
      <c r="K18" s="473"/>
      <c r="L18" s="339">
        <f t="shared" si="7"/>
        <v>0</v>
      </c>
      <c r="M18" s="339">
        <f t="shared" si="10"/>
        <v>0</v>
      </c>
      <c r="N18" s="339">
        <f t="shared" si="11"/>
        <v>0</v>
      </c>
      <c r="O18" s="339">
        <f t="shared" si="12"/>
        <v>0</v>
      </c>
      <c r="P18" s="338">
        <f t="shared" si="13"/>
        <v>0</v>
      </c>
      <c r="Q18" s="342">
        <f t="shared" si="0"/>
        <v>0</v>
      </c>
      <c r="S18" s="489">
        <f t="shared" si="8"/>
        <v>0</v>
      </c>
      <c r="T18" s="843" t="str">
        <f>IF(Q18=0," ",T17+1)</f>
        <v xml:space="preserve"> </v>
      </c>
    </row>
    <row r="19" spans="2:20" s="2" customFormat="1" ht="20.100000000000001" customHeight="1">
      <c r="I19" s="480"/>
      <c r="K19" s="474"/>
      <c r="L19" s="350"/>
      <c r="M19" s="339">
        <f t="shared" si="10"/>
        <v>0</v>
      </c>
      <c r="N19" s="339">
        <f t="shared" si="11"/>
        <v>0</v>
      </c>
      <c r="O19" s="339">
        <f t="shared" si="12"/>
        <v>0</v>
      </c>
      <c r="P19" s="338">
        <f t="shared" si="13"/>
        <v>0</v>
      </c>
      <c r="Q19" s="342">
        <f t="shared" si="0"/>
        <v>0</v>
      </c>
      <c r="S19" s="489">
        <f t="shared" si="8"/>
        <v>0</v>
      </c>
      <c r="T19" s="843" t="str">
        <f t="shared" ref="T19:T22" si="15">IF(Q19=0," ",T18+1)</f>
        <v xml:space="preserve"> </v>
      </c>
    </row>
    <row r="20" spans="2:20" s="2" customFormat="1" ht="20.100000000000001" customHeight="1">
      <c r="K20" s="474"/>
      <c r="L20" s="350"/>
      <c r="M20" s="340"/>
      <c r="N20" s="339">
        <f t="shared" si="11"/>
        <v>0</v>
      </c>
      <c r="O20" s="339">
        <f t="shared" si="12"/>
        <v>0</v>
      </c>
      <c r="P20" s="338">
        <f t="shared" si="13"/>
        <v>0</v>
      </c>
      <c r="Q20" s="342">
        <f t="shared" si="0"/>
        <v>0</v>
      </c>
      <c r="S20" s="489">
        <f t="shared" si="8"/>
        <v>0</v>
      </c>
      <c r="T20" s="843" t="str">
        <f t="shared" si="15"/>
        <v xml:space="preserve"> </v>
      </c>
    </row>
    <row r="21" spans="2:20" s="2" customFormat="1" ht="20.100000000000001" customHeight="1">
      <c r="K21" s="474"/>
      <c r="L21" s="350"/>
      <c r="M21" s="350"/>
      <c r="N21" s="340"/>
      <c r="O21" s="339">
        <f t="shared" si="12"/>
        <v>0</v>
      </c>
      <c r="P21" s="338">
        <f t="shared" si="13"/>
        <v>0</v>
      </c>
      <c r="Q21" s="342">
        <f t="shared" si="0"/>
        <v>0</v>
      </c>
      <c r="S21" s="489">
        <f t="shared" si="8"/>
        <v>0</v>
      </c>
      <c r="T21" s="843" t="str">
        <f t="shared" si="15"/>
        <v xml:space="preserve"> </v>
      </c>
    </row>
    <row r="22" spans="2:20" s="2" customFormat="1" ht="20.100000000000001" customHeight="1">
      <c r="K22" s="475"/>
      <c r="L22" s="351"/>
      <c r="M22" s="351"/>
      <c r="N22" s="352"/>
      <c r="O22" s="352"/>
      <c r="P22" s="353">
        <f t="shared" si="13"/>
        <v>0</v>
      </c>
      <c r="Q22" s="354">
        <f t="shared" si="0"/>
        <v>0</v>
      </c>
      <c r="S22" s="489">
        <f t="shared" si="8"/>
        <v>0</v>
      </c>
      <c r="T22" s="843" t="str">
        <f t="shared" si="15"/>
        <v xml:space="preserve"> </v>
      </c>
    </row>
    <row r="23" spans="2:20" s="2" customFormat="1" ht="20.100000000000001" customHeight="1">
      <c r="K23" s="476">
        <f t="shared" ref="K23:P23" si="16">SUM(K6:K22)</f>
        <v>0</v>
      </c>
      <c r="L23" s="356">
        <f t="shared" si="16"/>
        <v>0</v>
      </c>
      <c r="M23" s="356">
        <f t="shared" si="16"/>
        <v>0</v>
      </c>
      <c r="N23" s="356">
        <f t="shared" si="16"/>
        <v>0</v>
      </c>
      <c r="O23" s="356">
        <f t="shared" si="16"/>
        <v>0</v>
      </c>
      <c r="P23" s="355">
        <f t="shared" si="16"/>
        <v>0</v>
      </c>
      <c r="Q23" s="357">
        <f t="shared" si="0"/>
        <v>0</v>
      </c>
      <c r="T23" s="844"/>
    </row>
    <row r="24" spans="2:20" ht="6" customHeight="1"/>
    <row r="43" ht="6" customHeight="1"/>
  </sheetData>
  <sheetProtection algorithmName="SHA-512" hashValue="ytjhUPJcX/2Aoov+HoXj6ODaUdLSO5hrHCakUhepfcyVGuLk+XIl50+en2OZrBeVi2EssLAUhFJ5C29pD50kng==" saltValue="aoXnvj8HtuI12TdsEYlQ9g==" spinCount="100000" sheet="1" formatCells="0" formatColumns="0" formatRows="0" insertColumns="0" insertRows="0" insertHyperlinks="0" deleteColumns="0" deleteRows="0" sort="0" autoFilter="0" pivotTables="0"/>
  <mergeCells count="10">
    <mergeCell ref="K3:Q3"/>
    <mergeCell ref="B2:D2"/>
    <mergeCell ref="B3:B5"/>
    <mergeCell ref="C3:C5"/>
    <mergeCell ref="D3:G4"/>
    <mergeCell ref="H3:H5"/>
    <mergeCell ref="I3:I5"/>
    <mergeCell ref="G2:I2"/>
    <mergeCell ref="O2:Q2"/>
    <mergeCell ref="K2:N2"/>
  </mergeCells>
  <conditionalFormatting sqref="R6:R17">
    <cfRule type="cellIs" dxfId="15" priority="6" operator="equal">
      <formula>0</formula>
    </cfRule>
  </conditionalFormatting>
  <conditionalFormatting sqref="B6 B8 B10 B12 B14 B16">
    <cfRule type="cellIs" dxfId="14" priority="4" operator="equal">
      <formula>0</formula>
    </cfRule>
  </conditionalFormatting>
  <conditionalFormatting sqref="B7 B9 B11 B13 B15 B17">
    <cfRule type="cellIs" dxfId="13" priority="3" operator="equal">
      <formula>0</formula>
    </cfRule>
  </conditionalFormatting>
  <conditionalFormatting sqref="R5">
    <cfRule type="cellIs" dxfId="4" priority="1" operator="equal">
      <formula>0</formula>
    </cfRule>
    <cfRule type="cellIs" dxfId="3" priority="2" operator="lessThan">
      <formula>0</formula>
    </cfRule>
  </conditionalFormatting>
  <dataValidations count="1">
    <dataValidation allowBlank="1" showInputMessage="1" showErrorMessage="1" prompt="taux modifiables_x000a_" sqref="K5:P5" xr:uid="{00000000-0002-0000-0800-000000000000}"/>
  </dataValidations>
  <pageMargins left="0" right="0" top="0" bottom="0" header="0" footer="0"/>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105</vt:i4>
      </vt:variant>
    </vt:vector>
  </HeadingPairs>
  <TitlesOfParts>
    <vt:vector size="117" baseType="lpstr">
      <vt:lpstr>Compte de résultat</vt:lpstr>
      <vt:lpstr>BFR</vt:lpstr>
      <vt:lpstr>Investissements</vt:lpstr>
      <vt:lpstr>Emprunts</vt:lpstr>
      <vt:lpstr>Plan de financement</vt:lpstr>
      <vt:lpstr>Personnel</vt:lpstr>
      <vt:lpstr>Hausses salariales</vt:lpstr>
      <vt:lpstr>Chiffres d'affaires mensuels</vt:lpstr>
      <vt:lpstr>Encaissement des ventes 1°année</vt:lpstr>
      <vt:lpstr>Décaissement des achats 1°année</vt:lpstr>
      <vt:lpstr>Budget tva</vt:lpstr>
      <vt:lpstr>Plan de trésorerie</vt:lpstr>
      <vt:lpstr>achats_ttc</vt:lpstr>
      <vt:lpstr>activité</vt:lpstr>
      <vt:lpstr>An</vt:lpstr>
      <vt:lpstr>bfr_0</vt:lpstr>
      <vt:lpstr>bfr_1</vt:lpstr>
      <vt:lpstr>bfr_2</vt:lpstr>
      <vt:lpstr>bfr_3</vt:lpstr>
      <vt:lpstr>bfr_4</vt:lpstr>
      <vt:lpstr>bfr_5</vt:lpstr>
      <vt:lpstr>ca_0</vt:lpstr>
      <vt:lpstr>ca_1</vt:lpstr>
      <vt:lpstr>ca_2</vt:lpstr>
      <vt:lpstr>ca_3</vt:lpstr>
      <vt:lpstr>ca_4</vt:lpstr>
      <vt:lpstr>ca_5</vt:lpstr>
      <vt:lpstr>ca_ttc</vt:lpstr>
      <vt:lpstr>caf_1</vt:lpstr>
      <vt:lpstr>caf_2</vt:lpstr>
      <vt:lpstr>caf_3</vt:lpstr>
      <vt:lpstr>caf_4</vt:lpstr>
      <vt:lpstr>caf_5</vt:lpstr>
      <vt:lpstr>cession_1</vt:lpstr>
      <vt:lpstr>cession_2</vt:lpstr>
      <vt:lpstr>cession_3</vt:lpstr>
      <vt:lpstr>clt_5</vt:lpstr>
      <vt:lpstr>clt_6</vt:lpstr>
      <vt:lpstr>clt_7</vt:lpstr>
      <vt:lpstr>créditbail_1</vt:lpstr>
      <vt:lpstr>créditbail_2</vt:lpstr>
      <vt:lpstr>créditbail_3</vt:lpstr>
      <vt:lpstr>créditbail_4</vt:lpstr>
      <vt:lpstr>créditbail_5</vt:lpstr>
      <vt:lpstr>dfr_0</vt:lpstr>
      <vt:lpstr>dfr_1</vt:lpstr>
      <vt:lpstr>dfr_2</vt:lpstr>
      <vt:lpstr>dfr_3</vt:lpstr>
      <vt:lpstr>dfr_4</vt:lpstr>
      <vt:lpstr>dfr_5</vt:lpstr>
      <vt:lpstr>différé1</vt:lpstr>
      <vt:lpstr>différé1_an</vt:lpstr>
      <vt:lpstr>différé2</vt:lpstr>
      <vt:lpstr>différé2_an</vt:lpstr>
      <vt:lpstr>différé3</vt:lpstr>
      <vt:lpstr>différé3_an</vt:lpstr>
      <vt:lpstr>durée_1</vt:lpstr>
      <vt:lpstr>durée_2</vt:lpstr>
      <vt:lpstr>durée_3</vt:lpstr>
      <vt:lpstr>durée_4</vt:lpstr>
      <vt:lpstr>durée_5</vt:lpstr>
      <vt:lpstr>Emprunts!durée_emprunt1</vt:lpstr>
      <vt:lpstr>durée_emprunt2</vt:lpstr>
      <vt:lpstr>durée_emprunt3</vt:lpstr>
      <vt:lpstr>emprunt1</vt:lpstr>
      <vt:lpstr>emprunt2</vt:lpstr>
      <vt:lpstr>emprunt3</vt:lpstr>
      <vt:lpstr>entreprise</vt:lpstr>
      <vt:lpstr>fs_1</vt:lpstr>
      <vt:lpstr>fs_2</vt:lpstr>
      <vt:lpstr>fs_3</vt:lpstr>
      <vt:lpstr>fs_4</vt:lpstr>
      <vt:lpstr>fs_5</vt:lpstr>
      <vt:lpstr>fu_1</vt:lpstr>
      <vt:lpstr>fu_2</vt:lpstr>
      <vt:lpstr>fu_3</vt:lpstr>
      <vt:lpstr>fu_4</vt:lpstr>
      <vt:lpstr>fu_5</vt:lpstr>
      <vt:lpstr>fw_1</vt:lpstr>
      <vt:lpstr>fw_2</vt:lpstr>
      <vt:lpstr>fw_3</vt:lpstr>
      <vt:lpstr>fw_4</vt:lpstr>
      <vt:lpstr>fw_5</vt:lpstr>
      <vt:lpstr>ga_1</vt:lpstr>
      <vt:lpstr>ga_2</vt:lpstr>
      <vt:lpstr>ga_3</vt:lpstr>
      <vt:lpstr>ga_4</vt:lpstr>
      <vt:lpstr>ga_5</vt:lpstr>
      <vt:lpstr>nature</vt:lpstr>
      <vt:lpstr>pr_1</vt:lpstr>
      <vt:lpstr>pr_2</vt:lpstr>
      <vt:lpstr>pr_3</vt:lpstr>
      <vt:lpstr>pr_4</vt:lpstr>
      <vt:lpstr>pr_5</vt:lpstr>
      <vt:lpstr>quotité_ta</vt:lpstr>
      <vt:lpstr>quotité_tv</vt:lpstr>
      <vt:lpstr>sté_existante</vt:lpstr>
      <vt:lpstr>ta</vt:lpstr>
      <vt:lpstr>tr0_négative</vt:lpstr>
      <vt:lpstr>tr0_positive</vt:lpstr>
      <vt:lpstr>tv</vt:lpstr>
      <vt:lpstr>tva_collectée</vt:lpstr>
      <vt:lpstr>tva_déductible</vt:lpstr>
      <vt:lpstr>tx_emprunt1</vt:lpstr>
      <vt:lpstr>tx_emprunt2</vt:lpstr>
      <vt:lpstr>tx_emprunt3</vt:lpstr>
      <vt:lpstr>tx_tva_exo</vt:lpstr>
      <vt:lpstr>tx_tva_intermédiaire</vt:lpstr>
      <vt:lpstr>tx_tva_normal</vt:lpstr>
      <vt:lpstr>tx_tva_réduit</vt:lpstr>
      <vt:lpstr>BFR!Zone_d_impression</vt:lpstr>
      <vt:lpstr>'Budget tva'!Zone_d_impression</vt:lpstr>
      <vt:lpstr>'Décaissement des achats 1°année'!Zone_d_impression</vt:lpstr>
      <vt:lpstr>'Encaissement des ventes 1°année'!Zone_d_impression</vt:lpstr>
      <vt:lpstr>Investissements!Zone_d_impression</vt:lpstr>
      <vt:lpstr>'Plan de financement'!Zone_d_impression</vt:lpstr>
      <vt:lpstr>'Plan de trésorerie'!Zone_d_impression</vt:lpstr>
    </vt:vector>
  </TitlesOfParts>
  <Company>SILCA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SILCA</dc:creator>
  <cp:lastModifiedBy>J. BERGARA</cp:lastModifiedBy>
  <cp:lastPrinted>2018-03-26T11:42:53Z</cp:lastPrinted>
  <dcterms:created xsi:type="dcterms:W3CDTF">2010-09-13T08:53:42Z</dcterms:created>
  <dcterms:modified xsi:type="dcterms:W3CDTF">2019-09-10T16:52:53Z</dcterms:modified>
</cp:coreProperties>
</file>