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ml.chartshapes+xml"/>
  <Override PartName="/xl/charts/chart12.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codeName="ThisWorkbook"/>
  <mc:AlternateContent xmlns:mc="http://schemas.openxmlformats.org/markup-compatibility/2006">
    <mc:Choice Requires="x15">
      <x15ac:absPath xmlns:x15ac="http://schemas.microsoft.com/office/spreadsheetml/2010/11/ac" url="D:\Herrikoa\Boîte à outils\Analyse financière\Outils\"/>
    </mc:Choice>
  </mc:AlternateContent>
  <xr:revisionPtr revIDLastSave="0" documentId="13_ncr:1_{502AED74-5384-45AA-812A-1F1601EF8A91}" xr6:coauthVersionLast="45" xr6:coauthVersionMax="45" xr10:uidLastSave="{00000000-0000-0000-0000-000000000000}"/>
  <bookViews>
    <workbookView xWindow="-108" yWindow="-108" windowWidth="23256" windowHeight="12576" tabRatio="626" xr2:uid="{00000000-000D-0000-FFFF-FFFF00000000}"/>
  </bookViews>
  <sheets>
    <sheet name="resultat" sheetId="1" r:id="rId1"/>
    <sheet name="bilan" sheetId="2" r:id="rId2"/>
    <sheet name="Infos complémentaires" sheetId="21" r:id="rId3"/>
    <sheet name="Structure financière" sheetId="23" r:id="rId4"/>
    <sheet name="tableau de financement" sheetId="18" r:id="rId5"/>
    <sheet name="Ratios" sheetId="20" r:id="rId6"/>
    <sheet name="Graphiques" sheetId="24" r:id="rId7"/>
    <sheet name="Levier" sheetId="19" r:id="rId8"/>
    <sheet name="Score" sheetId="9" r:id="rId9"/>
    <sheet name="Lexique" sheetId="25" r:id="rId10"/>
    <sheet name="Feuil3" sheetId="26" r:id="rId11"/>
    <sheet name="Feuil4" sheetId="27" r:id="rId12"/>
  </sheets>
  <definedNames>
    <definedName name="aa_1">bilan!$E$9</definedName>
    <definedName name="aa_2">bilan!$G$9</definedName>
    <definedName name="aa_3">bilan!$I$9</definedName>
    <definedName name="aa_4">bilan!$K$9</definedName>
    <definedName name="aa_5">bilan!$M$9</definedName>
    <definedName name="acre_1">bilan!$E$100</definedName>
    <definedName name="acre_2">bilan!$G$100</definedName>
    <definedName name="acre_3">bilan!$I$100</definedName>
    <definedName name="acre_4">bilan!$K$100</definedName>
    <definedName name="acre_5">bilan!$M$100</definedName>
    <definedName name="acren_1">bilan!$E$104</definedName>
    <definedName name="acren_2">bilan!$G$104</definedName>
    <definedName name="acren_3">bilan!$I$104</definedName>
    <definedName name="acren_4">bilan!$K$104</definedName>
    <definedName name="acren_5">bilan!$M$104</definedName>
    <definedName name="activité">resultat!$H$4</definedName>
    <definedName name="ade_1">bilan!$E$34</definedName>
    <definedName name="ade_2">bilan!$G$34</definedName>
    <definedName name="ade_3">bilan!$I$34</definedName>
    <definedName name="ade_4">bilan!$K$34</definedName>
    <definedName name="ade_5">bilan!$M$34</definedName>
    <definedName name="ae_1">bilan!$E$50</definedName>
    <definedName name="ae_2">bilan!$G$50</definedName>
    <definedName name="ae_3">bilan!$I$50</definedName>
    <definedName name="ae_4">bilan!$K$50</definedName>
    <definedName name="ae_5">bilan!$M$50</definedName>
    <definedName name="amort_1">bilan!$E$55</definedName>
    <definedName name="amort_2">bilan!$G$55</definedName>
    <definedName name="amort_3">bilan!$I$55</definedName>
    <definedName name="amort_4">bilan!$K$55</definedName>
    <definedName name="amort_5">bilan!$M$55</definedName>
    <definedName name="b_1">bilan!$E$115</definedName>
    <definedName name="b_2">bilan!$G$115</definedName>
    <definedName name="b_3">bilan!$I$115</definedName>
    <definedName name="b_4">bilan!$K$115</definedName>
    <definedName name="b_5">bilan!$M$115</definedName>
    <definedName name="bail_1">resultat!#REF!</definedName>
    <definedName name="bail_2">resultat!#REF!</definedName>
    <definedName name="bfe_1">Ratios!$F$231</definedName>
    <definedName name="bfe_2">Ratios!$H$231</definedName>
    <definedName name="bfe_3">Ratios!$J$231</definedName>
    <definedName name="bfe_4">Ratios!$L$231</definedName>
    <definedName name="bfe_5">Ratios!$N$231</definedName>
    <definedName name="bfr_1">'Structure financière'!$D$30</definedName>
    <definedName name="bfr_2">'Structure financière'!$F$30</definedName>
    <definedName name="bfr_3">'Structure financière'!$H$30</definedName>
    <definedName name="bfr_4">'Structure financière'!$J$30</definedName>
    <definedName name="bfr_5">'Structure financière'!$L$30</definedName>
    <definedName name="bfre_1">'Structure financière'!$D$26</definedName>
    <definedName name="bfre_2">'Structure financière'!$F$26</definedName>
    <definedName name="bfre_3">'Structure financière'!$H$26</definedName>
    <definedName name="bfre_4">'Structure financière'!$J$26</definedName>
    <definedName name="bfre_5">'Structure financière'!$L$26</definedName>
    <definedName name="bj_1">bilan!$E$62</definedName>
    <definedName name="bj_2">bilan!$G$62</definedName>
    <definedName name="bj_3">bilan!$I$62</definedName>
    <definedName name="bj_4">bilan!$K$62</definedName>
    <definedName name="bj_5">bilan!$M$62</definedName>
    <definedName name="bl_1">bilan!$E$63</definedName>
    <definedName name="bl_2">bilan!$G$63</definedName>
    <definedName name="bl_3">bilan!$I$63</definedName>
    <definedName name="bl_4">bilan!$K$63</definedName>
    <definedName name="bl_5">bilan!$M$63</definedName>
    <definedName name="bm_1">bilan!$E$70</definedName>
    <definedName name="bm_2">bilan!$G$70</definedName>
    <definedName name="bm_3">bilan!$I$70</definedName>
    <definedName name="bm_4">bilan!$K$70</definedName>
    <definedName name="bm_5">bilan!$M$70</definedName>
    <definedName name="bn_1">bilan!$E$64</definedName>
    <definedName name="bn_2">bilan!$G$64</definedName>
    <definedName name="bn_3">bilan!$I$64</definedName>
    <definedName name="bn_4">bilan!$K$64</definedName>
    <definedName name="bn_5">bilan!$M$64</definedName>
    <definedName name="bo_1">bilan!$E$72</definedName>
    <definedName name="bo_2">bilan!$G$72</definedName>
    <definedName name="bo_3">bilan!$I$72</definedName>
    <definedName name="bo_4">bilan!$K$72</definedName>
    <definedName name="bo_5">bilan!$M$72</definedName>
    <definedName name="bp_1">bilan!$E$65</definedName>
    <definedName name="bp_2">bilan!$G$65</definedName>
    <definedName name="bp_3">bilan!$I$65</definedName>
    <definedName name="bp_4">bilan!$K$65</definedName>
    <definedName name="bp_5">bilan!$M$65</definedName>
    <definedName name="bq_1">bilan!$E$74</definedName>
    <definedName name="bq_2">bilan!$G$74</definedName>
    <definedName name="bq_3">bilan!$I$74</definedName>
    <definedName name="bq_4">bilan!$K$74</definedName>
    <definedName name="bq_5">bilan!$M$74</definedName>
    <definedName name="br_1">bilan!$E$66</definedName>
    <definedName name="br_2">bilan!$G$66</definedName>
    <definedName name="br_3">bilan!$I$66</definedName>
    <definedName name="br_4">bilan!$K$66</definedName>
    <definedName name="br_5">bilan!$M$66</definedName>
    <definedName name="bs_1">bilan!$E$76</definedName>
    <definedName name="bs_2">bilan!$G$76</definedName>
    <definedName name="bs_3">bilan!$I$76</definedName>
    <definedName name="bs_4">bilan!$K$76</definedName>
    <definedName name="bs_5">bilan!$M$76</definedName>
    <definedName name="bt_1">bilan!$E$67</definedName>
    <definedName name="bt_2">bilan!$G$67</definedName>
    <definedName name="bt_3">bilan!$I$67</definedName>
    <definedName name="bt_4">bilan!$K$67</definedName>
    <definedName name="bt_5">bilan!$M$67</definedName>
    <definedName name="bu_1">bilan!$E$78</definedName>
    <definedName name="bu_2">bilan!$G$78</definedName>
    <definedName name="bu_3">bilan!$I$78</definedName>
    <definedName name="bu_4">bilan!$K$78</definedName>
    <definedName name="bu_5">bilan!$M$78</definedName>
    <definedName name="bv_1">bilan!$E$94</definedName>
    <definedName name="bv_2">bilan!$G$94</definedName>
    <definedName name="bv_3">bilan!$I$94</definedName>
    <definedName name="bv_4">bilan!$K$94</definedName>
    <definedName name="bv_5">bilan!$M$94</definedName>
    <definedName name="bx_1">bilan!$E$83</definedName>
    <definedName name="bx_2">bilan!$G$83</definedName>
    <definedName name="bx_3">bilan!$I$83</definedName>
    <definedName name="bx_4">bilan!$K$83</definedName>
    <definedName name="bx_5">bilan!$M$83</definedName>
    <definedName name="by_1">bilan!$E$90</definedName>
    <definedName name="by_2">bilan!$G$90</definedName>
    <definedName name="by_3">bilan!$I$90</definedName>
    <definedName name="by_4">bilan!$K$90</definedName>
    <definedName name="by_5">bilan!$M$90</definedName>
    <definedName name="bz_1">bilan!$E$95</definedName>
    <definedName name="bz_2">bilan!$G$95</definedName>
    <definedName name="bz_3">bilan!$I$95</definedName>
    <definedName name="bz_4">bilan!$K$95</definedName>
    <definedName name="bz_5">bilan!$M$95</definedName>
    <definedName name="ca_1">resultat!$E$29</definedName>
    <definedName name="ca_2">resultat!$F$29</definedName>
    <definedName name="ca_3">resultat!$G$29</definedName>
    <definedName name="ca_4">resultat!$H$29</definedName>
    <definedName name="ca_5">resultat!$I$29</definedName>
    <definedName name="ca_6">resultat!$K$29</definedName>
    <definedName name="caf_1">resultat!$E$153</definedName>
    <definedName name="caf_2">resultat!$F$153</definedName>
    <definedName name="caf_3">resultat!$G$153</definedName>
    <definedName name="caf_4">resultat!$H$153</definedName>
    <definedName name="caf_5">resultat!$I$153</definedName>
    <definedName name="cap_propres_1">'Infos complémentaires'!$F$48</definedName>
    <definedName name="cap_propres_2">'Infos complémentaires'!$H$48</definedName>
    <definedName name="cap_propres_3">'Infos complémentaires'!$J$48</definedName>
    <definedName name="cap_propres_4">'Infos complémentaires'!$L$48</definedName>
    <definedName name="cap_propres_5">'Infos complémentaires'!$N$48</definedName>
    <definedName name="cb_1">bilan!$E$108</definedName>
    <definedName name="cb_2">bilan!$G$108</definedName>
    <definedName name="cb_3">bilan!$I$108</definedName>
    <definedName name="cb_4">bilan!$K$108</definedName>
    <definedName name="cb_5">bilan!$M$108</definedName>
    <definedName name="cca_1">bilan!$E$105</definedName>
    <definedName name="cca_2">bilan!$G$105</definedName>
    <definedName name="cca_3">bilan!$I$105</definedName>
    <definedName name="cca_4">bilan!$K$105</definedName>
    <definedName name="cca_5">bilan!$M$105</definedName>
    <definedName name="cd_1">bilan!$E$117</definedName>
    <definedName name="cd_2">bilan!$G$117</definedName>
    <definedName name="cd_3">bilan!$I$117</definedName>
    <definedName name="cd_4">bilan!$K$117</definedName>
    <definedName name="cd_5">bilan!$M$117</definedName>
    <definedName name="cession_1">'Infos complémentaires'!$F$38</definedName>
    <definedName name="cession_2">'Infos complémentaires'!$H$38</definedName>
    <definedName name="cession_3">'Infos complémentaires'!$J$38</definedName>
    <definedName name="cession_4">'Infos complémentaires'!$L$38</definedName>
    <definedName name="cession_5">'Infos complémentaires'!$N$38</definedName>
    <definedName name="cf_1">bilan!$E$118</definedName>
    <definedName name="cf_2">bilan!$G$118</definedName>
    <definedName name="cf_3">bilan!$I$118</definedName>
    <definedName name="cf_4">bilan!$K$118</definedName>
    <definedName name="cf_5">bilan!$M$118</definedName>
    <definedName name="clt_brut_1">bilan!$E$88</definedName>
    <definedName name="clt_brut_2">bilan!$G$88</definedName>
    <definedName name="clt_brut_3">bilan!$I$88</definedName>
    <definedName name="clt_brut_4">bilan!$K$88</definedName>
    <definedName name="clt_brut_5">bilan!$M$88</definedName>
    <definedName name="clt_net_1">bilan!$E$92</definedName>
    <definedName name="clt_net_2">bilan!$G$92</definedName>
    <definedName name="clt_net_3">bilan!$I$92</definedName>
    <definedName name="clt_net_4">bilan!$K$92</definedName>
    <definedName name="clt_net_5">bilan!$M$92</definedName>
    <definedName name="cp_1">bilan!$E$26</definedName>
    <definedName name="cp_2">bilan!$G$26</definedName>
    <definedName name="cp_3">bilan!$I$26</definedName>
    <definedName name="cp_4">bilan!$K$26</definedName>
    <definedName name="cp_5">bilan!$M$26</definedName>
    <definedName name="créances_nettes_expl_1">bilan!$E$106</definedName>
    <definedName name="créances_nettes_expl_2">bilan!$G$106</definedName>
    <definedName name="créances_nettes_expl_3">bilan!$I$106</definedName>
    <definedName name="créances_nettes_expl_4">bilan!$K$106</definedName>
    <definedName name="créances_nettes_expl_5">bilan!$M$106</definedName>
    <definedName name="d">resultat!$I$8</definedName>
    <definedName name="d_1">resultat!$H$8</definedName>
    <definedName name="d_2">resultat!$G$8</definedName>
    <definedName name="d_3">resultat!$F$8</definedName>
    <definedName name="d_4">resultat!$E$8</definedName>
    <definedName name="da_1">bilan!$E$7</definedName>
    <definedName name="da_2">bilan!$G$7</definedName>
    <definedName name="da_3">bilan!$I$7</definedName>
    <definedName name="da_4">bilan!$K$7</definedName>
    <definedName name="da_5">bilan!$M$7</definedName>
    <definedName name="dbz_1">bilan!$E$102</definedName>
    <definedName name="dbz_2">bilan!$G$102</definedName>
    <definedName name="dbz_3">bilan!$I$102</definedName>
    <definedName name="dbz_4">bilan!$K$102</definedName>
    <definedName name="dbz_5">bilan!$M$102</definedName>
    <definedName name="DCT_1">bilan!$E$42</definedName>
    <definedName name="DCT_2">bilan!$G$42</definedName>
    <definedName name="DCT_3">bilan!$I$42</definedName>
    <definedName name="DCT_4">bilan!$K$42</definedName>
    <definedName name="DCT_5">bilan!$M$42</definedName>
    <definedName name="dfse_1">bilan!$E$30</definedName>
    <definedName name="dfse_2">bilan!$G$30</definedName>
    <definedName name="dfse_3">bilan!$I$30</definedName>
    <definedName name="dfse_4">bilan!$K$30</definedName>
    <definedName name="dfse_5">bilan!$M$30</definedName>
    <definedName name="dl_1">bilan!$E$8</definedName>
    <definedName name="dl_2">bilan!$G$8</definedName>
    <definedName name="dl_3">bilan!$I$8</definedName>
    <definedName name="dl_4">bilan!$K$8</definedName>
    <definedName name="dl_5">bilan!$M$8</definedName>
    <definedName name="do_1">bilan!$E$44</definedName>
    <definedName name="do_2">bilan!$G$44</definedName>
    <definedName name="do_3">bilan!$I$44</definedName>
    <definedName name="do_4">bilan!$K$44</definedName>
    <definedName name="do_5">bilan!$M$44</definedName>
    <definedName name="du_1">resultat!$E$9</definedName>
    <definedName name="du_2">resultat!$F$9</definedName>
    <definedName name="du_3">resultat!$G$9</definedName>
    <definedName name="du_4">resultat!$H$9</definedName>
    <definedName name="du_5">resultat!$I$9</definedName>
    <definedName name="du_6">resultat!$K$9</definedName>
    <definedName name="dw_1">bilan!$E$31</definedName>
    <definedName name="dw_2">bilan!$G$31</definedName>
    <definedName name="dw_3">bilan!$I$31</definedName>
    <definedName name="dw_4">bilan!$K$31</definedName>
    <definedName name="dw_5">bilan!$M$31</definedName>
    <definedName name="dx_1">bilan!$E$27</definedName>
    <definedName name="dx_2">bilan!$G$27</definedName>
    <definedName name="dx_3">bilan!$I$27</definedName>
    <definedName name="dx_4">bilan!$K$27</definedName>
    <definedName name="dx_5">bilan!$M$27</definedName>
    <definedName name="dy_1">bilan!$E$28</definedName>
    <definedName name="dy_2">bilan!$G$28</definedName>
    <definedName name="dy_3">bilan!$I$28</definedName>
    <definedName name="dy_4">bilan!$K$28</definedName>
    <definedName name="dy_5">bilan!$M$28</definedName>
    <definedName name="dz_1">bilan!$E$37</definedName>
    <definedName name="dz_2">bilan!$G$37</definedName>
    <definedName name="dz_3">bilan!$I$37</definedName>
    <definedName name="dz_4">bilan!$K$37</definedName>
    <definedName name="dz_5">bilan!$M$37</definedName>
    <definedName name="e_1">'Infos complémentaires'!$F$125</definedName>
    <definedName name="e_2">'Infos complémentaires'!$H$125</definedName>
    <definedName name="e_3">'Infos complémentaires'!$J$125</definedName>
    <definedName name="e_4">'Infos complémentaires'!$L$125</definedName>
    <definedName name="e_5">'Infos complémentaires'!$N$125</definedName>
    <definedName name="ea_1">bilan!$E$40</definedName>
    <definedName name="ea_2">bilan!$G$40</definedName>
    <definedName name="ea_3">bilan!$I$40</definedName>
    <definedName name="ea_4">bilan!$K$40</definedName>
    <definedName name="ea_5">bilan!$M$40</definedName>
    <definedName name="eaa_1">bilan!$E$32</definedName>
    <definedName name="eaa_2">bilan!$G$32</definedName>
    <definedName name="eaa_3">bilan!$I$32</definedName>
    <definedName name="eaa_4">bilan!$K$32</definedName>
    <definedName name="eaa_5">bilan!$M$32</definedName>
    <definedName name="ebe_1">resultat!$E$104</definedName>
    <definedName name="ebe_2">resultat!$F$104</definedName>
    <definedName name="ebe_3">resultat!$G$104</definedName>
    <definedName name="ebe_4">resultat!$H$104</definedName>
    <definedName name="ebe_5">resultat!$I$104</definedName>
    <definedName name="eh_1">bilan!$E$24</definedName>
    <definedName name="eh_2">bilan!$G$24</definedName>
    <definedName name="eh_3">bilan!$I$24</definedName>
    <definedName name="eh_4">bilan!$K$24</definedName>
    <definedName name="eh_5">bilan!$M$24</definedName>
    <definedName name="emp_1">bilan!$E$25</definedName>
    <definedName name="emp_2">bilan!$G$25</definedName>
    <definedName name="emp_3">bilan!$I$25</definedName>
    <definedName name="emp_4">bilan!$K$25</definedName>
    <definedName name="emp_5">bilan!$M$25</definedName>
    <definedName name="emp_6">bilan!$P$25</definedName>
    <definedName name="encoursCB_1">resultat!$E$201</definedName>
    <definedName name="encoursCB_2">resultat!$F$201</definedName>
    <definedName name="encoursCB_3">resultat!$G$201</definedName>
    <definedName name="encoursCB_4">resultat!$H$201</definedName>
    <definedName name="encoursCB_5">resultat!$I$201</definedName>
    <definedName name="export_1">resultat!$E$38</definedName>
    <definedName name="export_2">resultat!$F$38</definedName>
    <definedName name="export_3">resultat!$G$38</definedName>
    <definedName name="export_4">resultat!$H$38</definedName>
    <definedName name="export_5">resultat!$I$38</definedName>
    <definedName name="factor_1A">bilan!$E$99</definedName>
    <definedName name="factor_1B">bilan!$E$119</definedName>
    <definedName name="factor_1C">bilan!$E$122</definedName>
    <definedName name="factor_2A">bilan!$G$99</definedName>
    <definedName name="factor_2B">bilan!$G$119</definedName>
    <definedName name="factor_2C">bilan!$G$122</definedName>
    <definedName name="factor_3A">bilan!$I$99</definedName>
    <definedName name="factor_3B">bilan!$I$119</definedName>
    <definedName name="factor_3C">bilan!$I$122</definedName>
    <definedName name="factor_4A">bilan!$K$99</definedName>
    <definedName name="factor_4B">bilan!$K$119</definedName>
    <definedName name="factor_4C">bilan!$K$122</definedName>
    <definedName name="factor_5A">bilan!$M$99</definedName>
    <definedName name="factor_5B">bilan!$M$119</definedName>
    <definedName name="factor_5C">bilan!$M$122</definedName>
    <definedName name="fc_1">resultat!$E$14</definedName>
    <definedName name="fc_2">resultat!$F$14</definedName>
    <definedName name="fc_3">resultat!$G$14</definedName>
    <definedName name="fc_4">resultat!$H$14</definedName>
    <definedName name="fc_5">resultat!$I$14</definedName>
    <definedName name="ff_1">resultat!$E$19</definedName>
    <definedName name="ff_2">resultat!$F$19</definedName>
    <definedName name="ff_3">resultat!$G$19</definedName>
    <definedName name="ff_4">resultat!$H$19</definedName>
    <definedName name="ff_5">resultat!$I$19</definedName>
    <definedName name="fi_1">resultat!$E$24</definedName>
    <definedName name="fi_2">resultat!$F$24</definedName>
    <definedName name="fi_3">resultat!$G$24</definedName>
    <definedName name="fi_4">resultat!$H$24</definedName>
    <definedName name="fi_5">resultat!$I$24</definedName>
    <definedName name="fin_1">'Infos complémentaires'!$F$87</definedName>
    <definedName name="fin_2">'Infos complémentaires'!$H$87</definedName>
    <definedName name="fin_3">'Infos complémentaires'!$J$87</definedName>
    <definedName name="fin_4">'Infos complémentaires'!$L$87</definedName>
    <definedName name="fin_5">'Infos complémentaires'!$N$87</definedName>
    <definedName name="fm_1">resultat!$E$43</definedName>
    <definedName name="fm_2">resultat!$F$43</definedName>
    <definedName name="fm_3">resultat!$G$43</definedName>
    <definedName name="fm_4">resultat!$H$43</definedName>
    <definedName name="fm_5">resultat!$I$43</definedName>
    <definedName name="fn_1">resultat!$E$44</definedName>
    <definedName name="fn_2">resultat!$F$44</definedName>
    <definedName name="fn_3">resultat!$G$44</definedName>
    <definedName name="fn_4">resultat!$H$44</definedName>
    <definedName name="fn_5">resultat!$I$44</definedName>
    <definedName name="forfait_1">resultat!$E$149</definedName>
    <definedName name="forfait_2">resultat!$F$149</definedName>
    <definedName name="forfait_3">resultat!$G$149</definedName>
    <definedName name="forfait_4">resultat!$H$149</definedName>
    <definedName name="forfait_5">resultat!$I$149</definedName>
    <definedName name="FP_1">'Infos complémentaires'!$F$56</definedName>
    <definedName name="FP_2">'Infos complémentaires'!$H$56</definedName>
    <definedName name="FP_3">'Infos complémentaires'!$J$56</definedName>
    <definedName name="FP_4">'Infos complémentaires'!$L$56</definedName>
    <definedName name="FP_5">'Infos complémentaires'!$N$56</definedName>
    <definedName name="fr_1">'Structure financière'!$D$15</definedName>
    <definedName name="fr_2">'Structure financière'!$F$15</definedName>
    <definedName name="fr_3">'Structure financière'!$H$15</definedName>
    <definedName name="fr_4">'Structure financière'!$J$15</definedName>
    <definedName name="fr_5">'Structure financière'!$L$15</definedName>
    <definedName name="fs_1">resultat!$E$50</definedName>
    <definedName name="fs_2">resultat!$F$50</definedName>
    <definedName name="fs_3">resultat!$G$50</definedName>
    <definedName name="fs_4">resultat!$H$50</definedName>
    <definedName name="fs_5">resultat!$I$50</definedName>
    <definedName name="ft_1">resultat!$E$51</definedName>
    <definedName name="ft_2">resultat!$F$51</definedName>
    <definedName name="ft_3">resultat!$G$51</definedName>
    <definedName name="ft_4">resultat!$H$51</definedName>
    <definedName name="ft_5">resultat!$I$51</definedName>
    <definedName name="fu_1">resultat!$E$58</definedName>
    <definedName name="fu_2">resultat!$F$58</definedName>
    <definedName name="fu_3">resultat!$G$58</definedName>
    <definedName name="fu_4">resultat!$H$58</definedName>
    <definedName name="fu_5">resultat!$I$58</definedName>
    <definedName name="fv_1">resultat!$E$59</definedName>
    <definedName name="fv_2">resultat!$F$59</definedName>
    <definedName name="fv_3">resultat!$G$59</definedName>
    <definedName name="fv_4">resultat!$H$59</definedName>
    <definedName name="fv_5">resultat!$I$59</definedName>
    <definedName name="fw_1">resultat!$E$70</definedName>
    <definedName name="fw_2">resultat!$F$70</definedName>
    <definedName name="fw_3">resultat!$G$70</definedName>
    <definedName name="fw_4">resultat!$H$70</definedName>
    <definedName name="fw_5">resultat!$I$70</definedName>
    <definedName name="fy_1">resultat!$E$89</definedName>
    <definedName name="fy_2">resultat!$F$89</definedName>
    <definedName name="fy_3">resultat!$G$89</definedName>
    <definedName name="fy_4">resultat!$H$89</definedName>
    <definedName name="fy_5">resultat!$I$89</definedName>
    <definedName name="ga_1">resultat!$E$110</definedName>
    <definedName name="ga_2">resultat!$F$110</definedName>
    <definedName name="ga_3">resultat!$G$110</definedName>
    <definedName name="ga_4">resultat!$H$110</definedName>
    <definedName name="ga_5">resultat!$I$110</definedName>
    <definedName name="gr_1">resultat!$E$124</definedName>
    <definedName name="gr_2">resultat!$F$124</definedName>
    <definedName name="gr_3">resultat!$G$124</definedName>
    <definedName name="gr_4">resultat!$H$124</definedName>
    <definedName name="gr_5">resultat!$I$124</definedName>
    <definedName name="hi_1">resultat!$E$144</definedName>
    <definedName name="hi_2">resultat!$F$144</definedName>
    <definedName name="hi_3">resultat!$G$144</definedName>
    <definedName name="hi_4">resultat!$H$144</definedName>
    <definedName name="hi_5">resultat!$I$144</definedName>
    <definedName name="hj_1">resultat!$E$145</definedName>
    <definedName name="hj_2">resultat!$F$145</definedName>
    <definedName name="hj_3">resultat!$G$145</definedName>
    <definedName name="hj_4">resultat!$H$145</definedName>
    <definedName name="hj_5">resultat!$I$145</definedName>
    <definedName name="hk_1">resultat!$E$150</definedName>
    <definedName name="hk_2">resultat!$F$150</definedName>
    <definedName name="hk_3">resultat!$G$150</definedName>
    <definedName name="hk_4">resultat!$H$150</definedName>
    <definedName name="hk_5">resultat!$I$150</definedName>
    <definedName name="hp_1">resultat!$E$74</definedName>
    <definedName name="hp_2">resultat!$F$74</definedName>
    <definedName name="hp_3">resultat!$G$74</definedName>
    <definedName name="hp_4">resultat!$H$74</definedName>
    <definedName name="hp_5">resultat!$I$74</definedName>
    <definedName name="hpc_1">resultat!$E$75</definedName>
    <definedName name="hpc_2">resultat!$F$75</definedName>
    <definedName name="hpc_3">resultat!$G$75</definedName>
    <definedName name="hpc_4">resultat!$H$75</definedName>
    <definedName name="hpc_5">resultat!$I$75</definedName>
    <definedName name="hq_1">resultat!$E$76</definedName>
    <definedName name="hq_2">resultat!$F$76</definedName>
    <definedName name="hq_3">resultat!$G$76</definedName>
    <definedName name="hq_4">resultat!$H$76</definedName>
    <definedName name="hq_5">resultat!$I$76</definedName>
    <definedName name="I_1">resultat!$E$126</definedName>
    <definedName name="I_2">resultat!$F$126</definedName>
    <definedName name="I_3">resultat!$G$126</definedName>
    <definedName name="I_4">resultat!$H$126</definedName>
    <definedName name="I_5">resultat!$I$126</definedName>
    <definedName name="IAP_1">resultat!$E$148</definedName>
    <definedName name="IAP_2">resultat!$F$148</definedName>
    <definedName name="IAP_3">resultat!$G$148</definedName>
    <definedName name="IAP_4">resultat!$H$148</definedName>
    <definedName name="IAP_5">resultat!$I$148</definedName>
    <definedName name="icb_1">resultat!$E$125</definedName>
    <definedName name="icb_2">resultat!$F$125</definedName>
    <definedName name="icb_3">resultat!$G$125</definedName>
    <definedName name="icb_4">resultat!$H$125</definedName>
    <definedName name="icb_5">resultat!$I$125</definedName>
    <definedName name="immo_1">'Infos complémentaires'!$F$31</definedName>
    <definedName name="immo_2">'Infos complémentaires'!$H$31</definedName>
    <definedName name="immo_3">'Infos complémentaires'!$J$31</definedName>
    <definedName name="immo_4">'Infos complémentaires'!$L$31</definedName>
    <definedName name="immo_5">'Infos complémentaires'!$N$31</definedName>
    <definedName name="immo_fi_1">'Infos complémentaires'!$F$29</definedName>
    <definedName name="immo_fi_2">'Infos complémentaires'!$H$29</definedName>
    <definedName name="immo_fi_3">'Infos complémentaires'!$J$29</definedName>
    <definedName name="immo_fi_4">'Infos complémentaires'!$L$29</definedName>
    <definedName name="immo_fi_5">'Infos complémentaires'!$N$29</definedName>
    <definedName name="_xlnm.Print_Titles" localSheetId="1">bilan!$2:$6</definedName>
    <definedName name="_xlnm.Print_Titles" localSheetId="5">Ratios!$2:$4</definedName>
    <definedName name="_xlnm.Print_Titles" localSheetId="0">resultat!$2:$12</definedName>
    <definedName name="interim_1">'Infos complémentaires'!$F$124</definedName>
    <definedName name="interim_2">'Infos complémentaires'!$H$124</definedName>
    <definedName name="interim_3">'Infos complémentaires'!$J$124</definedName>
    <definedName name="interim_4">'Infos complémentaires'!$L$124</definedName>
    <definedName name="interim_5">'Infos complémentaires'!$N$124</definedName>
    <definedName name="is_1">bilan!$E$38</definedName>
    <definedName name="is_2">bilan!$G$38</definedName>
    <definedName name="is_3">bilan!$I$38</definedName>
    <definedName name="is_4">bilan!$K$38</definedName>
    <definedName name="is_5">bilan!$M$38</definedName>
    <definedName name="lw_1">bilan!$E$45</definedName>
    <definedName name="lw_2">bilan!$G$45</definedName>
    <definedName name="lw_3">bilan!$I$45</definedName>
    <definedName name="lw_4">bilan!$K$45</definedName>
    <definedName name="lw_5">bilan!$M$45</definedName>
    <definedName name="mat_1">resultat!$E$65</definedName>
    <definedName name="mat_2">resultat!$F$65</definedName>
    <definedName name="mat_3">resultat!$G$65</definedName>
    <definedName name="mat_4">resultat!$H$65</definedName>
    <definedName name="mat_5">resultat!$I$65</definedName>
    <definedName name="mb_1">resultat!$E$66</definedName>
    <definedName name="mb_2">resultat!$F$66</definedName>
    <definedName name="mb_3">resultat!$G$66</definedName>
    <definedName name="mb_4">resultat!$H$66</definedName>
    <definedName name="mb_5">resultat!$I$66</definedName>
    <definedName name="mc_1">resultat!$E$56</definedName>
    <definedName name="mc_2">resultat!$F$56</definedName>
    <definedName name="mc_3">resultat!$G$56</definedName>
    <definedName name="mc_4">resultat!$H$56</definedName>
    <definedName name="mc_5">resultat!$I$56</definedName>
    <definedName name="mse_1">resultat!$E$55</definedName>
    <definedName name="mse_2">resultat!$F$55</definedName>
    <definedName name="mse_3">resultat!$G$55</definedName>
    <definedName name="mse_4">resultat!$H$55</definedName>
    <definedName name="mse_5">resultat!$I$55</definedName>
    <definedName name="nh_1">bilan!$E$46</definedName>
    <definedName name="nh_2">bilan!$G$46</definedName>
    <definedName name="nh_3">bilan!$I$46</definedName>
    <definedName name="nh_4">bilan!$K$46</definedName>
    <definedName name="nh_5">bilan!$M$46</definedName>
    <definedName name="nk_1">bilan!$E$47</definedName>
    <definedName name="nk_2">bilan!$G$47</definedName>
    <definedName name="nk_3">bilan!$I$47</definedName>
    <definedName name="nk_4">bilan!$K$47</definedName>
    <definedName name="nk_5">bilan!$M$47</definedName>
    <definedName name="nv_1">bilan!$E$17</definedName>
    <definedName name="nv_2">bilan!$G$17</definedName>
    <definedName name="nv_3">bilan!$I$17</definedName>
    <definedName name="nv_4">bilan!$K$17</definedName>
    <definedName name="nv_5">bilan!$M$17</definedName>
    <definedName name="p_1">resultat!$E$98</definedName>
    <definedName name="p_2">resultat!$F$98</definedName>
    <definedName name="p_3">resultat!$G$98</definedName>
    <definedName name="p_4">resultat!$H$98</definedName>
    <definedName name="p_5">resultat!$I$98</definedName>
    <definedName name="pca_1">bilan!$E$35</definedName>
    <definedName name="pca_2">bilan!$G$35</definedName>
    <definedName name="pca_3">bilan!$I$35</definedName>
    <definedName name="pca_4">bilan!$K$35</definedName>
    <definedName name="pca_5">bilan!$M$35</definedName>
    <definedName name="ph_1">bilan!$E$52</definedName>
    <definedName name="ph_2">bilan!$G$52</definedName>
    <definedName name="ph_3">bilan!$I$52</definedName>
    <definedName name="ph_4">bilan!$K$52</definedName>
    <definedName name="ph_5">bilan!$M$52</definedName>
    <definedName name="pm_1">resultat!$E$168</definedName>
    <definedName name="pm_2">resultat!$F$168</definedName>
    <definedName name="pm_3">resultat!$G$168</definedName>
    <definedName name="pm_4">resultat!$H$168</definedName>
    <definedName name="pm_5">resultat!$I$168</definedName>
    <definedName name="pr_1">resultat!$E$45</definedName>
    <definedName name="pr_2">resultat!$F$45</definedName>
    <definedName name="pr_3">resultat!$G$45</definedName>
    <definedName name="pr_4">resultat!$H$45</definedName>
    <definedName name="pr_5">resultat!$I$45</definedName>
    <definedName name="pr_6">resultat!$K$45</definedName>
    <definedName name="qx_1">bilan!$E$54</definedName>
    <definedName name="qx_2">bilan!$G$54</definedName>
    <definedName name="qx_3">bilan!$I$54</definedName>
    <definedName name="qx_4">bilan!$K$54</definedName>
    <definedName name="qx_5">bilan!$M$54</definedName>
    <definedName name="r_1">resultat!$E$151</definedName>
    <definedName name="r_2">resultat!$F$151</definedName>
    <definedName name="r_3">resultat!$G$151</definedName>
    <definedName name="r_4">resultat!$H$151</definedName>
    <definedName name="r_5">resultat!$I$151</definedName>
    <definedName name="ratio_1">Feuil3!$E:$E</definedName>
    <definedName name="ratio_2">Feuil3!$H:$H</definedName>
    <definedName name="ratio_3">Feuil3!$K:$K</definedName>
    <definedName name="ratio_4">Feuil3!$N:$N</definedName>
    <definedName name="rc_1">resultat!$E$132</definedName>
    <definedName name="rc_2">resultat!$F$132</definedName>
    <definedName name="rc_3">resultat!$G$132</definedName>
    <definedName name="rc_4">resultat!$H$132</definedName>
    <definedName name="rc_5">resultat!$I$132</definedName>
    <definedName name="re_1">resultat!$E$113</definedName>
    <definedName name="re_2">resultat!$F$113</definedName>
    <definedName name="re_3">resultat!$G$113</definedName>
    <definedName name="re_4">resultat!$H$113</definedName>
    <definedName name="re_5">resultat!$I$113</definedName>
    <definedName name="rec_4">resultat!$H$132</definedName>
    <definedName name="rp_1">bilan!$E$18</definedName>
    <definedName name="rp_2">bilan!$G$18</definedName>
    <definedName name="rp_3">bilan!$I$18</definedName>
    <definedName name="rp_4">bilan!$K$18</definedName>
    <definedName name="rp_5">bilan!$M$18</definedName>
    <definedName name="societe">resultat!$B$2</definedName>
    <definedName name="st_1">bilan!$E$68</definedName>
    <definedName name="st_2">bilan!$G$68</definedName>
    <definedName name="st_3">bilan!$I$68</definedName>
    <definedName name="st_4">bilan!$K$68</definedName>
    <definedName name="st_5">bilan!$M$68</definedName>
    <definedName name="stn_1">bilan!$E$82</definedName>
    <definedName name="stn_2">bilan!$G$82</definedName>
    <definedName name="stn_3">bilan!$I$82</definedName>
    <definedName name="stn_4">bilan!$K$82</definedName>
    <definedName name="stn_5">bilan!$M$82</definedName>
    <definedName name="taux_IS_théorique">Levier!$D$20</definedName>
    <definedName name="tr_1">'Structure financière'!$D$31</definedName>
    <definedName name="tr_2">'Structure financière'!$F$31</definedName>
    <definedName name="tr_3">'Structure financière'!$H$31</definedName>
    <definedName name="tr_4">'Structure financière'!$J$31</definedName>
    <definedName name="tr_5">'Structure financière'!$L$31</definedName>
    <definedName name="tvac_1">'Infos complémentaires'!$F$117</definedName>
    <definedName name="tvac_1b">'Infos complémentaires'!$F$118</definedName>
    <definedName name="tvac_2">'Infos complémentaires'!$H$117</definedName>
    <definedName name="tvac_2b">'Infos complémentaires'!$H$118</definedName>
    <definedName name="tvac_3">'Infos complémentaires'!$J$117</definedName>
    <definedName name="tvac_3b">'Infos complémentaires'!$J$118</definedName>
    <definedName name="tvac_4">'Infos complémentaires'!$L$117</definedName>
    <definedName name="tvac_4b">'Infos complémentaires'!$L$118</definedName>
    <definedName name="tvac_5">'Infos complémentaires'!$N$117</definedName>
    <definedName name="tvac_5b">'Infos complémentaires'!$N$118</definedName>
    <definedName name="tvad_1">'Infos complémentaires'!$F$119</definedName>
    <definedName name="tvad_1b">'Infos complémentaires'!$F$120</definedName>
    <definedName name="tvad_2">'Infos complémentaires'!$H$119</definedName>
    <definedName name="tvad_2b">'Infos complémentaires'!$H$120</definedName>
    <definedName name="tvad_3">'Infos complémentaires'!$J$119</definedName>
    <definedName name="tvad_3b">'Infos complémentaires'!$J$120</definedName>
    <definedName name="tvad_4">'Infos complémentaires'!$L$119</definedName>
    <definedName name="tvad_4b">'Infos complémentaires'!$L$120</definedName>
    <definedName name="tvad_5">'Infos complémentaires'!$N$119</definedName>
    <definedName name="tvad_5b">'Infos complémentaires'!$N$120</definedName>
    <definedName name="u">resultat!$C$4</definedName>
    <definedName name="va_1">resultat!$E$82</definedName>
    <definedName name="va_2">resultat!$F$82</definedName>
    <definedName name="va_3">resultat!$G$82</definedName>
    <definedName name="va_4">resultat!$H$82</definedName>
    <definedName name="va_5">resultat!$I$82</definedName>
    <definedName name="vc_1">bilan!$E$110</definedName>
    <definedName name="vc_2">bilan!$G$110</definedName>
    <definedName name="vc_3">bilan!$I$110</definedName>
    <definedName name="vc_4">bilan!$K$110</definedName>
    <definedName name="vc_5">bilan!$M$110</definedName>
    <definedName name="vi_1">bilan!$E$39</definedName>
    <definedName name="vi_2">bilan!$G$39</definedName>
    <definedName name="vi_3">bilan!$I$39</definedName>
    <definedName name="vi_4">bilan!$K$39</definedName>
    <definedName name="vi_5">bilan!$M$39</definedName>
    <definedName name="vk_1">'Infos complémentaires'!$F$61</definedName>
    <definedName name="vk_2">'Infos complémentaires'!$H$61</definedName>
    <definedName name="vk_3">'Infos complémentaires'!$J$61</definedName>
    <definedName name="vk_4">'Infos complémentaires'!$L$61</definedName>
    <definedName name="vk_5">'Infos complémentaires'!$N$61</definedName>
    <definedName name="vm_1">bilan!$E$109</definedName>
    <definedName name="vm_2">bilan!$G$109</definedName>
    <definedName name="vm_3">bilan!$I$109</definedName>
    <definedName name="vm_4">bilan!$K$109</definedName>
    <definedName name="vm_5">bilan!$M$109</definedName>
    <definedName name="vtr_1">'Structure financière'!$D$34</definedName>
    <definedName name="vtr_2">'Structure financière'!$F$34</definedName>
    <definedName name="vtr_3">'Structure financière'!$H$34</definedName>
    <definedName name="vtr_4">'Structure financière'!$J$34</definedName>
    <definedName name="x_1">bilan!$E$56</definedName>
    <definedName name="x_2">bilan!$G$56</definedName>
    <definedName name="x_3">bilan!$I$56</definedName>
    <definedName name="x_4">bilan!$K$56</definedName>
    <definedName name="x_5">bilan!$M$56</definedName>
    <definedName name="yp_1">'Infos complémentaires'!$F$121</definedName>
    <definedName name="yp_2">'Infos complémentaires'!$H$121</definedName>
    <definedName name="yp_3">'Infos complémentaires'!$J$121</definedName>
    <definedName name="yp_4">'Infos complémentaires'!$L$121</definedName>
    <definedName name="yp_5">'Infos complémentaires'!$N$121</definedName>
    <definedName name="ys_1">bilan!$E$84</definedName>
    <definedName name="ys_2">bilan!$G$84</definedName>
    <definedName name="ys_3">bilan!$I$84</definedName>
    <definedName name="ys_4">bilan!$K$84</definedName>
    <definedName name="ys_5">bilan!$M$84</definedName>
    <definedName name="yu_1">resultat!$E$77</definedName>
    <definedName name="yu_2">resultat!$F$77</definedName>
    <definedName name="yu_3">resultat!$G$77</definedName>
    <definedName name="yu_4">resultat!$H$77</definedName>
    <definedName name="yu_5">resultat!$I$77</definedName>
    <definedName name="ze_1">'Infos complémentaires'!$F$115</definedName>
    <definedName name="ze_2">'Infos complémentaires'!$H$115</definedName>
    <definedName name="ze_3">'Infos complémentaires'!$J$115</definedName>
    <definedName name="ze_4">'Infos complémentaires'!$L$115</definedName>
    <definedName name="ze_5">'Infos complémentaires'!$N$115</definedName>
    <definedName name="_xlnm.Print_Area" localSheetId="1">bilan!$B$2:$N$126</definedName>
    <definedName name="_xlnm.Print_Area" localSheetId="10">Feuil3!$B$1:$O$25</definedName>
    <definedName name="_xlnm.Print_Area" localSheetId="6">Graphiques!$B$2:$P$126</definedName>
    <definedName name="_xlnm.Print_Area" localSheetId="2">'Infos complémentaires'!$B$2:$N$125</definedName>
    <definedName name="_xlnm.Print_Area" localSheetId="5">Ratios!$B$2:$N$250</definedName>
    <definedName name="_xlnm.Print_Area" localSheetId="0">resultat!$B$2:$I$155</definedName>
    <definedName name="_xlnm.Print_Area" localSheetId="8">Score!$B$2:$Z$16</definedName>
    <definedName name="_xlnm.Print_Area" localSheetId="3">'Structure financière'!$B$2:$M$60</definedName>
    <definedName name="_xlnm.Print_Area" localSheetId="4">'tableau de financement'!$B$2:$Q$66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0" i="19" l="1"/>
  <c r="D91" i="20" l="1"/>
  <c r="D86" i="20"/>
  <c r="D83" i="20"/>
  <c r="D78" i="20"/>
  <c r="D73" i="20"/>
  <c r="D62" i="20"/>
  <c r="D49" i="20"/>
  <c r="D44" i="20"/>
  <c r="D39" i="20"/>
  <c r="D6" i="20"/>
  <c r="D30" i="20"/>
  <c r="X5" i="2" l="1"/>
  <c r="V5" i="2"/>
  <c r="T5" i="2"/>
  <c r="R5" i="2"/>
  <c r="P5" i="2"/>
  <c r="D4" i="1"/>
  <c r="D79" i="1" l="1"/>
  <c r="B3" i="1" l="1"/>
  <c r="L122" i="21" l="1"/>
  <c r="K5" i="27" l="1"/>
  <c r="N108" i="21" l="1"/>
  <c r="L108" i="21"/>
  <c r="J108" i="21"/>
  <c r="H108" i="21"/>
  <c r="F108" i="21"/>
  <c r="N107" i="21"/>
  <c r="L107" i="21"/>
  <c r="J107" i="21"/>
  <c r="H107" i="21"/>
  <c r="F107" i="21"/>
  <c r="N106" i="21"/>
  <c r="L106" i="21"/>
  <c r="J106" i="21"/>
  <c r="H106" i="21"/>
  <c r="F106" i="21"/>
  <c r="E29" i="1"/>
  <c r="X86" i="2"/>
  <c r="V86" i="2"/>
  <c r="T86" i="2"/>
  <c r="R86" i="2"/>
  <c r="P86" i="2"/>
  <c r="M86" i="2"/>
  <c r="K86" i="2"/>
  <c r="I86" i="2"/>
  <c r="G86" i="2"/>
  <c r="E86" i="2"/>
  <c r="P123" i="2"/>
  <c r="P121" i="2"/>
  <c r="P120" i="2"/>
  <c r="M123" i="2"/>
  <c r="K123" i="2"/>
  <c r="I123" i="2"/>
  <c r="G123" i="2"/>
  <c r="E123" i="2"/>
  <c r="M121" i="2"/>
  <c r="K121" i="2"/>
  <c r="I121" i="2"/>
  <c r="G121" i="2"/>
  <c r="E121" i="2"/>
  <c r="M120" i="2"/>
  <c r="K120" i="2"/>
  <c r="I120" i="2"/>
  <c r="G120" i="2"/>
  <c r="E120" i="2"/>
  <c r="D15" i="23" l="1"/>
  <c r="D11" i="23"/>
  <c r="P124" i="2"/>
  <c r="D10" i="26"/>
  <c r="N105" i="21"/>
  <c r="H105" i="21"/>
  <c r="F105" i="21"/>
  <c r="J105" i="21"/>
  <c r="L105" i="21"/>
  <c r="N190" i="1"/>
  <c r="M190" i="1"/>
  <c r="L190" i="1"/>
  <c r="K190" i="1"/>
  <c r="D107" i="1" l="1"/>
  <c r="O180" i="1" l="1"/>
  <c r="N180" i="1"/>
  <c r="M180" i="1"/>
  <c r="L180" i="1"/>
  <c r="K180" i="1"/>
  <c r="I180" i="1"/>
  <c r="H180" i="1"/>
  <c r="G180" i="1"/>
  <c r="F180" i="1"/>
  <c r="E180" i="1"/>
  <c r="H190" i="1"/>
  <c r="G190" i="1"/>
  <c r="F190" i="1"/>
  <c r="E190" i="1"/>
  <c r="I190" i="1"/>
  <c r="O190" i="1"/>
  <c r="E59" i="2" l="1"/>
  <c r="X49" i="2"/>
  <c r="V49" i="2"/>
  <c r="T49" i="2"/>
  <c r="R49" i="2"/>
  <c r="P49" i="2"/>
  <c r="M49" i="2"/>
  <c r="M100" i="2" l="1"/>
  <c r="M104" i="2" s="1"/>
  <c r="K100" i="2"/>
  <c r="K104" i="2" s="1"/>
  <c r="I100" i="2"/>
  <c r="I104" i="2" s="1"/>
  <c r="G100" i="2"/>
  <c r="G104" i="2" s="1"/>
  <c r="E100" i="2"/>
  <c r="E104" i="2" s="1"/>
  <c r="M88" i="2"/>
  <c r="M92" i="2" s="1"/>
  <c r="K88" i="2"/>
  <c r="K92" i="2" s="1"/>
  <c r="I88" i="2"/>
  <c r="I89" i="2" s="1"/>
  <c r="E88" i="2"/>
  <c r="E92" i="2" s="1"/>
  <c r="G88" i="2"/>
  <c r="G89" i="2" s="1"/>
  <c r="M68" i="2"/>
  <c r="K68" i="2"/>
  <c r="I68" i="2"/>
  <c r="I69" i="2" s="1"/>
  <c r="G68" i="2"/>
  <c r="G69" i="2" s="1"/>
  <c r="E68" i="2"/>
  <c r="E69" i="2" s="1"/>
  <c r="K49" i="2"/>
  <c r="I49" i="2"/>
  <c r="G49" i="2"/>
  <c r="E49" i="2"/>
  <c r="M34" i="2"/>
  <c r="K34" i="2"/>
  <c r="I34" i="2"/>
  <c r="G34" i="2"/>
  <c r="E34" i="2"/>
  <c r="M30" i="2"/>
  <c r="K30" i="2"/>
  <c r="I30" i="2"/>
  <c r="I36" i="2" s="1"/>
  <c r="G30" i="2"/>
  <c r="G36" i="2" s="1"/>
  <c r="E30" i="2"/>
  <c r="M23" i="2"/>
  <c r="M25" i="2" s="1"/>
  <c r="K23" i="2"/>
  <c r="K25" i="2" s="1"/>
  <c r="I23" i="2"/>
  <c r="I25" i="2" s="1"/>
  <c r="G23" i="2"/>
  <c r="G25" i="2" s="1"/>
  <c r="E23" i="2"/>
  <c r="E25" i="2" s="1"/>
  <c r="F109" i="20" s="1"/>
  <c r="E36" i="2" l="1"/>
  <c r="M36" i="2"/>
  <c r="K36" i="2"/>
  <c r="G92" i="2"/>
  <c r="G93" i="2" s="1"/>
  <c r="I92" i="2"/>
  <c r="I93" i="2" s="1"/>
  <c r="E93" i="2"/>
  <c r="E89" i="2"/>
  <c r="E106" i="2"/>
  <c r="K106" i="2"/>
  <c r="E38" i="1"/>
  <c r="F118" i="21" s="1"/>
  <c r="M106" i="2"/>
  <c r="L8" i="1"/>
  <c r="G106" i="2" l="1"/>
  <c r="I106" i="2"/>
  <c r="B2" i="2"/>
  <c r="O74" i="21" l="1"/>
  <c r="O73" i="21"/>
  <c r="M74" i="21"/>
  <c r="M73" i="21"/>
  <c r="K74" i="21"/>
  <c r="K73" i="21"/>
  <c r="I74" i="21"/>
  <c r="I73" i="21"/>
  <c r="G74" i="21"/>
  <c r="G73" i="21"/>
  <c r="O69" i="21"/>
  <c r="O68" i="21"/>
  <c r="M69" i="21"/>
  <c r="M68" i="21"/>
  <c r="K69" i="21"/>
  <c r="K68" i="21"/>
  <c r="I69" i="21"/>
  <c r="I68" i="21"/>
  <c r="G69" i="21"/>
  <c r="G68" i="21"/>
  <c r="M84" i="21"/>
  <c r="M83" i="21"/>
  <c r="K84" i="21"/>
  <c r="K83" i="21"/>
  <c r="I84" i="21"/>
  <c r="I83" i="21"/>
  <c r="G84" i="21"/>
  <c r="G83" i="21"/>
  <c r="O79" i="21"/>
  <c r="O78" i="21"/>
  <c r="M79" i="21"/>
  <c r="M78" i="21"/>
  <c r="K79" i="21"/>
  <c r="K78" i="21"/>
  <c r="I79" i="21"/>
  <c r="I78" i="21"/>
  <c r="G79" i="21"/>
  <c r="G78" i="21"/>
  <c r="F67" i="21"/>
  <c r="G67" i="21" s="1"/>
  <c r="N88" i="21" l="1"/>
  <c r="N87" i="21"/>
  <c r="L88" i="21"/>
  <c r="L87" i="21"/>
  <c r="J88" i="21"/>
  <c r="J87" i="21"/>
  <c r="F88" i="21"/>
  <c r="F87" i="21"/>
  <c r="H88" i="21"/>
  <c r="H87" i="21"/>
  <c r="O198" i="1"/>
  <c r="N198" i="1"/>
  <c r="M198" i="1"/>
  <c r="L198" i="1"/>
  <c r="K198" i="1"/>
  <c r="I198" i="1"/>
  <c r="H198" i="1"/>
  <c r="G198" i="1"/>
  <c r="F198" i="1"/>
  <c r="E198" i="1"/>
  <c r="E163" i="1" l="1"/>
  <c r="E112" i="1" l="1"/>
  <c r="F112" i="1"/>
  <c r="G112" i="1"/>
  <c r="H112" i="1"/>
  <c r="I112" i="1"/>
  <c r="K112" i="1"/>
  <c r="L112" i="1"/>
  <c r="M112" i="1"/>
  <c r="N112" i="1"/>
  <c r="O112" i="1"/>
  <c r="D38" i="1" l="1"/>
  <c r="D33" i="1"/>
  <c r="D45" i="1"/>
  <c r="D66" i="1"/>
  <c r="O195" i="1" l="1"/>
  <c r="N195" i="1"/>
  <c r="M195" i="1"/>
  <c r="L195" i="1"/>
  <c r="K195" i="1"/>
  <c r="I195" i="1"/>
  <c r="O192" i="1"/>
  <c r="O194" i="1" s="1"/>
  <c r="N192" i="1"/>
  <c r="N194" i="1" s="1"/>
  <c r="M192" i="1"/>
  <c r="M194" i="1" s="1"/>
  <c r="L192" i="1"/>
  <c r="L194" i="1" s="1"/>
  <c r="K192" i="1"/>
  <c r="K194" i="1" s="1"/>
  <c r="K200" i="1" s="1"/>
  <c r="I192" i="1"/>
  <c r="I194" i="1" s="1"/>
  <c r="H192" i="1"/>
  <c r="H194" i="1" s="1"/>
  <c r="G192" i="1"/>
  <c r="G194" i="1" s="1"/>
  <c r="F192" i="1"/>
  <c r="F194" i="1" s="1"/>
  <c r="E192" i="1"/>
  <c r="E194" i="1" s="1"/>
  <c r="E200" i="1" l="1"/>
  <c r="F96" i="21" s="1"/>
  <c r="G96" i="21" s="1"/>
  <c r="F98" i="21"/>
  <c r="F97" i="21"/>
  <c r="G200" i="1"/>
  <c r="J96" i="21" s="1"/>
  <c r="J98" i="21"/>
  <c r="J97" i="21"/>
  <c r="F200" i="1"/>
  <c r="H96" i="21" s="1"/>
  <c r="H98" i="21"/>
  <c r="H97" i="21"/>
  <c r="H200" i="1"/>
  <c r="L96" i="21" s="1"/>
  <c r="M96" i="21" s="1"/>
  <c r="L98" i="21"/>
  <c r="L97" i="21"/>
  <c r="I200" i="1"/>
  <c r="N96" i="21" s="1"/>
  <c r="N98" i="21"/>
  <c r="N97" i="21"/>
  <c r="N200" i="1"/>
  <c r="O200" i="1"/>
  <c r="M200" i="1"/>
  <c r="L200" i="1"/>
  <c r="M98" i="21" l="1"/>
  <c r="I97" i="21"/>
  <c r="G97" i="21"/>
  <c r="O98" i="21"/>
  <c r="G98" i="21"/>
  <c r="K97" i="21"/>
  <c r="L99" i="21"/>
  <c r="M99" i="21" s="1"/>
  <c r="I98" i="21"/>
  <c r="J99" i="21"/>
  <c r="K99" i="21" s="1"/>
  <c r="M97" i="21"/>
  <c r="F99" i="21"/>
  <c r="G99" i="21" s="1"/>
  <c r="O97" i="21"/>
  <c r="K98" i="21"/>
  <c r="H99" i="21"/>
  <c r="I99" i="21" s="1"/>
  <c r="I96" i="21"/>
  <c r="K96" i="21"/>
  <c r="O96" i="21"/>
  <c r="N99" i="21"/>
  <c r="O99" i="21" s="1"/>
  <c r="F116" i="21"/>
  <c r="J2" i="24" l="1"/>
  <c r="F5" i="27" l="1"/>
  <c r="F13" i="27" s="1"/>
  <c r="E10" i="27"/>
  <c r="M14" i="27"/>
  <c r="M12" i="27"/>
  <c r="D7" i="27"/>
  <c r="D10" i="27" s="1"/>
  <c r="E9" i="27"/>
  <c r="E11" i="27" s="1"/>
  <c r="F9" i="27" s="1"/>
  <c r="F11" i="27" s="1"/>
  <c r="D9" i="27"/>
  <c r="D11" i="27" s="1"/>
  <c r="E13" i="27"/>
  <c r="X80" i="2"/>
  <c r="V80" i="2"/>
  <c r="T80" i="2"/>
  <c r="R80" i="2"/>
  <c r="P80" i="2"/>
  <c r="F6" i="27" l="1"/>
  <c r="K10" i="27"/>
  <c r="G5" i="27"/>
  <c r="H5" i="27" s="1"/>
  <c r="I5" i="27" s="1"/>
  <c r="I9" i="27" s="1"/>
  <c r="I11" i="27" s="1"/>
  <c r="F15" i="27"/>
  <c r="F10" i="27"/>
  <c r="E15" i="27"/>
  <c r="K11" i="27"/>
  <c r="E14" i="27"/>
  <c r="X4" i="2"/>
  <c r="V4" i="2"/>
  <c r="T4" i="2"/>
  <c r="R4" i="2"/>
  <c r="Y4" i="2"/>
  <c r="W4" i="2"/>
  <c r="U4" i="2"/>
  <c r="S4" i="2"/>
  <c r="Q4" i="2"/>
  <c r="P4" i="2"/>
  <c r="V88" i="2"/>
  <c r="V91" i="2" s="1"/>
  <c r="X123" i="2"/>
  <c r="X121" i="2"/>
  <c r="X120" i="2"/>
  <c r="V123" i="2"/>
  <c r="V121" i="2"/>
  <c r="V120" i="2"/>
  <c r="T123" i="2"/>
  <c r="T121" i="2"/>
  <c r="T120" i="2"/>
  <c r="X39" i="2"/>
  <c r="X38" i="2"/>
  <c r="X111" i="2"/>
  <c r="X110" i="2"/>
  <c r="X109" i="2"/>
  <c r="X34" i="2"/>
  <c r="X30" i="2"/>
  <c r="X100" i="2"/>
  <c r="X104" i="2" s="1"/>
  <c r="X88" i="2"/>
  <c r="X79" i="2"/>
  <c r="X77" i="2"/>
  <c r="X75" i="2"/>
  <c r="X73" i="2"/>
  <c r="X71" i="2"/>
  <c r="X68" i="2"/>
  <c r="X81" i="2" s="1"/>
  <c r="X60" i="2"/>
  <c r="X59" i="2"/>
  <c r="X57" i="2"/>
  <c r="X55" i="2"/>
  <c r="X53" i="2"/>
  <c r="X51" i="2"/>
  <c r="X23" i="2"/>
  <c r="X17" i="2"/>
  <c r="X18" i="2" s="1"/>
  <c r="V39" i="2"/>
  <c r="V38" i="2"/>
  <c r="V111" i="2"/>
  <c r="V110" i="2"/>
  <c r="V109" i="2"/>
  <c r="V34" i="2"/>
  <c r="V30" i="2"/>
  <c r="V100" i="2"/>
  <c r="V104" i="2" s="1"/>
  <c r="V79" i="2"/>
  <c r="V77" i="2"/>
  <c r="V75" i="2"/>
  <c r="V73" i="2"/>
  <c r="V71" i="2"/>
  <c r="V68" i="2"/>
  <c r="V60" i="2"/>
  <c r="V59" i="2"/>
  <c r="V57" i="2"/>
  <c r="V55" i="2"/>
  <c r="V53" i="2"/>
  <c r="V51" i="2"/>
  <c r="V23" i="2"/>
  <c r="V17" i="2"/>
  <c r="V18" i="2" s="1"/>
  <c r="T39" i="2"/>
  <c r="T38" i="2"/>
  <c r="T111" i="2"/>
  <c r="T110" i="2"/>
  <c r="T109" i="2"/>
  <c r="T34" i="2"/>
  <c r="T30" i="2"/>
  <c r="T100" i="2"/>
  <c r="T104" i="2" s="1"/>
  <c r="T88" i="2"/>
  <c r="T79" i="2"/>
  <c r="T77" i="2"/>
  <c r="T75" i="2"/>
  <c r="T73" i="2"/>
  <c r="T71" i="2"/>
  <c r="T68" i="2"/>
  <c r="T60" i="2"/>
  <c r="T59" i="2"/>
  <c r="T57" i="2"/>
  <c r="T55" i="2"/>
  <c r="T53" i="2"/>
  <c r="T51" i="2"/>
  <c r="T23" i="2"/>
  <c r="T17" i="2"/>
  <c r="T18" i="2" s="1"/>
  <c r="O163" i="1"/>
  <c r="O95" i="1"/>
  <c r="O94" i="1"/>
  <c r="O62" i="1"/>
  <c r="O61" i="1"/>
  <c r="O60" i="1"/>
  <c r="O52" i="1"/>
  <c r="O29" i="1"/>
  <c r="N163" i="1"/>
  <c r="N95" i="1"/>
  <c r="N94" i="1"/>
  <c r="N62" i="1"/>
  <c r="N61" i="1"/>
  <c r="N60" i="1"/>
  <c r="N52" i="1"/>
  <c r="N36" i="1"/>
  <c r="N29" i="1"/>
  <c r="N27" i="1"/>
  <c r="N22" i="1"/>
  <c r="N17" i="1"/>
  <c r="M163" i="1"/>
  <c r="M95" i="1"/>
  <c r="M94" i="1"/>
  <c r="M62" i="1"/>
  <c r="M61" i="1"/>
  <c r="M60" i="1"/>
  <c r="M52" i="1"/>
  <c r="M36" i="1"/>
  <c r="M29" i="1"/>
  <c r="M27" i="1"/>
  <c r="M22" i="1"/>
  <c r="M17" i="1"/>
  <c r="O173" i="1"/>
  <c r="N173" i="1"/>
  <c r="M173" i="1"/>
  <c r="L173" i="1"/>
  <c r="K173" i="1"/>
  <c r="O8" i="1"/>
  <c r="N8" i="1"/>
  <c r="M8" i="1"/>
  <c r="K8" i="1"/>
  <c r="O182" i="1"/>
  <c r="N182" i="1"/>
  <c r="M182" i="1"/>
  <c r="L182" i="1"/>
  <c r="K182" i="1"/>
  <c r="L163" i="1"/>
  <c r="L95" i="1"/>
  <c r="L94" i="1"/>
  <c r="L62" i="1"/>
  <c r="L61" i="1"/>
  <c r="L60" i="1"/>
  <c r="L52" i="1"/>
  <c r="L36" i="1"/>
  <c r="L29" i="1"/>
  <c r="L27" i="1"/>
  <c r="L22" i="1"/>
  <c r="L17" i="1"/>
  <c r="R123" i="2"/>
  <c r="R121" i="2"/>
  <c r="R120" i="2"/>
  <c r="R39" i="2"/>
  <c r="R38" i="2"/>
  <c r="R111" i="2"/>
  <c r="R110" i="2"/>
  <c r="R109" i="2"/>
  <c r="R34" i="2"/>
  <c r="R30" i="2"/>
  <c r="R100" i="2"/>
  <c r="R104" i="2" s="1"/>
  <c r="R88" i="2"/>
  <c r="R79" i="2"/>
  <c r="R77" i="2"/>
  <c r="R75" i="2"/>
  <c r="R73" i="2"/>
  <c r="R71" i="2"/>
  <c r="R68" i="2"/>
  <c r="R60" i="2"/>
  <c r="R59" i="2"/>
  <c r="R57" i="2"/>
  <c r="R55" i="2"/>
  <c r="R53" i="2"/>
  <c r="R51" i="2"/>
  <c r="R23" i="2"/>
  <c r="R17" i="2"/>
  <c r="R18" i="2" s="1"/>
  <c r="P39" i="2"/>
  <c r="P38" i="2"/>
  <c r="P111" i="2"/>
  <c r="P110" i="2"/>
  <c r="P109" i="2"/>
  <c r="P34" i="2"/>
  <c r="P30" i="2"/>
  <c r="P100" i="2"/>
  <c r="P104" i="2" s="1"/>
  <c r="P88" i="2"/>
  <c r="P91" i="2" s="1"/>
  <c r="P79" i="2"/>
  <c r="P77" i="2"/>
  <c r="P75" i="2"/>
  <c r="P73" i="2"/>
  <c r="P71" i="2"/>
  <c r="P68" i="2"/>
  <c r="P60" i="2"/>
  <c r="M59" i="2"/>
  <c r="K59" i="2"/>
  <c r="I59" i="2"/>
  <c r="G59" i="2"/>
  <c r="P59" i="2"/>
  <c r="P57" i="2"/>
  <c r="P55" i="2"/>
  <c r="P53" i="2"/>
  <c r="M53" i="2"/>
  <c r="P51" i="2"/>
  <c r="E53" i="2"/>
  <c r="G53" i="2"/>
  <c r="I53" i="2"/>
  <c r="K53" i="2"/>
  <c r="X6" i="2"/>
  <c r="V6" i="2"/>
  <c r="T6" i="2"/>
  <c r="R6" i="2"/>
  <c r="P6" i="2"/>
  <c r="O10" i="1"/>
  <c r="N10" i="1"/>
  <c r="M10" i="1"/>
  <c r="L10" i="1"/>
  <c r="K10" i="1"/>
  <c r="P17" i="2"/>
  <c r="P18" i="2" s="1"/>
  <c r="P23" i="2"/>
  <c r="P25" i="2" s="1"/>
  <c r="K163" i="1"/>
  <c r="K95" i="1"/>
  <c r="K94" i="1"/>
  <c r="K62" i="1"/>
  <c r="K61" i="1"/>
  <c r="K60" i="1"/>
  <c r="K52" i="1"/>
  <c r="K36" i="1"/>
  <c r="K27" i="1"/>
  <c r="K22" i="1"/>
  <c r="K17" i="1"/>
  <c r="K29" i="1"/>
  <c r="L20" i="27"/>
  <c r="M20" i="27" s="1"/>
  <c r="N18" i="27"/>
  <c r="G37" i="27"/>
  <c r="B29" i="27"/>
  <c r="E35" i="27" s="1"/>
  <c r="E37" i="27"/>
  <c r="E33" i="27"/>
  <c r="F33" i="27" s="1"/>
  <c r="F26" i="27"/>
  <c r="E32" i="27"/>
  <c r="E20" i="27"/>
  <c r="E22" i="27" s="1"/>
  <c r="D23" i="27"/>
  <c r="E12" i="27"/>
  <c r="F12" i="27"/>
  <c r="D12" i="27"/>
  <c r="F7" i="19"/>
  <c r="H7" i="19"/>
  <c r="J7" i="19"/>
  <c r="L7" i="19"/>
  <c r="N7" i="19"/>
  <c r="I36" i="1"/>
  <c r="I27" i="1"/>
  <c r="I22" i="1"/>
  <c r="I17" i="1"/>
  <c r="B2" i="18"/>
  <c r="I94" i="1"/>
  <c r="H94" i="1"/>
  <c r="G94" i="1"/>
  <c r="E94" i="1"/>
  <c r="E95" i="1"/>
  <c r="I95" i="1"/>
  <c r="H95" i="1"/>
  <c r="F95" i="1"/>
  <c r="F94" i="1"/>
  <c r="I163" i="1"/>
  <c r="H163" i="1"/>
  <c r="G163" i="1"/>
  <c r="F163" i="1"/>
  <c r="I52" i="1"/>
  <c r="H52" i="1"/>
  <c r="G52" i="1"/>
  <c r="F52" i="1"/>
  <c r="E52" i="1"/>
  <c r="I60" i="1"/>
  <c r="H60" i="1"/>
  <c r="G60" i="1"/>
  <c r="F60" i="1"/>
  <c r="E60" i="1"/>
  <c r="F43" i="23"/>
  <c r="F46" i="23" s="1"/>
  <c r="D155" i="1"/>
  <c r="D153" i="1"/>
  <c r="D151" i="1"/>
  <c r="D132" i="1"/>
  <c r="D113" i="1"/>
  <c r="D82" i="1"/>
  <c r="D68" i="1"/>
  <c r="D56" i="1"/>
  <c r="D104" i="1"/>
  <c r="J38" i="21"/>
  <c r="H21" i="21"/>
  <c r="H23" i="21" s="1"/>
  <c r="G55" i="2"/>
  <c r="E55" i="2"/>
  <c r="M55" i="2"/>
  <c r="K55" i="2"/>
  <c r="I55" i="2"/>
  <c r="O21" i="26"/>
  <c r="O20" i="26"/>
  <c r="L21" i="26"/>
  <c r="L20" i="26"/>
  <c r="I21" i="26"/>
  <c r="I20" i="26"/>
  <c r="D126" i="1"/>
  <c r="D98" i="1"/>
  <c r="N226" i="20"/>
  <c r="L226" i="20"/>
  <c r="J226" i="20"/>
  <c r="H226" i="20"/>
  <c r="F226" i="20"/>
  <c r="J96" i="20"/>
  <c r="N96" i="20"/>
  <c r="L96" i="20"/>
  <c r="H96" i="20"/>
  <c r="F96" i="20"/>
  <c r="D95" i="20"/>
  <c r="I62" i="1"/>
  <c r="H62" i="1"/>
  <c r="G62" i="1"/>
  <c r="F62" i="1"/>
  <c r="E62" i="1"/>
  <c r="I61" i="1"/>
  <c r="H61" i="1"/>
  <c r="G61" i="1"/>
  <c r="F61" i="1"/>
  <c r="M80" i="2"/>
  <c r="M82" i="2" s="1"/>
  <c r="K80" i="2"/>
  <c r="K82" i="2" s="1"/>
  <c r="I80" i="2"/>
  <c r="I82" i="2" s="1"/>
  <c r="G80" i="2"/>
  <c r="G82" i="2" s="1"/>
  <c r="E80" i="2"/>
  <c r="E82" i="2" s="1"/>
  <c r="G71" i="2"/>
  <c r="N187" i="20"/>
  <c r="L187" i="20"/>
  <c r="J187" i="20"/>
  <c r="H187" i="20"/>
  <c r="F187" i="20"/>
  <c r="F196" i="20"/>
  <c r="N196" i="20"/>
  <c r="L196" i="20"/>
  <c r="J196" i="20"/>
  <c r="H196" i="20"/>
  <c r="C15" i="20"/>
  <c r="D125" i="20"/>
  <c r="D123" i="20"/>
  <c r="D121" i="20"/>
  <c r="D119" i="20"/>
  <c r="D234" i="20"/>
  <c r="D233" i="20"/>
  <c r="D232" i="20"/>
  <c r="D157" i="20"/>
  <c r="D149" i="20"/>
  <c r="D140" i="20"/>
  <c r="D134" i="20"/>
  <c r="D27" i="20"/>
  <c r="L21" i="21"/>
  <c r="L23" i="21" s="1"/>
  <c r="N63" i="21"/>
  <c r="L63" i="21"/>
  <c r="J63" i="21"/>
  <c r="H63" i="21"/>
  <c r="F63" i="21"/>
  <c r="F29" i="1"/>
  <c r="E8" i="1"/>
  <c r="E195" i="1" s="1"/>
  <c r="D5" i="23"/>
  <c r="H29" i="1"/>
  <c r="K60" i="2"/>
  <c r="K71" i="2"/>
  <c r="K73" i="2"/>
  <c r="K75" i="2"/>
  <c r="K77" i="2"/>
  <c r="I29" i="1"/>
  <c r="M60" i="2"/>
  <c r="M71" i="2"/>
  <c r="M73" i="2"/>
  <c r="M75" i="2"/>
  <c r="M77" i="2"/>
  <c r="G29" i="1"/>
  <c r="I60" i="2"/>
  <c r="I71" i="2"/>
  <c r="I73" i="2"/>
  <c r="I75" i="2"/>
  <c r="I77" i="2"/>
  <c r="B2" i="9"/>
  <c r="F8" i="1"/>
  <c r="G8" i="1"/>
  <c r="H8" i="1"/>
  <c r="X2" i="9"/>
  <c r="H3" i="9"/>
  <c r="L3" i="9"/>
  <c r="P3" i="9"/>
  <c r="T3" i="9"/>
  <c r="X3" i="9"/>
  <c r="G73" i="2"/>
  <c r="G75" i="2"/>
  <c r="G77" i="2"/>
  <c r="G60" i="2"/>
  <c r="C3" i="19"/>
  <c r="N3" i="19"/>
  <c r="F4" i="19"/>
  <c r="H4" i="19"/>
  <c r="J4" i="19"/>
  <c r="L4" i="19"/>
  <c r="N4" i="19"/>
  <c r="B2" i="24"/>
  <c r="B2" i="20"/>
  <c r="F2" i="20"/>
  <c r="H2" i="20"/>
  <c r="J2" i="20"/>
  <c r="L2" i="20"/>
  <c r="N2" i="20"/>
  <c r="F3" i="20"/>
  <c r="H3" i="20"/>
  <c r="J3" i="20"/>
  <c r="L3" i="20"/>
  <c r="N3" i="20"/>
  <c r="H122" i="21"/>
  <c r="H124" i="21" s="1"/>
  <c r="J122" i="21"/>
  <c r="J124" i="21" s="1"/>
  <c r="L124" i="21"/>
  <c r="N122" i="21"/>
  <c r="N124" i="21" s="1"/>
  <c r="F37" i="20"/>
  <c r="H37" i="20"/>
  <c r="J37" i="20"/>
  <c r="L37" i="20"/>
  <c r="N37" i="20"/>
  <c r="F175" i="20"/>
  <c r="H175" i="20"/>
  <c r="J175" i="20"/>
  <c r="L175" i="20"/>
  <c r="N175" i="20"/>
  <c r="F120" i="21"/>
  <c r="F177" i="20" s="1"/>
  <c r="H120" i="21"/>
  <c r="H177" i="20" s="1"/>
  <c r="J120" i="21"/>
  <c r="J177" i="20" s="1"/>
  <c r="L120" i="21"/>
  <c r="L177" i="20" s="1"/>
  <c r="N120" i="21"/>
  <c r="N177" i="20" s="1"/>
  <c r="F183" i="20"/>
  <c r="H183" i="20"/>
  <c r="J183" i="20"/>
  <c r="L183" i="20"/>
  <c r="N183" i="20"/>
  <c r="F186" i="20"/>
  <c r="H186" i="20"/>
  <c r="J186" i="20"/>
  <c r="L186" i="20"/>
  <c r="N186" i="20"/>
  <c r="F193" i="20"/>
  <c r="H193" i="20"/>
  <c r="J193" i="20"/>
  <c r="L193" i="20"/>
  <c r="N193" i="20"/>
  <c r="F195" i="20"/>
  <c r="H195" i="20"/>
  <c r="J195" i="20"/>
  <c r="L195" i="20"/>
  <c r="N195" i="20"/>
  <c r="F202" i="20"/>
  <c r="H202" i="20"/>
  <c r="J202" i="20"/>
  <c r="L202" i="20"/>
  <c r="N202" i="20"/>
  <c r="F210" i="20"/>
  <c r="H210" i="20"/>
  <c r="J210" i="20"/>
  <c r="L210" i="20"/>
  <c r="N210" i="20"/>
  <c r="F218" i="20"/>
  <c r="H218" i="20"/>
  <c r="J218" i="20"/>
  <c r="L218" i="20"/>
  <c r="N218" i="20"/>
  <c r="D238" i="20"/>
  <c r="D239" i="20"/>
  <c r="D241" i="20"/>
  <c r="D243" i="20"/>
  <c r="E4" i="18"/>
  <c r="B2" i="23"/>
  <c r="L4" i="23"/>
  <c r="F5" i="23"/>
  <c r="H5" i="23"/>
  <c r="J5" i="23"/>
  <c r="L5" i="23"/>
  <c r="D10" i="23"/>
  <c r="F10" i="23"/>
  <c r="H10" i="23"/>
  <c r="J10" i="23"/>
  <c r="L10" i="23"/>
  <c r="D21" i="23"/>
  <c r="F21" i="23"/>
  <c r="H21" i="23"/>
  <c r="J21" i="23"/>
  <c r="L21" i="23"/>
  <c r="L42" i="23"/>
  <c r="D43" i="23"/>
  <c r="D46" i="23" s="1"/>
  <c r="H43" i="23"/>
  <c r="H44" i="23" s="1"/>
  <c r="J43" i="23"/>
  <c r="J46" i="23" s="1"/>
  <c r="L43" i="23"/>
  <c r="L47" i="23" s="1"/>
  <c r="L50" i="23"/>
  <c r="D51" i="23"/>
  <c r="F51" i="23"/>
  <c r="H51" i="23"/>
  <c r="J51" i="23"/>
  <c r="L51" i="23"/>
  <c r="D55" i="23"/>
  <c r="D56" i="23"/>
  <c r="D57" i="23"/>
  <c r="F55" i="23"/>
  <c r="F56" i="23"/>
  <c r="F57" i="23"/>
  <c r="H55" i="23"/>
  <c r="H56" i="23"/>
  <c r="H57" i="23"/>
  <c r="J55" i="23"/>
  <c r="J56" i="23"/>
  <c r="J57" i="23"/>
  <c r="L55" i="23"/>
  <c r="L56" i="23"/>
  <c r="L57" i="23"/>
  <c r="B2" i="21"/>
  <c r="N4" i="21"/>
  <c r="F9" i="21"/>
  <c r="F11" i="21" s="1"/>
  <c r="H9" i="21"/>
  <c r="H11" i="21" s="1"/>
  <c r="J9" i="21"/>
  <c r="J11" i="21" s="1"/>
  <c r="L9" i="21"/>
  <c r="L11" i="21" s="1"/>
  <c r="N9" i="21"/>
  <c r="N11" i="21" s="1"/>
  <c r="F15" i="21"/>
  <c r="F17" i="21" s="1"/>
  <c r="F21" i="21"/>
  <c r="F23" i="21" s="1"/>
  <c r="F29" i="21"/>
  <c r="H15" i="21"/>
  <c r="H17" i="21" s="1"/>
  <c r="H29" i="21"/>
  <c r="J15" i="21"/>
  <c r="J17" i="21" s="1"/>
  <c r="L15" i="21"/>
  <c r="L17" i="21" s="1"/>
  <c r="N15" i="21"/>
  <c r="N17" i="21" s="1"/>
  <c r="N21" i="21"/>
  <c r="N23" i="21" s="1"/>
  <c r="N29" i="21"/>
  <c r="J21" i="21"/>
  <c r="J23" i="21" s="1"/>
  <c r="L29" i="21"/>
  <c r="J29" i="21"/>
  <c r="F38" i="21"/>
  <c r="H38" i="21"/>
  <c r="L38" i="21"/>
  <c r="N38" i="21"/>
  <c r="F48" i="21"/>
  <c r="H48" i="21"/>
  <c r="J48" i="21"/>
  <c r="L48" i="21"/>
  <c r="N48" i="21"/>
  <c r="F56" i="21"/>
  <c r="H56" i="21"/>
  <c r="J56" i="21"/>
  <c r="L56" i="21"/>
  <c r="N56" i="21"/>
  <c r="F70" i="21"/>
  <c r="G70" i="21" s="1"/>
  <c r="H67" i="21"/>
  <c r="J67" i="21"/>
  <c r="L67" i="21"/>
  <c r="N67" i="21"/>
  <c r="F72" i="21"/>
  <c r="H72" i="21"/>
  <c r="J72" i="21"/>
  <c r="L72" i="21"/>
  <c r="N72" i="21"/>
  <c r="F77" i="21"/>
  <c r="H77" i="21"/>
  <c r="J77" i="21"/>
  <c r="L77" i="21"/>
  <c r="N77" i="21"/>
  <c r="F82" i="21"/>
  <c r="H82" i="21"/>
  <c r="J82" i="21"/>
  <c r="L82" i="21"/>
  <c r="N82" i="21"/>
  <c r="F122" i="21"/>
  <c r="F124" i="21" s="1"/>
  <c r="F125" i="21" s="1"/>
  <c r="M4" i="2"/>
  <c r="E5" i="2"/>
  <c r="G5" i="2"/>
  <c r="I5" i="2"/>
  <c r="K5" i="2"/>
  <c r="M5" i="2"/>
  <c r="E6" i="2"/>
  <c r="G6" i="2"/>
  <c r="I6" i="2"/>
  <c r="K6" i="2"/>
  <c r="M6" i="2"/>
  <c r="E51" i="2"/>
  <c r="G51" i="2"/>
  <c r="I51" i="2"/>
  <c r="K51" i="2"/>
  <c r="M51" i="2"/>
  <c r="E57" i="2"/>
  <c r="G57" i="2"/>
  <c r="I57" i="2"/>
  <c r="K57" i="2"/>
  <c r="M57" i="2"/>
  <c r="E60" i="2"/>
  <c r="E62" i="2" s="1"/>
  <c r="E71" i="2"/>
  <c r="E73" i="2"/>
  <c r="E75" i="2"/>
  <c r="E77" i="2"/>
  <c r="E79" i="2"/>
  <c r="G79" i="2"/>
  <c r="I79" i="2"/>
  <c r="K79" i="2"/>
  <c r="M79" i="2"/>
  <c r="E10" i="1"/>
  <c r="F10" i="1"/>
  <c r="G10" i="1"/>
  <c r="H10" i="1"/>
  <c r="I10" i="1"/>
  <c r="E17" i="1"/>
  <c r="F17" i="1"/>
  <c r="G17" i="1"/>
  <c r="H17" i="1"/>
  <c r="E22" i="1"/>
  <c r="F22" i="1"/>
  <c r="G22" i="1"/>
  <c r="H22" i="1"/>
  <c r="E27" i="1"/>
  <c r="F27" i="1"/>
  <c r="G27" i="1"/>
  <c r="H27" i="1"/>
  <c r="E36" i="1"/>
  <c r="F36" i="1"/>
  <c r="G36" i="1"/>
  <c r="H36" i="1"/>
  <c r="I173" i="1"/>
  <c r="E182" i="1"/>
  <c r="F182" i="1"/>
  <c r="G182" i="1"/>
  <c r="H182" i="1"/>
  <c r="I182" i="1"/>
  <c r="E61" i="1"/>
  <c r="G9" i="27" l="1"/>
  <c r="G11" i="27" s="1"/>
  <c r="T124" i="2"/>
  <c r="H9" i="27"/>
  <c r="H11" i="27" s="1"/>
  <c r="H6" i="27"/>
  <c r="H13" i="27"/>
  <c r="L147" i="1"/>
  <c r="L146" i="1"/>
  <c r="K149" i="1"/>
  <c r="K147" i="1"/>
  <c r="K146" i="1"/>
  <c r="I6" i="27"/>
  <c r="I10" i="27" s="1"/>
  <c r="I12" i="27" s="1"/>
  <c r="G6" i="27"/>
  <c r="G13" i="27"/>
  <c r="O147" i="1"/>
  <c r="O146" i="1"/>
  <c r="R124" i="2"/>
  <c r="M147" i="1"/>
  <c r="M146" i="1"/>
  <c r="N147" i="1"/>
  <c r="N146" i="1"/>
  <c r="I13" i="27"/>
  <c r="I6" i="1"/>
  <c r="J9" i="1"/>
  <c r="K4" i="1"/>
  <c r="O4" i="1"/>
  <c r="N4" i="1"/>
  <c r="K6" i="1"/>
  <c r="N9" i="20"/>
  <c r="N11" i="20" s="1"/>
  <c r="N65" i="21"/>
  <c r="N7" i="20"/>
  <c r="H165" i="20"/>
  <c r="H127" i="20"/>
  <c r="G10" i="26"/>
  <c r="G115" i="2"/>
  <c r="X124" i="2"/>
  <c r="V124" i="2"/>
  <c r="K144" i="1"/>
  <c r="M10" i="26"/>
  <c r="J10" i="26"/>
  <c r="F40" i="23"/>
  <c r="F109" i="1"/>
  <c r="F106" i="1"/>
  <c r="N109" i="1"/>
  <c r="O109" i="1"/>
  <c r="K31" i="1"/>
  <c r="L109" i="1"/>
  <c r="M109" i="1"/>
  <c r="N31" i="1"/>
  <c r="L31" i="1"/>
  <c r="R69" i="2"/>
  <c r="M31" i="1"/>
  <c r="K93" i="2"/>
  <c r="K89" i="2"/>
  <c r="K69" i="2"/>
  <c r="O84" i="21"/>
  <c r="O83" i="21"/>
  <c r="G38" i="1"/>
  <c r="L3" i="24" s="1"/>
  <c r="H38" i="1"/>
  <c r="L118" i="21" s="1"/>
  <c r="I38" i="1"/>
  <c r="N118" i="21" s="1"/>
  <c r="I31" i="1"/>
  <c r="M89" i="2"/>
  <c r="M69" i="2"/>
  <c r="M93" i="2"/>
  <c r="F38" i="1"/>
  <c r="H118" i="21" s="1"/>
  <c r="G18" i="2"/>
  <c r="G26" i="2"/>
  <c r="F113" i="1"/>
  <c r="F132" i="1"/>
  <c r="L6" i="20"/>
  <c r="F98" i="1"/>
  <c r="F111" i="1"/>
  <c r="F104" i="1"/>
  <c r="H85" i="21"/>
  <c r="I85" i="21" s="1"/>
  <c r="I82" i="21"/>
  <c r="J80" i="21"/>
  <c r="K80" i="21" s="1"/>
  <c r="K77" i="21"/>
  <c r="L75" i="21"/>
  <c r="M75" i="21" s="1"/>
  <c r="M72" i="21"/>
  <c r="N70" i="21"/>
  <c r="O70" i="21" s="1"/>
  <c r="O67" i="21"/>
  <c r="N85" i="21"/>
  <c r="O85" i="21" s="1"/>
  <c r="O82" i="21"/>
  <c r="F85" i="21"/>
  <c r="G85" i="21" s="1"/>
  <c r="G82" i="21"/>
  <c r="H80" i="21"/>
  <c r="I80" i="21" s="1"/>
  <c r="I77" i="21"/>
  <c r="J75" i="21"/>
  <c r="K75" i="21" s="1"/>
  <c r="K72" i="21"/>
  <c r="L70" i="21"/>
  <c r="M70" i="21" s="1"/>
  <c r="M67" i="21"/>
  <c r="L85" i="21"/>
  <c r="M85" i="21" s="1"/>
  <c r="M82" i="21"/>
  <c r="N80" i="21"/>
  <c r="O80" i="21" s="1"/>
  <c r="O77" i="21"/>
  <c r="F80" i="21"/>
  <c r="G80" i="21" s="1"/>
  <c r="G77" i="21"/>
  <c r="H75" i="21"/>
  <c r="I75" i="21" s="1"/>
  <c r="I72" i="21"/>
  <c r="J70" i="21"/>
  <c r="K70" i="21" s="1"/>
  <c r="K67" i="21"/>
  <c r="J85" i="21"/>
  <c r="K85" i="21" s="1"/>
  <c r="K82" i="21"/>
  <c r="L80" i="21"/>
  <c r="M80" i="21" s="1"/>
  <c r="M77" i="21"/>
  <c r="N75" i="21"/>
  <c r="O75" i="21" s="1"/>
  <c r="O72" i="21"/>
  <c r="F75" i="21"/>
  <c r="G75" i="21" s="1"/>
  <c r="G72" i="21"/>
  <c r="H70" i="21"/>
  <c r="I70" i="21" s="1"/>
  <c r="I67" i="21"/>
  <c r="E144" i="1"/>
  <c r="F33" i="19" s="1"/>
  <c r="L58" i="23"/>
  <c r="D58" i="23"/>
  <c r="V41" i="2"/>
  <c r="F58" i="23"/>
  <c r="H58" i="23"/>
  <c r="J58" i="23"/>
  <c r="L20" i="1"/>
  <c r="N34" i="1"/>
  <c r="M34" i="1"/>
  <c r="O20" i="1"/>
  <c r="E21" i="23"/>
  <c r="P112" i="2"/>
  <c r="M17" i="2"/>
  <c r="M18" i="2" s="1"/>
  <c r="J145" i="20"/>
  <c r="K38" i="2"/>
  <c r="E111" i="2"/>
  <c r="H195" i="1"/>
  <c r="G195" i="1"/>
  <c r="F195" i="1"/>
  <c r="E96" i="1"/>
  <c r="H184" i="1"/>
  <c r="K184" i="1"/>
  <c r="K199" i="1" s="1"/>
  <c r="K201" i="1" s="1"/>
  <c r="F184" i="1"/>
  <c r="M184" i="1"/>
  <c r="O184" i="1"/>
  <c r="G184" i="1"/>
  <c r="G111" i="1" s="1"/>
  <c r="L184" i="1"/>
  <c r="I184" i="1"/>
  <c r="N184" i="1"/>
  <c r="E184" i="1"/>
  <c r="E111" i="1" s="1"/>
  <c r="E110" i="2"/>
  <c r="P41" i="2"/>
  <c r="R41" i="2"/>
  <c r="P36" i="2"/>
  <c r="J4" i="23"/>
  <c r="D12" i="23"/>
  <c r="E103" i="2"/>
  <c r="E34" i="1"/>
  <c r="E122" i="1"/>
  <c r="N3" i="24"/>
  <c r="E109" i="2"/>
  <c r="N5" i="24"/>
  <c r="E20" i="1"/>
  <c r="F15" i="20" s="1"/>
  <c r="F123" i="20"/>
  <c r="F124" i="20" s="1"/>
  <c r="F60" i="20"/>
  <c r="E61" i="2"/>
  <c r="E15" i="1"/>
  <c r="J42" i="23"/>
  <c r="E146" i="1"/>
  <c r="F17" i="20"/>
  <c r="E38" i="2"/>
  <c r="D14" i="26"/>
  <c r="R89" i="2"/>
  <c r="J128" i="20"/>
  <c r="J130" i="20" s="1"/>
  <c r="H128" i="20"/>
  <c r="H130" i="20" s="1"/>
  <c r="J123" i="20"/>
  <c r="J124" i="20" s="1"/>
  <c r="H123" i="20"/>
  <c r="H124" i="20" s="1"/>
  <c r="G20" i="1"/>
  <c r="J15" i="20" s="1"/>
  <c r="G34" i="1"/>
  <c r="H45" i="23"/>
  <c r="N2" i="24"/>
  <c r="H3" i="19"/>
  <c r="N31" i="21"/>
  <c r="N25" i="21" s="1"/>
  <c r="F119" i="20"/>
  <c r="F120" i="20" s="1"/>
  <c r="J31" i="21"/>
  <c r="J127" i="20" s="1"/>
  <c r="H31" i="21"/>
  <c r="H25" i="21" s="1"/>
  <c r="L31" i="21"/>
  <c r="L25" i="21" s="1"/>
  <c r="L2" i="9"/>
  <c r="J194" i="20"/>
  <c r="J198" i="20" s="1"/>
  <c r="J197" i="20" s="1"/>
  <c r="H48" i="23"/>
  <c r="M38" i="2"/>
  <c r="L23" i="23"/>
  <c r="F50" i="23"/>
  <c r="F6" i="20"/>
  <c r="F128" i="20"/>
  <c r="F130" i="20" s="1"/>
  <c r="E147" i="1"/>
  <c r="L24" i="23"/>
  <c r="H47" i="23"/>
  <c r="D15" i="26"/>
  <c r="E39" i="2"/>
  <c r="D11" i="26"/>
  <c r="D23" i="23"/>
  <c r="E45" i="1"/>
  <c r="F27" i="20" s="1"/>
  <c r="E17" i="2"/>
  <c r="E18" i="2" s="1"/>
  <c r="E26" i="2" s="1"/>
  <c r="I38" i="2"/>
  <c r="K39" i="2"/>
  <c r="F144" i="1"/>
  <c r="H33" i="19" s="1"/>
  <c r="R62" i="2"/>
  <c r="X62" i="2"/>
  <c r="L194" i="20"/>
  <c r="L198" i="20" s="1"/>
  <c r="L197" i="20" s="1"/>
  <c r="V61" i="2"/>
  <c r="I21" i="23"/>
  <c r="E65" i="1"/>
  <c r="E66" i="1" s="1"/>
  <c r="F40" i="20" s="1"/>
  <c r="F4" i="21"/>
  <c r="L19" i="23"/>
  <c r="F47" i="23"/>
  <c r="N121" i="20"/>
  <c r="N122" i="20" s="1"/>
  <c r="N119" i="20"/>
  <c r="N120" i="20" s="1"/>
  <c r="E50" i="23"/>
  <c r="E4" i="2"/>
  <c r="I45" i="1"/>
  <c r="I46" i="1" s="1"/>
  <c r="M110" i="2"/>
  <c r="J45" i="23"/>
  <c r="E79" i="1"/>
  <c r="I34" i="1"/>
  <c r="N123" i="20"/>
  <c r="N124" i="20" s="1"/>
  <c r="I144" i="1"/>
  <c r="N33" i="19" s="1"/>
  <c r="H4" i="21"/>
  <c r="E149" i="1"/>
  <c r="F48" i="23"/>
  <c r="E97" i="1"/>
  <c r="E98" i="1" s="1"/>
  <c r="D24" i="23"/>
  <c r="F45" i="23"/>
  <c r="D17" i="23"/>
  <c r="D19" i="23"/>
  <c r="D4" i="23"/>
  <c r="D22" i="23"/>
  <c r="F20" i="20"/>
  <c r="F23" i="20" s="1"/>
  <c r="F121" i="20"/>
  <c r="F122" i="20" s="1"/>
  <c r="J4" i="21"/>
  <c r="H50" i="23"/>
  <c r="F44" i="23"/>
  <c r="H194" i="20"/>
  <c r="H198" i="20" s="1"/>
  <c r="H197" i="20" s="1"/>
  <c r="L185" i="20"/>
  <c r="L189" i="20" s="1"/>
  <c r="L188" i="20" s="1"/>
  <c r="E55" i="1"/>
  <c r="E56" i="1" s="1"/>
  <c r="F31" i="20" s="1"/>
  <c r="I55" i="1"/>
  <c r="I56" i="1" s="1"/>
  <c r="I57" i="1" s="1"/>
  <c r="G55" i="1"/>
  <c r="G56" i="1" s="1"/>
  <c r="J30" i="20" s="1"/>
  <c r="F25" i="1"/>
  <c r="G25" i="1"/>
  <c r="F34" i="1"/>
  <c r="H25" i="1"/>
  <c r="H55" i="1"/>
  <c r="H56" i="1" s="1"/>
  <c r="H57" i="1" s="1"/>
  <c r="H31" i="1"/>
  <c r="G17" i="2"/>
  <c r="L119" i="20"/>
  <c r="L120" i="20" s="1"/>
  <c r="L45" i="23"/>
  <c r="D44" i="23"/>
  <c r="J12" i="23"/>
  <c r="G15" i="26"/>
  <c r="F147" i="1"/>
  <c r="I146" i="1"/>
  <c r="M39" i="2"/>
  <c r="G4" i="18"/>
  <c r="L60" i="20"/>
  <c r="H146" i="1"/>
  <c r="I122" i="1"/>
  <c r="J44" i="23"/>
  <c r="L3" i="19"/>
  <c r="J50" i="23"/>
  <c r="L4" i="21"/>
  <c r="G6" i="1"/>
  <c r="I109" i="2"/>
  <c r="G31" i="1"/>
  <c r="H22" i="23"/>
  <c r="J17" i="20"/>
  <c r="H24" i="23"/>
  <c r="H19" i="23"/>
  <c r="J119" i="20"/>
  <c r="J120" i="20" s="1"/>
  <c r="J15" i="26"/>
  <c r="H23" i="23"/>
  <c r="G147" i="1"/>
  <c r="J7" i="20"/>
  <c r="I7" i="23"/>
  <c r="I39" i="2"/>
  <c r="G15" i="1"/>
  <c r="J6" i="20"/>
  <c r="J60" i="20"/>
  <c r="H6" i="1"/>
  <c r="K110" i="2"/>
  <c r="K111" i="2"/>
  <c r="J22" i="23"/>
  <c r="K103" i="2"/>
  <c r="M14" i="26"/>
  <c r="H20" i="1"/>
  <c r="L15" i="20" s="1"/>
  <c r="H15" i="1"/>
  <c r="H96" i="1"/>
  <c r="H122" i="1"/>
  <c r="K7" i="23"/>
  <c r="K17" i="2"/>
  <c r="K18" i="2" s="1"/>
  <c r="J23" i="23"/>
  <c r="M15" i="26"/>
  <c r="F6" i="1"/>
  <c r="E31" i="1"/>
  <c r="F23" i="23"/>
  <c r="F122" i="1"/>
  <c r="F9" i="20"/>
  <c r="F11" i="20" s="1"/>
  <c r="F96" i="1"/>
  <c r="G111" i="2"/>
  <c r="H6" i="20"/>
  <c r="F97" i="1"/>
  <c r="F15" i="1"/>
  <c r="F65" i="1"/>
  <c r="F66" i="1" s="1"/>
  <c r="F67" i="1" s="1"/>
  <c r="G61" i="2"/>
  <c r="M5" i="24"/>
  <c r="F7" i="20"/>
  <c r="H9" i="20"/>
  <c r="H11" i="20" s="1"/>
  <c r="F149" i="1"/>
  <c r="G103" i="2"/>
  <c r="H220" i="20"/>
  <c r="G149" i="1"/>
  <c r="H149" i="1"/>
  <c r="K4" i="2"/>
  <c r="L5" i="24"/>
  <c r="F12" i="23"/>
  <c r="H17" i="20"/>
  <c r="G14" i="26"/>
  <c r="F31" i="1"/>
  <c r="L7" i="20"/>
  <c r="L220" i="20"/>
  <c r="J19" i="23"/>
  <c r="F145" i="20"/>
  <c r="H97" i="1"/>
  <c r="H98" i="1" s="1"/>
  <c r="G11" i="26"/>
  <c r="F45" i="1"/>
  <c r="H27" i="20" s="1"/>
  <c r="L123" i="20"/>
  <c r="L124" i="20" s="1"/>
  <c r="H121" i="20"/>
  <c r="H122" i="20" s="1"/>
  <c r="L44" i="23"/>
  <c r="L48" i="23"/>
  <c r="H65" i="1"/>
  <c r="H66" i="1" s="1"/>
  <c r="L40" i="20" s="1"/>
  <c r="G65" i="1"/>
  <c r="G66" i="1" s="1"/>
  <c r="G67" i="1" s="1"/>
  <c r="F55" i="1"/>
  <c r="F56" i="1" s="1"/>
  <c r="H30" i="20" s="1"/>
  <c r="H79" i="1"/>
  <c r="L9" i="20"/>
  <c r="L11" i="20" s="1"/>
  <c r="M1" i="26"/>
  <c r="H60" i="20"/>
  <c r="H119" i="20"/>
  <c r="H120" i="20" s="1"/>
  <c r="L121" i="20"/>
  <c r="L122" i="20" s="1"/>
  <c r="G122" i="1"/>
  <c r="G7" i="23"/>
  <c r="H145" i="20"/>
  <c r="G97" i="1"/>
  <c r="G38" i="2"/>
  <c r="G110" i="2"/>
  <c r="J11" i="26"/>
  <c r="H45" i="1"/>
  <c r="M12" i="26" s="1"/>
  <c r="J9" i="20"/>
  <c r="J11" i="20" s="1"/>
  <c r="J14" i="26"/>
  <c r="F19" i="23"/>
  <c r="H144" i="1"/>
  <c r="L33" i="19" s="1"/>
  <c r="H34" i="1"/>
  <c r="G146" i="1"/>
  <c r="H147" i="1"/>
  <c r="P4" i="18"/>
  <c r="M11" i="26"/>
  <c r="E7" i="23"/>
  <c r="L17" i="20"/>
  <c r="G39" i="2"/>
  <c r="F79" i="1"/>
  <c r="T2" i="9"/>
  <c r="F24" i="23"/>
  <c r="G109" i="2"/>
  <c r="G144" i="1"/>
  <c r="J33" i="19" s="1"/>
  <c r="F146" i="1"/>
  <c r="F22" i="23"/>
  <c r="K62" i="2"/>
  <c r="M6" i="26" s="1"/>
  <c r="I110" i="2"/>
  <c r="I17" i="2"/>
  <c r="I18" i="2" s="1"/>
  <c r="I26" i="2" s="1"/>
  <c r="H7" i="20"/>
  <c r="F20" i="1"/>
  <c r="H15" i="20" s="1"/>
  <c r="G45" i="1"/>
  <c r="J24" i="23"/>
  <c r="K5" i="24"/>
  <c r="H173" i="1"/>
  <c r="K109" i="2"/>
  <c r="I111" i="2"/>
  <c r="L46" i="23"/>
  <c r="J121" i="20"/>
  <c r="J122" i="20" s="1"/>
  <c r="L148" i="1"/>
  <c r="L128" i="20"/>
  <c r="L130" i="20" s="1"/>
  <c r="I79" i="1"/>
  <c r="N60" i="20"/>
  <c r="N6" i="20"/>
  <c r="E173" i="1"/>
  <c r="J5" i="24"/>
  <c r="G4" i="2"/>
  <c r="N220" i="20"/>
  <c r="J47" i="23"/>
  <c r="J48" i="23"/>
  <c r="J1" i="26"/>
  <c r="L2" i="24"/>
  <c r="G96" i="1"/>
  <c r="F18" i="20"/>
  <c r="P2" i="9"/>
  <c r="G21" i="23"/>
  <c r="G173" i="1"/>
  <c r="H42" i="23"/>
  <c r="H4" i="23"/>
  <c r="I97" i="1"/>
  <c r="I98" i="1" s="1"/>
  <c r="I25" i="1"/>
  <c r="M91" i="2"/>
  <c r="L145" i="20"/>
  <c r="F3" i="19"/>
  <c r="M111" i="2"/>
  <c r="N17" i="20"/>
  <c r="I15" i="1"/>
  <c r="L12" i="23"/>
  <c r="M103" i="2"/>
  <c r="I149" i="1"/>
  <c r="F4" i="23"/>
  <c r="D50" i="23"/>
  <c r="M4" i="18"/>
  <c r="K2" i="24"/>
  <c r="G95" i="1"/>
  <c r="H10" i="27"/>
  <c r="H12" i="27" s="1"/>
  <c r="G10" i="27"/>
  <c r="G12" i="27" s="1"/>
  <c r="G15" i="27"/>
  <c r="J3" i="19"/>
  <c r="M2" i="24"/>
  <c r="P92" i="2"/>
  <c r="P106" i="2" s="1"/>
  <c r="M20" i="1"/>
  <c r="H2" i="9"/>
  <c r="M109" i="2"/>
  <c r="D1" i="26"/>
  <c r="I147" i="1"/>
  <c r="I96" i="1"/>
  <c r="N128" i="20"/>
  <c r="N130" i="20" s="1"/>
  <c r="M62" i="2"/>
  <c r="L14" i="23" s="1"/>
  <c r="D48" i="23"/>
  <c r="G1" i="26"/>
  <c r="J4" i="18"/>
  <c r="F42" i="23"/>
  <c r="F19" i="20"/>
  <c r="L22" i="23"/>
  <c r="I20" i="1"/>
  <c r="N15" i="20" s="1"/>
  <c r="D42" i="23"/>
  <c r="D47" i="23"/>
  <c r="F173" i="1"/>
  <c r="I4" i="2"/>
  <c r="R112" i="2"/>
  <c r="N20" i="1"/>
  <c r="V112" i="2"/>
  <c r="V62" i="2"/>
  <c r="X112" i="2"/>
  <c r="P69" i="2"/>
  <c r="M15" i="1"/>
  <c r="M25" i="1"/>
  <c r="N15" i="1"/>
  <c r="N25" i="1"/>
  <c r="O15" i="1"/>
  <c r="O34" i="1"/>
  <c r="O148" i="1"/>
  <c r="V89" i="2"/>
  <c r="O25" i="1"/>
  <c r="M148" i="1"/>
  <c r="N148" i="1"/>
  <c r="T36" i="2"/>
  <c r="X41" i="2"/>
  <c r="R36" i="2"/>
  <c r="T41" i="2"/>
  <c r="V36" i="2"/>
  <c r="X36" i="2"/>
  <c r="X42" i="2" s="1"/>
  <c r="T112" i="2"/>
  <c r="T91" i="2"/>
  <c r="T89" i="2"/>
  <c r="R92" i="2"/>
  <c r="R93" i="2" s="1"/>
  <c r="R87" i="2"/>
  <c r="P87" i="2"/>
  <c r="P89" i="2"/>
  <c r="X91" i="2"/>
  <c r="X89" i="2"/>
  <c r="V82" i="2"/>
  <c r="V69" i="2"/>
  <c r="T82" i="2"/>
  <c r="T69" i="2"/>
  <c r="P81" i="2"/>
  <c r="X82" i="2"/>
  <c r="X69" i="2"/>
  <c r="V81" i="2"/>
  <c r="R82" i="2"/>
  <c r="P82" i="2"/>
  <c r="T81" i="2"/>
  <c r="T62" i="2"/>
  <c r="R61" i="2"/>
  <c r="T61" i="2"/>
  <c r="P61" i="2"/>
  <c r="X61" i="2"/>
  <c r="E29" i="27"/>
  <c r="E30" i="27" s="1"/>
  <c r="E31" i="27" s="1"/>
  <c r="F31" i="27" s="1"/>
  <c r="X25" i="2"/>
  <c r="X87" i="2"/>
  <c r="X92" i="2"/>
  <c r="X93" i="2" s="1"/>
  <c r="V25" i="2"/>
  <c r="V26" i="2" s="1"/>
  <c r="V87" i="2"/>
  <c r="V92" i="2"/>
  <c r="V93" i="2" s="1"/>
  <c r="T25" i="2"/>
  <c r="T87" i="2"/>
  <c r="T92" i="2"/>
  <c r="T93" i="2" s="1"/>
  <c r="O79" i="1"/>
  <c r="O122" i="1"/>
  <c r="O65" i="1"/>
  <c r="O66" i="1" s="1"/>
  <c r="O67" i="1" s="1"/>
  <c r="O97" i="1"/>
  <c r="O98" i="1" s="1"/>
  <c r="O38" i="1"/>
  <c r="O96" i="1"/>
  <c r="O144" i="1"/>
  <c r="O45" i="1"/>
  <c r="O55" i="1"/>
  <c r="N79" i="1"/>
  <c r="N122" i="1"/>
  <c r="N65" i="1"/>
  <c r="N66" i="1" s="1"/>
  <c r="N67" i="1" s="1"/>
  <c r="N97" i="1"/>
  <c r="N98" i="1" s="1"/>
  <c r="N38" i="1"/>
  <c r="N96" i="1"/>
  <c r="N144" i="1"/>
  <c r="N45" i="1"/>
  <c r="N55" i="1"/>
  <c r="M79" i="1"/>
  <c r="M122" i="1"/>
  <c r="M65" i="1"/>
  <c r="M66" i="1" s="1"/>
  <c r="M67" i="1" s="1"/>
  <c r="M97" i="1"/>
  <c r="M98" i="1" s="1"/>
  <c r="M38" i="1"/>
  <c r="M96" i="1"/>
  <c r="M144" i="1"/>
  <c r="M45" i="1"/>
  <c r="M55" i="1"/>
  <c r="L45" i="1"/>
  <c r="L46" i="1" s="1"/>
  <c r="H46" i="23"/>
  <c r="K20" i="1"/>
  <c r="K55" i="1"/>
  <c r="K56" i="1" s="1"/>
  <c r="K57" i="1" s="1"/>
  <c r="K79" i="1"/>
  <c r="K97" i="1"/>
  <c r="K98" i="1" s="1"/>
  <c r="L55" i="1"/>
  <c r="L56" i="1" s="1"/>
  <c r="L57" i="1" s="1"/>
  <c r="K15" i="1"/>
  <c r="K96" i="1"/>
  <c r="L65" i="1"/>
  <c r="L66" i="1" s="1"/>
  <c r="L67" i="1" s="1"/>
  <c r="D45" i="23"/>
  <c r="E25" i="1"/>
  <c r="K38" i="1"/>
  <c r="K39" i="1" s="1"/>
  <c r="K34" i="1"/>
  <c r="L15" i="1"/>
  <c r="L25" i="1"/>
  <c r="L34" i="1"/>
  <c r="L97" i="1"/>
  <c r="L98" i="1" s="1"/>
  <c r="L99" i="1" s="1"/>
  <c r="K25" i="1"/>
  <c r="K45" i="1"/>
  <c r="K122" i="1"/>
  <c r="F194" i="20"/>
  <c r="F198" i="20" s="1"/>
  <c r="F197" i="20" s="1"/>
  <c r="H185" i="20"/>
  <c r="H189" i="20" s="1"/>
  <c r="H188" i="20" s="1"/>
  <c r="F176" i="20"/>
  <c r="F179" i="20" s="1"/>
  <c r="F178" i="20" s="1"/>
  <c r="K148" i="1"/>
  <c r="J185" i="20"/>
  <c r="J189" i="20" s="1"/>
  <c r="J188" i="20" s="1"/>
  <c r="L79" i="1"/>
  <c r="L122" i="1"/>
  <c r="L38" i="1"/>
  <c r="L96" i="1"/>
  <c r="L144" i="1"/>
  <c r="R81" i="2"/>
  <c r="R91" i="2"/>
  <c r="R25" i="2"/>
  <c r="R26" i="2" s="1"/>
  <c r="P62" i="2"/>
  <c r="P26" i="2"/>
  <c r="K65" i="1"/>
  <c r="K66" i="1" s="1"/>
  <c r="K67" i="1" s="1"/>
  <c r="F185" i="20"/>
  <c r="F35" i="27"/>
  <c r="G35" i="27" s="1"/>
  <c r="H35" i="27" s="1"/>
  <c r="F31" i="21"/>
  <c r="F127" i="20" s="1"/>
  <c r="L176" i="20"/>
  <c r="L179" i="20" s="1"/>
  <c r="L178" i="20" s="1"/>
  <c r="E6" i="1"/>
  <c r="K21" i="23"/>
  <c r="J18" i="20"/>
  <c r="J125" i="21"/>
  <c r="N125" i="21"/>
  <c r="N18" i="20"/>
  <c r="L125" i="21"/>
  <c r="L18" i="20"/>
  <c r="H18" i="20"/>
  <c r="H125" i="21"/>
  <c r="I65" i="1"/>
  <c r="H176" i="20"/>
  <c r="H179" i="20" s="1"/>
  <c r="H178" i="20" s="1"/>
  <c r="J176" i="20"/>
  <c r="J179" i="20" s="1"/>
  <c r="J178" i="20" s="1"/>
  <c r="G79" i="1"/>
  <c r="H15" i="27" l="1"/>
  <c r="I15" i="27"/>
  <c r="V115" i="2"/>
  <c r="W115" i="2" s="1"/>
  <c r="O123" i="20"/>
  <c r="L127" i="20"/>
  <c r="H115" i="2"/>
  <c r="H37" i="19"/>
  <c r="H15" i="19"/>
  <c r="H24" i="19"/>
  <c r="H26" i="19"/>
  <c r="G124" i="2"/>
  <c r="N28" i="20"/>
  <c r="N127" i="20"/>
  <c r="J40" i="20"/>
  <c r="J42" i="20" s="1"/>
  <c r="O119" i="20"/>
  <c r="G98" i="1"/>
  <c r="G99" i="1" s="1"/>
  <c r="O121" i="20"/>
  <c r="E99" i="1"/>
  <c r="F56" i="20"/>
  <c r="E100" i="1"/>
  <c r="F199" i="1"/>
  <c r="F201" i="1" s="1"/>
  <c r="H105" i="20" s="1"/>
  <c r="H107" i="20" s="1"/>
  <c r="H94" i="21"/>
  <c r="H101" i="21" s="1"/>
  <c r="H111" i="21" s="1"/>
  <c r="I111" i="21" s="1"/>
  <c r="H93" i="21"/>
  <c r="H100" i="21" s="1"/>
  <c r="H199" i="1"/>
  <c r="L92" i="21" s="1"/>
  <c r="L94" i="21"/>
  <c r="L101" i="21" s="1"/>
  <c r="L111" i="21" s="1"/>
  <c r="M111" i="21" s="1"/>
  <c r="L93" i="21"/>
  <c r="L100" i="21" s="1"/>
  <c r="E199" i="1"/>
  <c r="F92" i="21" s="1"/>
  <c r="F94" i="21"/>
  <c r="F101" i="21" s="1"/>
  <c r="F111" i="21" s="1"/>
  <c r="F93" i="21"/>
  <c r="F100" i="21" s="1"/>
  <c r="F110" i="21" s="1"/>
  <c r="G199" i="1"/>
  <c r="G201" i="1" s="1"/>
  <c r="J105" i="20" s="1"/>
  <c r="J107" i="20" s="1"/>
  <c r="J94" i="21"/>
  <c r="J101" i="21" s="1"/>
  <c r="J111" i="21" s="1"/>
  <c r="K111" i="21" s="1"/>
  <c r="J93" i="21"/>
  <c r="J100" i="21" s="1"/>
  <c r="I199" i="1"/>
  <c r="N92" i="21" s="1"/>
  <c r="N94" i="21"/>
  <c r="N101" i="21" s="1"/>
  <c r="N111" i="21" s="1"/>
  <c r="N93" i="21"/>
  <c r="N100" i="21" s="1"/>
  <c r="N110" i="21" s="1"/>
  <c r="K26" i="2"/>
  <c r="F105" i="1"/>
  <c r="F107" i="1"/>
  <c r="F108" i="1"/>
  <c r="R42" i="2"/>
  <c r="V42" i="2"/>
  <c r="T42" i="2"/>
  <c r="R115" i="2"/>
  <c r="S115" i="2" s="1"/>
  <c r="M80" i="1"/>
  <c r="N99" i="1"/>
  <c r="O99" i="1"/>
  <c r="M99" i="1"/>
  <c r="N80" i="1"/>
  <c r="L80" i="1"/>
  <c r="O80" i="1"/>
  <c r="H111" i="1"/>
  <c r="H125" i="1" s="1"/>
  <c r="H129" i="1" s="1"/>
  <c r="J118" i="21"/>
  <c r="J169" i="20" s="1"/>
  <c r="M26" i="2"/>
  <c r="N199" i="1"/>
  <c r="N201" i="1" s="1"/>
  <c r="N111" i="1"/>
  <c r="O199" i="1"/>
  <c r="O201" i="1" s="1"/>
  <c r="O111" i="1"/>
  <c r="O115" i="1" s="1"/>
  <c r="M199" i="1"/>
  <c r="M201" i="1" s="1"/>
  <c r="M111" i="1"/>
  <c r="M125" i="1" s="1"/>
  <c r="M126" i="1" s="1"/>
  <c r="L199" i="1"/>
  <c r="L201" i="1" s="1"/>
  <c r="L111" i="1"/>
  <c r="L125" i="1" s="1"/>
  <c r="L126" i="1" s="1"/>
  <c r="I111" i="1"/>
  <c r="I125" i="1" s="1"/>
  <c r="I126" i="1" s="1"/>
  <c r="N18" i="19" s="1"/>
  <c r="K111" i="1"/>
  <c r="K115" i="1" s="1"/>
  <c r="I112" i="2"/>
  <c r="M3" i="24"/>
  <c r="M4" i="24" s="1"/>
  <c r="E41" i="2"/>
  <c r="E42" i="2" s="1"/>
  <c r="G41" i="2"/>
  <c r="G42" i="2" s="1"/>
  <c r="I41" i="2"/>
  <c r="I42" i="2" s="1"/>
  <c r="G112" i="2"/>
  <c r="E112" i="2"/>
  <c r="G80" i="1"/>
  <c r="K3" i="24"/>
  <c r="K4" i="24" s="1"/>
  <c r="L169" i="20"/>
  <c r="K41" i="2"/>
  <c r="K42" i="2" s="1"/>
  <c r="J52" i="23"/>
  <c r="K112" i="2"/>
  <c r="J25" i="21"/>
  <c r="F25" i="21"/>
  <c r="P42" i="2"/>
  <c r="P115" i="2"/>
  <c r="Q115" i="2" s="1"/>
  <c r="M41" i="2"/>
  <c r="M42" i="2" s="1"/>
  <c r="M112" i="2"/>
  <c r="E80" i="1"/>
  <c r="F100" i="1"/>
  <c r="F99" i="1"/>
  <c r="H80" i="1"/>
  <c r="I99" i="1"/>
  <c r="I80" i="1"/>
  <c r="H99" i="1"/>
  <c r="F80" i="1"/>
  <c r="K99" i="1"/>
  <c r="K80" i="1"/>
  <c r="H89" i="21"/>
  <c r="J89" i="21"/>
  <c r="L89" i="21"/>
  <c r="L90" i="21" s="1"/>
  <c r="N89" i="21"/>
  <c r="F89" i="21"/>
  <c r="P107" i="2"/>
  <c r="P93" i="2"/>
  <c r="N125" i="1"/>
  <c r="N129" i="1" s="1"/>
  <c r="N130" i="1" s="1"/>
  <c r="H16" i="23"/>
  <c r="M68" i="1"/>
  <c r="M69" i="1" s="1"/>
  <c r="O68" i="1"/>
  <c r="O69" i="1" s="1"/>
  <c r="N68" i="1"/>
  <c r="N69" i="1" s="1"/>
  <c r="K68" i="1"/>
  <c r="K69" i="1" s="1"/>
  <c r="L68" i="1"/>
  <c r="L69" i="1" s="1"/>
  <c r="F125" i="1"/>
  <c r="F129" i="1" s="1"/>
  <c r="G125" i="1"/>
  <c r="R106" i="2"/>
  <c r="R107" i="2" s="1"/>
  <c r="L52" i="23"/>
  <c r="E125" i="1"/>
  <c r="L11" i="23"/>
  <c r="E148" i="1"/>
  <c r="D18" i="23"/>
  <c r="F21" i="20"/>
  <c r="F220" i="20"/>
  <c r="F219" i="20" s="1"/>
  <c r="F222" i="20" s="1"/>
  <c r="F221" i="20" s="1"/>
  <c r="D6" i="26"/>
  <c r="E24" i="23"/>
  <c r="N4" i="24"/>
  <c r="E81" i="2"/>
  <c r="E39" i="1"/>
  <c r="F13" i="20" s="1"/>
  <c r="F148" i="1"/>
  <c r="E46" i="1"/>
  <c r="K81" i="1"/>
  <c r="M81" i="1"/>
  <c r="O81" i="1"/>
  <c r="F81" i="1"/>
  <c r="L81" i="1"/>
  <c r="I81" i="1"/>
  <c r="K48" i="1"/>
  <c r="N81" i="1"/>
  <c r="F41" i="1"/>
  <c r="H81" i="1"/>
  <c r="K23" i="23"/>
  <c r="E81" i="1"/>
  <c r="H46" i="1"/>
  <c r="E23" i="23"/>
  <c r="F44" i="20"/>
  <c r="F45" i="20" s="1"/>
  <c r="D12" i="26"/>
  <c r="E11" i="26" s="1"/>
  <c r="E67" i="1"/>
  <c r="F39" i="20"/>
  <c r="N125" i="20"/>
  <c r="L125" i="20"/>
  <c r="L126" i="20" s="1"/>
  <c r="F125" i="20"/>
  <c r="F126" i="20" s="1"/>
  <c r="H125" i="20"/>
  <c r="H126" i="20" s="1"/>
  <c r="J125" i="20"/>
  <c r="J126" i="20" s="1"/>
  <c r="E91" i="2"/>
  <c r="K24" i="23"/>
  <c r="F39" i="1"/>
  <c r="H13" i="20" s="1"/>
  <c r="F169" i="20"/>
  <c r="F48" i="1"/>
  <c r="E22" i="23"/>
  <c r="E68" i="1"/>
  <c r="E69" i="1" s="1"/>
  <c r="F18" i="23"/>
  <c r="F30" i="20"/>
  <c r="D52" i="23"/>
  <c r="L6" i="19"/>
  <c r="E159" i="1"/>
  <c r="N169" i="20"/>
  <c r="D3" i="26"/>
  <c r="D5" i="26" s="1"/>
  <c r="G148" i="1"/>
  <c r="I24" i="23"/>
  <c r="H67" i="1"/>
  <c r="H21" i="20"/>
  <c r="N31" i="20"/>
  <c r="E57" i="1"/>
  <c r="I23" i="23"/>
  <c r="H148" i="1"/>
  <c r="L39" i="20"/>
  <c r="J39" i="20"/>
  <c r="H159" i="1"/>
  <c r="H166" i="1" s="1"/>
  <c r="H167" i="1" s="1"/>
  <c r="F65" i="21"/>
  <c r="N27" i="20"/>
  <c r="L44" i="20"/>
  <c r="L45" i="20" s="1"/>
  <c r="J65" i="21"/>
  <c r="H68" i="1"/>
  <c r="H69" i="1" s="1"/>
  <c r="F68" i="1"/>
  <c r="F69" i="1" s="1"/>
  <c r="N6" i="19"/>
  <c r="L28" i="20"/>
  <c r="I22" i="23"/>
  <c r="I148" i="1"/>
  <c r="F52" i="23"/>
  <c r="N30" i="20"/>
  <c r="H12" i="23"/>
  <c r="G12" i="23" s="1"/>
  <c r="E82" i="1"/>
  <c r="E104" i="1" s="1"/>
  <c r="E12" i="23"/>
  <c r="E87" i="2"/>
  <c r="G19" i="23"/>
  <c r="I19" i="23"/>
  <c r="G39" i="1"/>
  <c r="J13" i="20" s="1"/>
  <c r="L219" i="20"/>
  <c r="L222" i="20" s="1"/>
  <c r="L221" i="20" s="1"/>
  <c r="J31" i="20"/>
  <c r="H39" i="20"/>
  <c r="E19" i="23"/>
  <c r="G159" i="1"/>
  <c r="G166" i="1" s="1"/>
  <c r="G167" i="1" s="1"/>
  <c r="F46" i="1"/>
  <c r="G3" i="26"/>
  <c r="G5" i="26" s="1"/>
  <c r="L21" i="20"/>
  <c r="J14" i="23"/>
  <c r="K14" i="23" s="1"/>
  <c r="N21" i="20"/>
  <c r="G23" i="23"/>
  <c r="G57" i="1"/>
  <c r="F82" i="1"/>
  <c r="E48" i="1"/>
  <c r="G24" i="23"/>
  <c r="K61" i="2"/>
  <c r="F11" i="23"/>
  <c r="H65" i="21"/>
  <c r="M87" i="2"/>
  <c r="H169" i="20"/>
  <c r="K22" i="23"/>
  <c r="K19" i="23"/>
  <c r="G41" i="1"/>
  <c r="G81" i="2"/>
  <c r="L4" i="24"/>
  <c r="H39" i="1"/>
  <c r="L13" i="20" s="1"/>
  <c r="J12" i="26"/>
  <c r="K11" i="26" s="1"/>
  <c r="J27" i="20"/>
  <c r="G48" i="1"/>
  <c r="M3" i="26"/>
  <c r="M5" i="26" s="1"/>
  <c r="N5" i="26" s="1"/>
  <c r="O5" i="26" s="1"/>
  <c r="J44" i="20"/>
  <c r="J45" i="20" s="1"/>
  <c r="H31" i="20"/>
  <c r="F33" i="20" s="1"/>
  <c r="G46" i="1"/>
  <c r="H82" i="1"/>
  <c r="H104" i="1" s="1"/>
  <c r="H106" i="1" s="1"/>
  <c r="H44" i="20"/>
  <c r="H45" i="20" s="1"/>
  <c r="I81" i="2"/>
  <c r="L17" i="23"/>
  <c r="E41" i="1"/>
  <c r="H40" i="20"/>
  <c r="F42" i="20" s="1"/>
  <c r="G62" i="2"/>
  <c r="G6" i="26" s="1"/>
  <c r="N11" i="26"/>
  <c r="J18" i="23"/>
  <c r="L27" i="20"/>
  <c r="H48" i="1"/>
  <c r="F159" i="1"/>
  <c r="K81" i="2"/>
  <c r="G87" i="2"/>
  <c r="G91" i="2"/>
  <c r="H18" i="23"/>
  <c r="I103" i="2"/>
  <c r="I87" i="2"/>
  <c r="I91" i="2"/>
  <c r="I62" i="2"/>
  <c r="I61" i="2"/>
  <c r="G68" i="1"/>
  <c r="G69" i="1" s="1"/>
  <c r="J11" i="23"/>
  <c r="J21" i="20"/>
  <c r="J28" i="20"/>
  <c r="F28" i="20"/>
  <c r="J220" i="20"/>
  <c r="H28" i="20"/>
  <c r="G12" i="26"/>
  <c r="H11" i="26" s="1"/>
  <c r="L11" i="26" s="1"/>
  <c r="H52" i="23"/>
  <c r="H11" i="23"/>
  <c r="J3" i="26"/>
  <c r="J5" i="26" s="1"/>
  <c r="M81" i="2"/>
  <c r="K87" i="2"/>
  <c r="K91" i="2"/>
  <c r="G22" i="23"/>
  <c r="L65" i="21"/>
  <c r="F57" i="1"/>
  <c r="J3" i="24"/>
  <c r="J4" i="24" s="1"/>
  <c r="H41" i="1"/>
  <c r="I39" i="1"/>
  <c r="N13" i="20" s="1"/>
  <c r="L18" i="23"/>
  <c r="M61" i="2"/>
  <c r="N41" i="1"/>
  <c r="O39" i="1"/>
  <c r="M41" i="1"/>
  <c r="N39" i="1"/>
  <c r="L41" i="1"/>
  <c r="M39" i="1"/>
  <c r="D16" i="26"/>
  <c r="E15" i="26" s="1"/>
  <c r="K159" i="1"/>
  <c r="K166" i="1" s="1"/>
  <c r="K167" i="1" s="1"/>
  <c r="N56" i="1"/>
  <c r="N57" i="1" s="1"/>
  <c r="N159" i="1"/>
  <c r="N160" i="1" s="1"/>
  <c r="M56" i="1"/>
  <c r="M57" i="1" s="1"/>
  <c r="M159" i="1"/>
  <c r="O56" i="1"/>
  <c r="O57" i="1" s="1"/>
  <c r="O159" i="1"/>
  <c r="O160" i="1" s="1"/>
  <c r="X106" i="2"/>
  <c r="X107" i="2" s="1"/>
  <c r="X26" i="2"/>
  <c r="X115" i="2" s="1"/>
  <c r="Y115" i="2" s="1"/>
  <c r="V106" i="2"/>
  <c r="V107" i="2" s="1"/>
  <c r="T106" i="2"/>
  <c r="T107" i="2" s="1"/>
  <c r="T26" i="2"/>
  <c r="T115" i="2" s="1"/>
  <c r="U115" i="2" s="1"/>
  <c r="O46" i="1"/>
  <c r="N48" i="1"/>
  <c r="O82" i="1"/>
  <c r="N46" i="1"/>
  <c r="M48" i="1"/>
  <c r="N82" i="1"/>
  <c r="M46" i="1"/>
  <c r="L48" i="1"/>
  <c r="M82" i="1"/>
  <c r="K46" i="1"/>
  <c r="I41" i="1"/>
  <c r="I48" i="1"/>
  <c r="L82" i="1"/>
  <c r="L159" i="1"/>
  <c r="K82" i="1"/>
  <c r="K104" i="1" s="1"/>
  <c r="L39" i="1"/>
  <c r="K41" i="1"/>
  <c r="M16" i="26"/>
  <c r="N15" i="26" s="1"/>
  <c r="L31" i="20"/>
  <c r="L30" i="20"/>
  <c r="J19" i="20"/>
  <c r="J20" i="20"/>
  <c r="J23" i="20" s="1"/>
  <c r="N19" i="20"/>
  <c r="N20" i="20"/>
  <c r="N23" i="20" s="1"/>
  <c r="H19" i="20"/>
  <c r="H20" i="20"/>
  <c r="H23" i="20" s="1"/>
  <c r="F25" i="20" s="1"/>
  <c r="L19" i="20"/>
  <c r="L20" i="20"/>
  <c r="L23" i="20" s="1"/>
  <c r="I82" i="1"/>
  <c r="I104" i="1" s="1"/>
  <c r="I106" i="1" s="1"/>
  <c r="N44" i="20"/>
  <c r="N45" i="20" s="1"/>
  <c r="I66" i="1"/>
  <c r="I159" i="1"/>
  <c r="I68" i="1"/>
  <c r="I69" i="1" s="1"/>
  <c r="K12" i="23"/>
  <c r="G16" i="26"/>
  <c r="G82" i="1"/>
  <c r="G104" i="1" s="1"/>
  <c r="G105" i="1" s="1"/>
  <c r="G81" i="1"/>
  <c r="H201" i="1" l="1"/>
  <c r="L105" i="20" s="1"/>
  <c r="L107" i="20" s="1"/>
  <c r="H92" i="21"/>
  <c r="I93" i="21" s="1"/>
  <c r="G100" i="1"/>
  <c r="G107" i="1"/>
  <c r="G109" i="1" s="1"/>
  <c r="N126" i="20"/>
  <c r="O125" i="20"/>
  <c r="G106" i="1"/>
  <c r="G113" i="1"/>
  <c r="I115" i="2"/>
  <c r="M52" i="18" s="1"/>
  <c r="L110" i="21"/>
  <c r="M110" i="21" s="1"/>
  <c r="J110" i="21"/>
  <c r="K110" i="21" s="1"/>
  <c r="H110" i="21"/>
  <c r="I110" i="21" s="1"/>
  <c r="E106" i="1"/>
  <c r="E113" i="1"/>
  <c r="E105" i="1"/>
  <c r="E107" i="1"/>
  <c r="E109" i="1" s="1"/>
  <c r="V113" i="2"/>
  <c r="V126" i="2" s="1"/>
  <c r="J92" i="21"/>
  <c r="K93" i="21" s="1"/>
  <c r="E201" i="1"/>
  <c r="F105" i="20" s="1"/>
  <c r="F107" i="20" s="1"/>
  <c r="I201" i="1"/>
  <c r="N105" i="20" s="1"/>
  <c r="N107" i="20" s="1"/>
  <c r="M94" i="21"/>
  <c r="M93" i="21"/>
  <c r="L95" i="21"/>
  <c r="M95" i="21" s="1"/>
  <c r="I94" i="21"/>
  <c r="G94" i="21"/>
  <c r="G93" i="21"/>
  <c r="F95" i="21"/>
  <c r="G95" i="21" s="1"/>
  <c r="N95" i="21"/>
  <c r="O95" i="21" s="1"/>
  <c r="O93" i="21"/>
  <c r="O94" i="21"/>
  <c r="H107" i="1"/>
  <c r="H109" i="1" s="1"/>
  <c r="I107" i="1"/>
  <c r="I109" i="1" s="1"/>
  <c r="K105" i="1"/>
  <c r="K107" i="1"/>
  <c r="K109" i="1" s="1"/>
  <c r="K108" i="1"/>
  <c r="D28" i="23"/>
  <c r="H100" i="1"/>
  <c r="F28" i="23"/>
  <c r="H28" i="23"/>
  <c r="K113" i="1"/>
  <c r="N131" i="1"/>
  <c r="H105" i="1"/>
  <c r="H113" i="1"/>
  <c r="J28" i="23"/>
  <c r="K115" i="2"/>
  <c r="I100" i="1"/>
  <c r="M115" i="2"/>
  <c r="I105" i="1"/>
  <c r="I113" i="1"/>
  <c r="L28" i="23"/>
  <c r="N100" i="1"/>
  <c r="N104" i="1"/>
  <c r="O104" i="1"/>
  <c r="O100" i="1"/>
  <c r="L104" i="1"/>
  <c r="L100" i="1"/>
  <c r="M104" i="1"/>
  <c r="M100" i="1"/>
  <c r="K100" i="1"/>
  <c r="E115" i="2"/>
  <c r="R113" i="2"/>
  <c r="R126" i="2" s="1"/>
  <c r="P113" i="2"/>
  <c r="P126" i="2" s="1"/>
  <c r="X113" i="2"/>
  <c r="X126" i="2" s="1"/>
  <c r="T113" i="2"/>
  <c r="T126" i="2" s="1"/>
  <c r="M92" i="21"/>
  <c r="G92" i="21"/>
  <c r="O92" i="21"/>
  <c r="I92" i="21"/>
  <c r="J90" i="21"/>
  <c r="K87" i="21" s="1"/>
  <c r="H90" i="21"/>
  <c r="I88" i="21" s="1"/>
  <c r="F90" i="21"/>
  <c r="M90" i="21"/>
  <c r="M88" i="21"/>
  <c r="M87" i="21"/>
  <c r="N90" i="21"/>
  <c r="M89" i="21"/>
  <c r="E115" i="1"/>
  <c r="N115" i="1"/>
  <c r="H115" i="1"/>
  <c r="L115" i="1"/>
  <c r="I115" i="1"/>
  <c r="J16" i="26"/>
  <c r="K15" i="26" s="1"/>
  <c r="G115" i="1"/>
  <c r="F115" i="1"/>
  <c r="M115" i="1"/>
  <c r="L56" i="20"/>
  <c r="L58" i="20" s="1"/>
  <c r="L83" i="1"/>
  <c r="F83" i="1"/>
  <c r="D17" i="26"/>
  <c r="E16" i="26" s="1"/>
  <c r="F16" i="26" s="1"/>
  <c r="M129" i="1"/>
  <c r="M130" i="1" s="1"/>
  <c r="Q41" i="2"/>
  <c r="Q107" i="2"/>
  <c r="W25" i="2"/>
  <c r="W107" i="2"/>
  <c r="S26" i="2"/>
  <c r="S107" i="2"/>
  <c r="L129" i="1"/>
  <c r="L130" i="1" s="1"/>
  <c r="K125" i="1"/>
  <c r="K126" i="1" s="1"/>
  <c r="O125" i="1"/>
  <c r="O129" i="1" s="1"/>
  <c r="O130" i="1" s="1"/>
  <c r="N126" i="1"/>
  <c r="F130" i="1"/>
  <c r="F131" i="1" s="1"/>
  <c r="H130" i="1"/>
  <c r="H131" i="1" s="1"/>
  <c r="H13" i="23"/>
  <c r="F13" i="23"/>
  <c r="L15" i="23"/>
  <c r="J15" i="23"/>
  <c r="L136" i="20" s="1"/>
  <c r="Q92" i="2"/>
  <c r="V43" i="2"/>
  <c r="D25" i="23"/>
  <c r="R43" i="2"/>
  <c r="F25" i="23"/>
  <c r="T43" i="2"/>
  <c r="J25" i="23"/>
  <c r="X43" i="2"/>
  <c r="H27" i="23"/>
  <c r="H29" i="23" s="1"/>
  <c r="J27" i="23"/>
  <c r="L27" i="23"/>
  <c r="F27" i="23"/>
  <c r="F29" i="23" s="1"/>
  <c r="D27" i="23"/>
  <c r="Q25" i="2"/>
  <c r="Q23" i="2"/>
  <c r="K11" i="23"/>
  <c r="E126" i="1"/>
  <c r="Q82" i="2"/>
  <c r="Q106" i="2"/>
  <c r="Q30" i="2"/>
  <c r="Q26" i="2"/>
  <c r="Q27" i="2"/>
  <c r="Q18" i="2"/>
  <c r="Q112" i="2"/>
  <c r="Q104" i="2"/>
  <c r="Q34" i="2"/>
  <c r="Q62" i="2"/>
  <c r="Q36" i="2"/>
  <c r="F6" i="19"/>
  <c r="D16" i="23"/>
  <c r="D20" i="23" s="1"/>
  <c r="E107" i="2"/>
  <c r="E129" i="1"/>
  <c r="E18" i="23"/>
  <c r="D14" i="23"/>
  <c r="F134" i="20"/>
  <c r="E11" i="23"/>
  <c r="G107" i="2"/>
  <c r="G113" i="2" s="1"/>
  <c r="F16" i="23"/>
  <c r="G16" i="23" s="1"/>
  <c r="F47" i="20"/>
  <c r="E83" i="1"/>
  <c r="F168" i="20"/>
  <c r="F171" i="20" s="1"/>
  <c r="F170" i="20" s="1"/>
  <c r="L168" i="20"/>
  <c r="L171" i="20" s="1"/>
  <c r="L170" i="20" s="1"/>
  <c r="F126" i="1"/>
  <c r="H51" i="20"/>
  <c r="H52" i="20" s="1"/>
  <c r="H56" i="20"/>
  <c r="H58" i="20" s="1"/>
  <c r="F58" i="20"/>
  <c r="F49" i="20"/>
  <c r="D13" i="23"/>
  <c r="F51" i="20"/>
  <c r="F52" i="20" s="1"/>
  <c r="H15" i="23"/>
  <c r="J7" i="26" s="1"/>
  <c r="H160" i="1"/>
  <c r="F50" i="20"/>
  <c r="K18" i="23"/>
  <c r="I12" i="23"/>
  <c r="L13" i="23"/>
  <c r="L47" i="20"/>
  <c r="I129" i="1"/>
  <c r="I18" i="23"/>
  <c r="J47" i="20"/>
  <c r="H33" i="20"/>
  <c r="H42" i="20"/>
  <c r="G11" i="23"/>
  <c r="J13" i="23"/>
  <c r="H83" i="1"/>
  <c r="G160" i="1"/>
  <c r="J33" i="20"/>
  <c r="H6" i="19"/>
  <c r="H49" i="20"/>
  <c r="G17" i="26"/>
  <c r="H16" i="26" s="1"/>
  <c r="I16" i="26" s="1"/>
  <c r="L51" i="20"/>
  <c r="L52" i="20" s="1"/>
  <c r="H50" i="20"/>
  <c r="H168" i="20"/>
  <c r="H171" i="20" s="1"/>
  <c r="H170" i="20" s="1"/>
  <c r="H25" i="23"/>
  <c r="F17" i="23"/>
  <c r="E17" i="23" s="1"/>
  <c r="L16" i="23"/>
  <c r="L20" i="23" s="1"/>
  <c r="F15" i="23"/>
  <c r="H136" i="20" s="1"/>
  <c r="H5" i="26"/>
  <c r="I5" i="26" s="1"/>
  <c r="L50" i="20"/>
  <c r="H47" i="20"/>
  <c r="H126" i="1"/>
  <c r="L18" i="19" s="1"/>
  <c r="J219" i="20"/>
  <c r="J222" i="20" s="1"/>
  <c r="J221" i="20" s="1"/>
  <c r="H219" i="20"/>
  <c r="H222" i="20" s="1"/>
  <c r="H221" i="20" s="1"/>
  <c r="J168" i="20"/>
  <c r="J171" i="20" s="1"/>
  <c r="J170" i="20" s="1"/>
  <c r="F166" i="1"/>
  <c r="F167" i="1" s="1"/>
  <c r="F160" i="1"/>
  <c r="M17" i="26"/>
  <c r="N16" i="26" s="1"/>
  <c r="O16" i="26" s="1"/>
  <c r="J17" i="23"/>
  <c r="K17" i="23" s="1"/>
  <c r="K107" i="2"/>
  <c r="K113" i="2" s="1"/>
  <c r="L49" i="20"/>
  <c r="F14" i="23"/>
  <c r="F11" i="26"/>
  <c r="O11" i="26"/>
  <c r="I11" i="26"/>
  <c r="I11" i="23"/>
  <c r="J6" i="26"/>
  <c r="K5" i="26" s="1"/>
  <c r="L5" i="26" s="1"/>
  <c r="H14" i="23"/>
  <c r="I14" i="23" s="1"/>
  <c r="J6" i="19"/>
  <c r="H17" i="23"/>
  <c r="I107" i="2"/>
  <c r="I113" i="2" s="1"/>
  <c r="J16" i="23"/>
  <c r="G18" i="23"/>
  <c r="M107" i="2"/>
  <c r="M113" i="2" s="1"/>
  <c r="L25" i="23"/>
  <c r="G126" i="1"/>
  <c r="J18" i="19" s="1"/>
  <c r="G129" i="1"/>
  <c r="K160" i="1"/>
  <c r="M166" i="1"/>
  <c r="M167" i="1" s="1"/>
  <c r="M160" i="1"/>
  <c r="N166" i="1"/>
  <c r="N167" i="1" s="1"/>
  <c r="O166" i="1"/>
  <c r="O167" i="1" s="1"/>
  <c r="W106" i="2"/>
  <c r="W34" i="2"/>
  <c r="W27" i="2"/>
  <c r="W18" i="2"/>
  <c r="W36" i="2"/>
  <c r="W23" i="2"/>
  <c r="W112" i="2"/>
  <c r="W82" i="2"/>
  <c r="W41" i="2"/>
  <c r="W104" i="2"/>
  <c r="W30" i="2"/>
  <c r="W62" i="2"/>
  <c r="W92" i="2"/>
  <c r="W26" i="2"/>
  <c r="O83" i="1"/>
  <c r="N83" i="1"/>
  <c r="M83" i="1"/>
  <c r="L160" i="1"/>
  <c r="L166" i="1"/>
  <c r="L167" i="1" s="1"/>
  <c r="K83" i="1"/>
  <c r="I166" i="1"/>
  <c r="I167" i="1" s="1"/>
  <c r="I160" i="1"/>
  <c r="S34" i="2"/>
  <c r="S27" i="2"/>
  <c r="S82" i="2"/>
  <c r="S23" i="2"/>
  <c r="S112" i="2"/>
  <c r="S41" i="2"/>
  <c r="S104" i="2"/>
  <c r="S92" i="2"/>
  <c r="S36" i="2"/>
  <c r="S30" i="2"/>
  <c r="S62" i="2"/>
  <c r="S18" i="2"/>
  <c r="S106" i="2"/>
  <c r="S25" i="2"/>
  <c r="E5" i="26"/>
  <c r="F5" i="26" s="1"/>
  <c r="L33" i="20"/>
  <c r="H25" i="20"/>
  <c r="N51" i="20"/>
  <c r="N52" i="20" s="1"/>
  <c r="N56" i="20"/>
  <c r="N58" i="20" s="1"/>
  <c r="I83" i="1"/>
  <c r="N49" i="20"/>
  <c r="N50" i="20"/>
  <c r="L25" i="20"/>
  <c r="J25" i="20"/>
  <c r="I67" i="1"/>
  <c r="N40" i="20"/>
  <c r="L42" i="20" s="1"/>
  <c r="N39" i="20"/>
  <c r="G83" i="1"/>
  <c r="J56" i="20"/>
  <c r="J58" i="20" s="1"/>
  <c r="J50" i="20"/>
  <c r="J17" i="26"/>
  <c r="J49" i="20"/>
  <c r="J51" i="20"/>
  <c r="J52" i="20" s="1"/>
  <c r="H15" i="26"/>
  <c r="H95" i="21" l="1"/>
  <c r="I95" i="21" s="1"/>
  <c r="D29" i="23"/>
  <c r="G108" i="1"/>
  <c r="H108" i="1"/>
  <c r="N95" i="20"/>
  <c r="N97" i="20"/>
  <c r="N98" i="20" s="1"/>
  <c r="N135" i="20"/>
  <c r="N153" i="20"/>
  <c r="J115" i="2"/>
  <c r="I124" i="2"/>
  <c r="I108" i="1"/>
  <c r="M124" i="2"/>
  <c r="N115" i="2"/>
  <c r="L115" i="2"/>
  <c r="K124" i="2"/>
  <c r="J95" i="21"/>
  <c r="K95" i="21" s="1"/>
  <c r="K92" i="21"/>
  <c r="K94" i="21"/>
  <c r="E108" i="1"/>
  <c r="E124" i="2"/>
  <c r="F115" i="2"/>
  <c r="N157" i="1"/>
  <c r="N158" i="1" s="1"/>
  <c r="G88" i="21"/>
  <c r="G87" i="21"/>
  <c r="G89" i="21"/>
  <c r="N107" i="1"/>
  <c r="N108" i="1"/>
  <c r="L107" i="1"/>
  <c r="L108" i="1"/>
  <c r="M107" i="1"/>
  <c r="M108" i="1"/>
  <c r="O107" i="1"/>
  <c r="O108" i="1"/>
  <c r="M105" i="1"/>
  <c r="M113" i="1"/>
  <c r="O105" i="1"/>
  <c r="O113" i="1"/>
  <c r="O132" i="1" s="1"/>
  <c r="L105" i="1"/>
  <c r="L113" i="1"/>
  <c r="L132" i="1" s="1"/>
  <c r="N105" i="1"/>
  <c r="N113" i="1"/>
  <c r="N132" i="1" s="1"/>
  <c r="M131" i="1"/>
  <c r="M157" i="1" s="1"/>
  <c r="M158" i="1" s="1"/>
  <c r="M132" i="1"/>
  <c r="O131" i="1"/>
  <c r="O157" i="1" s="1"/>
  <c r="O158" i="1" s="1"/>
  <c r="L131" i="1"/>
  <c r="L157" i="1" s="1"/>
  <c r="L158" i="1" s="1"/>
  <c r="J29" i="23"/>
  <c r="I29" i="23" s="1"/>
  <c r="H132" i="1"/>
  <c r="L29" i="23"/>
  <c r="I90" i="21"/>
  <c r="K16" i="26"/>
  <c r="L16" i="26" s="1"/>
  <c r="H102" i="21"/>
  <c r="J102" i="21"/>
  <c r="N102" i="21"/>
  <c r="F102" i="21"/>
  <c r="L102" i="21"/>
  <c r="K88" i="21"/>
  <c r="K89" i="21"/>
  <c r="K90" i="21"/>
  <c r="I87" i="21"/>
  <c r="I89" i="21"/>
  <c r="O90" i="21"/>
  <c r="O88" i="21"/>
  <c r="O87" i="21"/>
  <c r="O89" i="21"/>
  <c r="G90" i="21"/>
  <c r="D26" i="23"/>
  <c r="F142" i="20" s="1"/>
  <c r="O126" i="1"/>
  <c r="O127" i="1" s="1"/>
  <c r="Y26" i="2"/>
  <c r="Y107" i="2"/>
  <c r="U26" i="2"/>
  <c r="U107" i="2"/>
  <c r="N107" i="2"/>
  <c r="J107" i="2"/>
  <c r="K129" i="1"/>
  <c r="K130" i="1" s="1"/>
  <c r="L107" i="2"/>
  <c r="E113" i="2"/>
  <c r="E127" i="1"/>
  <c r="K127" i="1"/>
  <c r="G130" i="1"/>
  <c r="G131" i="1" s="1"/>
  <c r="G157" i="1" s="1"/>
  <c r="G158" i="1" s="1"/>
  <c r="F157" i="1"/>
  <c r="F158" i="1" s="1"/>
  <c r="E130" i="1"/>
  <c r="E131" i="1" s="1"/>
  <c r="E157" i="1" s="1"/>
  <c r="E158" i="1" s="1"/>
  <c r="H157" i="1"/>
  <c r="H168" i="1" s="1"/>
  <c r="H169" i="1" s="1"/>
  <c r="I130" i="1"/>
  <c r="I131" i="1" s="1"/>
  <c r="I157" i="1" s="1"/>
  <c r="L134" i="20"/>
  <c r="G13" i="23"/>
  <c r="L135" i="20"/>
  <c r="N134" i="20"/>
  <c r="M7" i="26"/>
  <c r="K15" i="23"/>
  <c r="N136" i="20"/>
  <c r="H18" i="19"/>
  <c r="F127" i="1"/>
  <c r="J62" i="2"/>
  <c r="H107" i="2"/>
  <c r="E13" i="23"/>
  <c r="F107" i="2"/>
  <c r="F18" i="19"/>
  <c r="L127" i="1"/>
  <c r="N127" i="1"/>
  <c r="M127" i="1"/>
  <c r="K25" i="23"/>
  <c r="E25" i="23"/>
  <c r="I25" i="23"/>
  <c r="N67" i="20"/>
  <c r="H67" i="20"/>
  <c r="H17" i="19"/>
  <c r="J67" i="20"/>
  <c r="L67" i="20"/>
  <c r="H114" i="1"/>
  <c r="E29" i="23"/>
  <c r="F212" i="20"/>
  <c r="F62" i="2"/>
  <c r="F135" i="20"/>
  <c r="J42" i="2"/>
  <c r="M35" i="18"/>
  <c r="H31" i="18"/>
  <c r="F97" i="20"/>
  <c r="F98" i="20" s="1"/>
  <c r="H21" i="18"/>
  <c r="M12" i="18"/>
  <c r="H14" i="9"/>
  <c r="H50" i="18"/>
  <c r="D7" i="26"/>
  <c r="H20" i="18"/>
  <c r="G48" i="18"/>
  <c r="F136" i="20"/>
  <c r="F8" i="19"/>
  <c r="F94" i="20"/>
  <c r="F99" i="20" s="1"/>
  <c r="F26" i="2"/>
  <c r="F41" i="2"/>
  <c r="H36" i="18"/>
  <c r="H33" i="18"/>
  <c r="G9" i="18"/>
  <c r="E60" i="23"/>
  <c r="F82" i="2"/>
  <c r="H22" i="18"/>
  <c r="G11" i="18"/>
  <c r="F92" i="2"/>
  <c r="F23" i="2"/>
  <c r="H19" i="18"/>
  <c r="F18" i="2"/>
  <c r="H53" i="18"/>
  <c r="G8" i="18"/>
  <c r="G30" i="18"/>
  <c r="G10" i="18"/>
  <c r="G52" i="18"/>
  <c r="H51" i="18"/>
  <c r="G32" i="18"/>
  <c r="F95" i="20"/>
  <c r="F42" i="2"/>
  <c r="F100" i="20"/>
  <c r="F103" i="20" s="1"/>
  <c r="H38" i="18"/>
  <c r="F27" i="2"/>
  <c r="D4" i="26"/>
  <c r="E3" i="26" s="1"/>
  <c r="F3" i="26" s="1"/>
  <c r="H52" i="18"/>
  <c r="F34" i="2"/>
  <c r="G53" i="18"/>
  <c r="H9" i="9"/>
  <c r="I9" i="9" s="1"/>
  <c r="J9" i="9" s="1"/>
  <c r="H48" i="18"/>
  <c r="G51" i="18"/>
  <c r="G29" i="23"/>
  <c r="K13" i="23"/>
  <c r="R6" i="9"/>
  <c r="N21" i="18"/>
  <c r="E16" i="23"/>
  <c r="F104" i="2"/>
  <c r="H49" i="18"/>
  <c r="E54" i="23"/>
  <c r="F189" i="20"/>
  <c r="F188" i="20" s="1"/>
  <c r="G12" i="18"/>
  <c r="G47" i="18"/>
  <c r="G7" i="18"/>
  <c r="G37" i="18"/>
  <c r="H32" i="18"/>
  <c r="G31" i="18"/>
  <c r="F11" i="19"/>
  <c r="H10" i="9"/>
  <c r="I10" i="9" s="1"/>
  <c r="J10" i="9" s="1"/>
  <c r="G35" i="18"/>
  <c r="M37" i="18"/>
  <c r="M51" i="18"/>
  <c r="M36" i="18"/>
  <c r="N19" i="18"/>
  <c r="J41" i="2"/>
  <c r="N32" i="18"/>
  <c r="N22" i="18"/>
  <c r="J100" i="20"/>
  <c r="J103" i="20" s="1"/>
  <c r="M38" i="18"/>
  <c r="J136" i="20"/>
  <c r="J4" i="26"/>
  <c r="K3" i="26" s="1"/>
  <c r="L3" i="26" s="1"/>
  <c r="I54" i="23"/>
  <c r="M47" i="18"/>
  <c r="F112" i="2"/>
  <c r="F25" i="2"/>
  <c r="G38" i="18"/>
  <c r="G33" i="18"/>
  <c r="G36" i="18"/>
  <c r="F30" i="2"/>
  <c r="G49" i="18"/>
  <c r="H35" i="18"/>
  <c r="H30" i="18"/>
  <c r="H37" i="18"/>
  <c r="G50" i="18"/>
  <c r="H12" i="9"/>
  <c r="I12" i="9" s="1"/>
  <c r="J12" i="9" s="1"/>
  <c r="F36" i="2"/>
  <c r="H18" i="18"/>
  <c r="H47" i="18"/>
  <c r="J6" i="9"/>
  <c r="F106" i="2"/>
  <c r="W42" i="2"/>
  <c r="X8" i="9"/>
  <c r="Y8" i="9" s="1"/>
  <c r="Z8" i="9" s="1"/>
  <c r="J8" i="19"/>
  <c r="P8" i="9"/>
  <c r="Q8" i="9" s="1"/>
  <c r="R8" i="9" s="1"/>
  <c r="J23" i="2"/>
  <c r="N35" i="18"/>
  <c r="N53" i="18"/>
  <c r="J104" i="2"/>
  <c r="J18" i="2"/>
  <c r="N51" i="18"/>
  <c r="N36" i="18"/>
  <c r="M32" i="18"/>
  <c r="P10" i="9"/>
  <c r="Q10" i="9" s="1"/>
  <c r="R10" i="9" s="1"/>
  <c r="J106" i="2"/>
  <c r="P38" i="18"/>
  <c r="T8" i="9"/>
  <c r="U8" i="9" s="1"/>
  <c r="V8" i="9" s="1"/>
  <c r="N52" i="18"/>
  <c r="M30" i="18"/>
  <c r="M33" i="18"/>
  <c r="J92" i="2"/>
  <c r="J95" i="20"/>
  <c r="J97" i="20"/>
  <c r="J98" i="20" s="1"/>
  <c r="J94" i="20"/>
  <c r="J99" i="20" s="1"/>
  <c r="M53" i="18"/>
  <c r="N48" i="18"/>
  <c r="L11" i="19"/>
  <c r="H8" i="19"/>
  <c r="L8" i="9"/>
  <c r="M8" i="9" s="1"/>
  <c r="N8" i="9" s="1"/>
  <c r="H8" i="9"/>
  <c r="I8" i="9" s="1"/>
  <c r="J8" i="9" s="1"/>
  <c r="F54" i="20"/>
  <c r="J26" i="2"/>
  <c r="J25" i="2"/>
  <c r="N31" i="18"/>
  <c r="J27" i="2"/>
  <c r="M49" i="18"/>
  <c r="N37" i="18"/>
  <c r="M31" i="18"/>
  <c r="P14" i="9"/>
  <c r="M11" i="18"/>
  <c r="N49" i="18"/>
  <c r="J82" i="2"/>
  <c r="L97" i="20"/>
  <c r="L98" i="20" s="1"/>
  <c r="L8" i="19"/>
  <c r="J112" i="2"/>
  <c r="J30" i="2"/>
  <c r="M48" i="18"/>
  <c r="M7" i="18"/>
  <c r="N18" i="18"/>
  <c r="N38" i="18"/>
  <c r="M8" i="18"/>
  <c r="J34" i="2"/>
  <c r="J11" i="19"/>
  <c r="N47" i="18"/>
  <c r="N30" i="18"/>
  <c r="M50" i="18"/>
  <c r="P9" i="9"/>
  <c r="Q9" i="9" s="1"/>
  <c r="R9" i="9" s="1"/>
  <c r="N20" i="18"/>
  <c r="J36" i="2"/>
  <c r="N33" i="18"/>
  <c r="N50" i="18"/>
  <c r="I60" i="23"/>
  <c r="M10" i="18"/>
  <c r="M9" i="18"/>
  <c r="P32" i="18"/>
  <c r="P12" i="9"/>
  <c r="Q12" i="9" s="1"/>
  <c r="R12" i="9" s="1"/>
  <c r="I15" i="23"/>
  <c r="J134" i="20"/>
  <c r="F67" i="20"/>
  <c r="J135" i="20"/>
  <c r="H62" i="2"/>
  <c r="L63" i="20"/>
  <c r="L65" i="20" s="1"/>
  <c r="H7" i="9"/>
  <c r="I7" i="9" s="1"/>
  <c r="J7" i="9" s="1"/>
  <c r="F62" i="20"/>
  <c r="H97" i="20"/>
  <c r="H98" i="20" s="1"/>
  <c r="F63" i="20"/>
  <c r="F65" i="20" s="1"/>
  <c r="F69" i="20"/>
  <c r="F71" i="20" s="1"/>
  <c r="J48" i="18"/>
  <c r="T12" i="9"/>
  <c r="U12" i="9" s="1"/>
  <c r="V12" i="9" s="1"/>
  <c r="N36" i="2"/>
  <c r="Q31" i="18"/>
  <c r="Q18" i="18"/>
  <c r="F20" i="23"/>
  <c r="F26" i="23" s="1"/>
  <c r="K38" i="18"/>
  <c r="J47" i="18"/>
  <c r="H94" i="20"/>
  <c r="H99" i="20" s="1"/>
  <c r="G54" i="23"/>
  <c r="G15" i="23"/>
  <c r="L10" i="9"/>
  <c r="M10" i="9" s="1"/>
  <c r="N10" i="9" s="1"/>
  <c r="H112" i="2"/>
  <c r="J50" i="18"/>
  <c r="G7" i="26"/>
  <c r="J9" i="18"/>
  <c r="K31" i="18"/>
  <c r="J37" i="18"/>
  <c r="N41" i="2"/>
  <c r="N8" i="19"/>
  <c r="M60" i="23"/>
  <c r="P53" i="18"/>
  <c r="P10" i="18"/>
  <c r="K60" i="23"/>
  <c r="I13" i="23"/>
  <c r="H69" i="20"/>
  <c r="H71" i="20" s="1"/>
  <c r="N27" i="2"/>
  <c r="N42" i="2"/>
  <c r="X9" i="9"/>
  <c r="Y9" i="9" s="1"/>
  <c r="Z9" i="9" s="1"/>
  <c r="P12" i="18"/>
  <c r="L27" i="2"/>
  <c r="Q33" i="18"/>
  <c r="N23" i="2"/>
  <c r="N82" i="2"/>
  <c r="N34" i="2"/>
  <c r="X12" i="9"/>
  <c r="Y12" i="9" s="1"/>
  <c r="Z12" i="9" s="1"/>
  <c r="N11" i="19"/>
  <c r="N104" i="2"/>
  <c r="L54" i="20"/>
  <c r="N26" i="2"/>
  <c r="Y42" i="2"/>
  <c r="H63" i="20"/>
  <c r="H65" i="20" s="1"/>
  <c r="N94" i="20"/>
  <c r="N99" i="20" s="1"/>
  <c r="X10" i="9"/>
  <c r="Y10" i="9" s="1"/>
  <c r="Z10" i="9" s="1"/>
  <c r="N100" i="20"/>
  <c r="N103" i="20" s="1"/>
  <c r="N30" i="2"/>
  <c r="M54" i="23"/>
  <c r="N25" i="2"/>
  <c r="G25" i="23"/>
  <c r="H62" i="20"/>
  <c r="N18" i="2"/>
  <c r="X14" i="9"/>
  <c r="N112" i="2"/>
  <c r="N92" i="2"/>
  <c r="Z6" i="9"/>
  <c r="N62" i="2"/>
  <c r="K30" i="18"/>
  <c r="H18" i="2"/>
  <c r="H27" i="2"/>
  <c r="L14" i="9"/>
  <c r="L25" i="2"/>
  <c r="P49" i="18"/>
  <c r="Q37" i="18"/>
  <c r="P33" i="18"/>
  <c r="Q53" i="18"/>
  <c r="S42" i="2"/>
  <c r="Q42" i="2"/>
  <c r="U42" i="2"/>
  <c r="J53" i="18"/>
  <c r="H104" i="2"/>
  <c r="H100" i="20"/>
  <c r="H103" i="20" s="1"/>
  <c r="H23" i="2"/>
  <c r="J38" i="18"/>
  <c r="K36" i="18"/>
  <c r="K18" i="18"/>
  <c r="L9" i="9"/>
  <c r="M9" i="9" s="1"/>
  <c r="N9" i="9" s="1"/>
  <c r="K52" i="18"/>
  <c r="J11" i="18"/>
  <c r="H11" i="19"/>
  <c r="L106" i="2"/>
  <c r="Q32" i="18"/>
  <c r="L36" i="2"/>
  <c r="L95" i="20"/>
  <c r="P8" i="18"/>
  <c r="T14" i="9"/>
  <c r="P36" i="18"/>
  <c r="L41" i="2"/>
  <c r="L34" i="2"/>
  <c r="X7" i="9"/>
  <c r="Y7" i="9" s="1"/>
  <c r="Z7" i="9" s="1"/>
  <c r="K47" i="18"/>
  <c r="K50" i="18"/>
  <c r="J8" i="18"/>
  <c r="J32" i="18"/>
  <c r="H92" i="2"/>
  <c r="K53" i="18"/>
  <c r="K19" i="18"/>
  <c r="H42" i="2"/>
  <c r="H30" i="2"/>
  <c r="J36" i="18"/>
  <c r="K32" i="18"/>
  <c r="J10" i="18"/>
  <c r="J35" i="18"/>
  <c r="H95" i="20"/>
  <c r="K33" i="18"/>
  <c r="K48" i="18"/>
  <c r="L100" i="20"/>
  <c r="L103" i="20" s="1"/>
  <c r="Q48" i="18"/>
  <c r="P48" i="18"/>
  <c r="Q50" i="18"/>
  <c r="L104" i="2"/>
  <c r="Q36" i="18"/>
  <c r="P35" i="18"/>
  <c r="T9" i="9"/>
  <c r="U9" i="9" s="1"/>
  <c r="V9" i="9" s="1"/>
  <c r="Q47" i="18"/>
  <c r="P31" i="18"/>
  <c r="K54" i="23"/>
  <c r="Q22" i="18"/>
  <c r="P9" i="18"/>
  <c r="P11" i="18"/>
  <c r="L82" i="2"/>
  <c r="L112" i="2"/>
  <c r="P50" i="18"/>
  <c r="J51" i="18"/>
  <c r="H106" i="2"/>
  <c r="H82" i="2"/>
  <c r="K49" i="18"/>
  <c r="H36" i="2"/>
  <c r="J52" i="18"/>
  <c r="G60" i="23"/>
  <c r="K35" i="18"/>
  <c r="L42" i="2"/>
  <c r="Q51" i="18"/>
  <c r="P30" i="18"/>
  <c r="Q49" i="18"/>
  <c r="L62" i="2"/>
  <c r="Q52" i="18"/>
  <c r="L23" i="2"/>
  <c r="P52" i="18"/>
  <c r="L26" i="2"/>
  <c r="E15" i="23"/>
  <c r="H26" i="2"/>
  <c r="J7" i="18"/>
  <c r="K51" i="18"/>
  <c r="J30" i="18"/>
  <c r="J31" i="18"/>
  <c r="H41" i="2"/>
  <c r="J33" i="18"/>
  <c r="H25" i="2"/>
  <c r="K22" i="18"/>
  <c r="K37" i="18"/>
  <c r="L7" i="9"/>
  <c r="M7" i="9" s="1"/>
  <c r="N7" i="9" s="1"/>
  <c r="G4" i="26"/>
  <c r="H3" i="26" s="1"/>
  <c r="I3" i="26" s="1"/>
  <c r="H34" i="2"/>
  <c r="J12" i="18"/>
  <c r="J49" i="18"/>
  <c r="N6" i="9"/>
  <c r="K21" i="18"/>
  <c r="K20" i="18"/>
  <c r="L92" i="2"/>
  <c r="L18" i="2"/>
  <c r="V6" i="9"/>
  <c r="L94" i="20"/>
  <c r="L99" i="20" s="1"/>
  <c r="Q21" i="18"/>
  <c r="T10" i="9"/>
  <c r="U10" i="9" s="1"/>
  <c r="V10" i="9" s="1"/>
  <c r="P7" i="18"/>
  <c r="Q38" i="18"/>
  <c r="Q35" i="18"/>
  <c r="P37" i="18"/>
  <c r="M4" i="26"/>
  <c r="N3" i="26" s="1"/>
  <c r="O3" i="26" s="1"/>
  <c r="Q20" i="18"/>
  <c r="Q19" i="18"/>
  <c r="P47" i="18"/>
  <c r="Q30" i="18"/>
  <c r="L30" i="2"/>
  <c r="P51" i="18"/>
  <c r="H134" i="20"/>
  <c r="F138" i="20" s="1"/>
  <c r="L12" i="9"/>
  <c r="M12" i="9" s="1"/>
  <c r="N12" i="9" s="1"/>
  <c r="H135" i="20"/>
  <c r="T7" i="9"/>
  <c r="U7" i="9" s="1"/>
  <c r="V7" i="9" s="1"/>
  <c r="L62" i="20"/>
  <c r="J20" i="23"/>
  <c r="K16" i="23"/>
  <c r="I16" i="23"/>
  <c r="H127" i="1"/>
  <c r="L69" i="20"/>
  <c r="L71" i="20" s="1"/>
  <c r="G17" i="23"/>
  <c r="H20" i="23"/>
  <c r="I17" i="23"/>
  <c r="G14" i="23"/>
  <c r="E14" i="23"/>
  <c r="N106" i="2"/>
  <c r="L106" i="1"/>
  <c r="L26" i="23"/>
  <c r="N168" i="1"/>
  <c r="N169" i="1" s="1"/>
  <c r="N170" i="1"/>
  <c r="N171" i="1" s="1"/>
  <c r="Y106" i="2"/>
  <c r="Y27" i="2"/>
  <c r="Y41" i="2"/>
  <c r="Y104" i="2"/>
  <c r="Y112" i="2"/>
  <c r="Y62" i="2"/>
  <c r="Y23" i="2"/>
  <c r="Y34" i="2"/>
  <c r="Y30" i="2"/>
  <c r="Y36" i="2"/>
  <c r="Y82" i="2"/>
  <c r="Y18" i="2"/>
  <c r="Y92" i="2"/>
  <c r="Y25" i="2"/>
  <c r="U27" i="2"/>
  <c r="U34" i="2"/>
  <c r="U62" i="2"/>
  <c r="U104" i="2"/>
  <c r="U112" i="2"/>
  <c r="U36" i="2"/>
  <c r="U23" i="2"/>
  <c r="U30" i="2"/>
  <c r="U82" i="2"/>
  <c r="U18" i="2"/>
  <c r="U41" i="2"/>
  <c r="U92" i="2"/>
  <c r="U25" i="2"/>
  <c r="U106" i="2"/>
  <c r="O106" i="1"/>
  <c r="N106" i="1"/>
  <c r="M106" i="1"/>
  <c r="K106" i="1"/>
  <c r="N63" i="20"/>
  <c r="N65" i="20" s="1"/>
  <c r="N62" i="20"/>
  <c r="I127" i="1"/>
  <c r="N69" i="20"/>
  <c r="N71" i="20" s="1"/>
  <c r="I15" i="26"/>
  <c r="F15" i="26"/>
  <c r="L15" i="26"/>
  <c r="O15" i="26"/>
  <c r="J62" i="20"/>
  <c r="J63" i="20"/>
  <c r="J65" i="20" s="1"/>
  <c r="G127" i="1"/>
  <c r="J69" i="20"/>
  <c r="J71" i="20" s="1"/>
  <c r="P7" i="9"/>
  <c r="Q7" i="9" s="1"/>
  <c r="R7" i="9" s="1"/>
  <c r="J54" i="20"/>
  <c r="H54" i="20"/>
  <c r="G132" i="1" l="1"/>
  <c r="J17" i="19" s="1"/>
  <c r="N162" i="1"/>
  <c r="N164" i="1" s="1"/>
  <c r="F231" i="20"/>
  <c r="D30" i="23"/>
  <c r="D31" i="23" s="1"/>
  <c r="F159" i="20" s="1"/>
  <c r="D8" i="26"/>
  <c r="E7" i="26" s="1"/>
  <c r="F7" i="26" s="1"/>
  <c r="E132" i="1"/>
  <c r="F17" i="19" s="1"/>
  <c r="F19" i="19" s="1"/>
  <c r="O168" i="1"/>
  <c r="O169" i="1" s="1"/>
  <c r="O162" i="1"/>
  <c r="O164" i="1" s="1"/>
  <c r="O165" i="1" s="1"/>
  <c r="L114" i="1"/>
  <c r="O170" i="1"/>
  <c r="O171" i="1" s="1"/>
  <c r="K131" i="1"/>
  <c r="K157" i="1" s="1"/>
  <c r="K170" i="1" s="1"/>
  <c r="K171" i="1" s="1"/>
  <c r="K132" i="1"/>
  <c r="K29" i="23"/>
  <c r="I132" i="1"/>
  <c r="N17" i="19" s="1"/>
  <c r="F103" i="21"/>
  <c r="F112" i="21"/>
  <c r="J103" i="21"/>
  <c r="J112" i="21"/>
  <c r="J113" i="21" s="1"/>
  <c r="N103" i="21"/>
  <c r="N112" i="21"/>
  <c r="L103" i="21"/>
  <c r="L112" i="21"/>
  <c r="L113" i="21" s="1"/>
  <c r="H103" i="21"/>
  <c r="H112" i="21"/>
  <c r="H113" i="21" s="1"/>
  <c r="M170" i="1"/>
  <c r="M171" i="1" s="1"/>
  <c r="F141" i="20"/>
  <c r="F139" i="20"/>
  <c r="F140" i="20" s="1"/>
  <c r="M168" i="1"/>
  <c r="M169" i="1" s="1"/>
  <c r="M162" i="1"/>
  <c r="M164" i="1" s="1"/>
  <c r="L170" i="1"/>
  <c r="L171" i="1" s="1"/>
  <c r="L162" i="1"/>
  <c r="L164" i="1" s="1"/>
  <c r="L168" i="1"/>
  <c r="L169" i="1" s="1"/>
  <c r="H170" i="1"/>
  <c r="H171" i="1" s="1"/>
  <c r="F162" i="1"/>
  <c r="F164" i="1" s="1"/>
  <c r="F165" i="1" s="1"/>
  <c r="L92" i="20"/>
  <c r="H158" i="1"/>
  <c r="F168" i="1"/>
  <c r="F169" i="1" s="1"/>
  <c r="F170" i="1"/>
  <c r="F171" i="1" s="1"/>
  <c r="H162" i="1"/>
  <c r="H164" i="1" s="1"/>
  <c r="L91" i="20"/>
  <c r="L138" i="20"/>
  <c r="J138" i="20"/>
  <c r="I170" i="1"/>
  <c r="I171" i="1" s="1"/>
  <c r="I158" i="1"/>
  <c r="I162" i="1"/>
  <c r="I164" i="1" s="1"/>
  <c r="I168" i="1"/>
  <c r="N92" i="20" s="1"/>
  <c r="F238" i="20"/>
  <c r="F153" i="20"/>
  <c r="F155" i="20" s="1"/>
  <c r="H54" i="18"/>
  <c r="G54" i="18"/>
  <c r="G14" i="18"/>
  <c r="F12" i="19"/>
  <c r="F15" i="19" s="1"/>
  <c r="H40" i="18"/>
  <c r="J238" i="20"/>
  <c r="G40" i="18"/>
  <c r="N40" i="18"/>
  <c r="G168" i="1"/>
  <c r="G169" i="1" s="1"/>
  <c r="G170" i="1"/>
  <c r="G171" i="1" s="1"/>
  <c r="G162" i="1"/>
  <c r="G164" i="1" s="1"/>
  <c r="N54" i="18"/>
  <c r="F204" i="20"/>
  <c r="E20" i="23"/>
  <c r="M54" i="18"/>
  <c r="M40" i="18"/>
  <c r="N42" i="18" s="1"/>
  <c r="E114" i="1"/>
  <c r="L73" i="20"/>
  <c r="F74" i="20"/>
  <c r="F76" i="20" s="1"/>
  <c r="F73" i="20"/>
  <c r="M14" i="18"/>
  <c r="H74" i="20"/>
  <c r="H76" i="20" s="1"/>
  <c r="F114" i="1"/>
  <c r="H238" i="20"/>
  <c r="P14" i="18"/>
  <c r="P54" i="18"/>
  <c r="H73" i="20"/>
  <c r="L238" i="20"/>
  <c r="K40" i="18"/>
  <c r="H204" i="20"/>
  <c r="H212" i="20"/>
  <c r="F211" i="20" s="1"/>
  <c r="F214" i="20" s="1"/>
  <c r="F213" i="20" s="1"/>
  <c r="J14" i="18"/>
  <c r="L74" i="20"/>
  <c r="L76" i="20" s="1"/>
  <c r="L204" i="20"/>
  <c r="Q40" i="18"/>
  <c r="L212" i="20"/>
  <c r="Q54" i="18"/>
  <c r="J54" i="18"/>
  <c r="L17" i="19"/>
  <c r="L19" i="19" s="1"/>
  <c r="J40" i="18"/>
  <c r="P40" i="18"/>
  <c r="K54" i="18"/>
  <c r="L151" i="1"/>
  <c r="H92" i="20"/>
  <c r="H138" i="20"/>
  <c r="H26" i="23"/>
  <c r="I20" i="23"/>
  <c r="G20" i="23"/>
  <c r="K20" i="23"/>
  <c r="J26" i="23"/>
  <c r="N139" i="20"/>
  <c r="N140" i="20" s="1"/>
  <c r="L30" i="23"/>
  <c r="N142" i="20"/>
  <c r="N141" i="20"/>
  <c r="N231" i="20"/>
  <c r="O114" i="1"/>
  <c r="N114" i="1"/>
  <c r="N165" i="1"/>
  <c r="M114" i="1"/>
  <c r="K114" i="1"/>
  <c r="H142" i="20"/>
  <c r="H141" i="20"/>
  <c r="H139" i="20"/>
  <c r="H140" i="20" s="1"/>
  <c r="G8" i="26"/>
  <c r="H7" i="26" s="1"/>
  <c r="I7" i="26" s="1"/>
  <c r="F30" i="23"/>
  <c r="E26" i="23"/>
  <c r="H231" i="20"/>
  <c r="I114" i="1"/>
  <c r="N73" i="20"/>
  <c r="N212" i="20"/>
  <c r="N74" i="20"/>
  <c r="N76" i="20" s="1"/>
  <c r="N204" i="20"/>
  <c r="J204" i="20"/>
  <c r="J73" i="20"/>
  <c r="J76" i="20"/>
  <c r="J212" i="20"/>
  <c r="G114" i="1"/>
  <c r="G9" i="26"/>
  <c r="H19" i="19"/>
  <c r="F133" i="1"/>
  <c r="F151" i="1"/>
  <c r="H20" i="19" s="1"/>
  <c r="H78" i="20"/>
  <c r="H79" i="20"/>
  <c r="H81" i="20" s="1"/>
  <c r="M112" i="21" l="1"/>
  <c r="M113" i="21"/>
  <c r="K112" i="21"/>
  <c r="K113" i="21"/>
  <c r="I112" i="21"/>
  <c r="I113" i="21"/>
  <c r="F151" i="20"/>
  <c r="E126" i="2"/>
  <c r="F165" i="20"/>
  <c r="F167" i="20" s="1"/>
  <c r="F117" i="20"/>
  <c r="F118" i="20" s="1"/>
  <c r="D53" i="23"/>
  <c r="D54" i="23" s="1"/>
  <c r="E52" i="23" s="1"/>
  <c r="F158" i="20"/>
  <c r="F157" i="20"/>
  <c r="F150" i="20"/>
  <c r="H11" i="9"/>
  <c r="I11" i="9" s="1"/>
  <c r="J11" i="9" s="1"/>
  <c r="J14" i="9" s="1"/>
  <c r="H16" i="9" s="1"/>
  <c r="F250" i="20" s="1"/>
  <c r="D59" i="23"/>
  <c r="D60" i="23" s="1"/>
  <c r="F161" i="20"/>
  <c r="F163" i="20" s="1"/>
  <c r="F9" i="19"/>
  <c r="F10" i="19" s="1"/>
  <c r="D39" i="23"/>
  <c r="D40" i="23" s="1"/>
  <c r="F148" i="20"/>
  <c r="F149" i="20" s="1"/>
  <c r="F244" i="20"/>
  <c r="K100" i="21"/>
  <c r="K101" i="21"/>
  <c r="I100" i="21"/>
  <c r="I101" i="21"/>
  <c r="O100" i="21"/>
  <c r="O101" i="21"/>
  <c r="G101" i="21"/>
  <c r="G100" i="21"/>
  <c r="O102" i="21"/>
  <c r="M101" i="21"/>
  <c r="M100" i="21"/>
  <c r="M102" i="21"/>
  <c r="K102" i="21"/>
  <c r="I102" i="21"/>
  <c r="G102" i="21"/>
  <c r="K158" i="1"/>
  <c r="K168" i="1"/>
  <c r="K169" i="1" s="1"/>
  <c r="K162" i="1"/>
  <c r="K164" i="1" s="1"/>
  <c r="K165" i="1" s="1"/>
  <c r="L203" i="20"/>
  <c r="L206" i="20" s="1"/>
  <c r="L205" i="20" s="1"/>
  <c r="K103" i="21"/>
  <c r="O103" i="21"/>
  <c r="F113" i="21"/>
  <c r="M103" i="21"/>
  <c r="I103" i="21"/>
  <c r="N113" i="21"/>
  <c r="O113" i="21" s="1"/>
  <c r="G103" i="21"/>
  <c r="M165" i="1"/>
  <c r="I165" i="1"/>
  <c r="G165" i="1"/>
  <c r="H165" i="1"/>
  <c r="L165" i="1"/>
  <c r="H91" i="20"/>
  <c r="I169" i="1"/>
  <c r="N91" i="20"/>
  <c r="H203" i="20"/>
  <c r="H206" i="20" s="1"/>
  <c r="H205" i="20" s="1"/>
  <c r="F203" i="20"/>
  <c r="F227" i="20" s="1"/>
  <c r="F229" i="20" s="1"/>
  <c r="F228" i="20" s="1"/>
  <c r="M44" i="18"/>
  <c r="N56" i="18" s="1"/>
  <c r="H42" i="18"/>
  <c r="G44" i="18"/>
  <c r="F13" i="19"/>
  <c r="J91" i="20"/>
  <c r="J92" i="20"/>
  <c r="P44" i="18"/>
  <c r="E151" i="1"/>
  <c r="F79" i="20"/>
  <c r="F81" i="20" s="1"/>
  <c r="D9" i="26"/>
  <c r="F78" i="20"/>
  <c r="E133" i="1"/>
  <c r="J44" i="18"/>
  <c r="L79" i="20"/>
  <c r="L81" i="20" s="1"/>
  <c r="H211" i="20"/>
  <c r="H214" i="20" s="1"/>
  <c r="H213" i="20" s="1"/>
  <c r="K42" i="18"/>
  <c r="Q42" i="18"/>
  <c r="L133" i="1"/>
  <c r="M9" i="26"/>
  <c r="H133" i="1"/>
  <c r="H151" i="1"/>
  <c r="L78" i="20"/>
  <c r="L211" i="20"/>
  <c r="L142" i="20"/>
  <c r="J30" i="23"/>
  <c r="L141" i="20"/>
  <c r="L231" i="20"/>
  <c r="L139" i="20"/>
  <c r="L140" i="20" s="1"/>
  <c r="L144" i="20" s="1"/>
  <c r="L147" i="20" s="1"/>
  <c r="M8" i="26"/>
  <c r="N7" i="26" s="1"/>
  <c r="O7" i="26" s="1"/>
  <c r="J141" i="20"/>
  <c r="J8" i="26"/>
  <c r="K7" i="26" s="1"/>
  <c r="L7" i="26" s="1"/>
  <c r="J139" i="20"/>
  <c r="J140" i="20" s="1"/>
  <c r="J231" i="20"/>
  <c r="H30" i="23"/>
  <c r="G30" i="23" s="1"/>
  <c r="J142" i="20"/>
  <c r="I26" i="23"/>
  <c r="G26" i="23"/>
  <c r="K26" i="23"/>
  <c r="L31" i="23"/>
  <c r="N148" i="20"/>
  <c r="N149" i="20" s="1"/>
  <c r="N150" i="20"/>
  <c r="N155" i="20"/>
  <c r="N151" i="20"/>
  <c r="L59" i="23"/>
  <c r="N9" i="19"/>
  <c r="N10" i="19" s="1"/>
  <c r="O151" i="1"/>
  <c r="O133" i="1"/>
  <c r="N151" i="1"/>
  <c r="N133" i="1"/>
  <c r="M151" i="1"/>
  <c r="M133" i="1"/>
  <c r="K133" i="1"/>
  <c r="K151" i="1"/>
  <c r="N116" i="21" s="1"/>
  <c r="L152" i="1"/>
  <c r="L153" i="1"/>
  <c r="L155" i="1" s="1"/>
  <c r="F144" i="20"/>
  <c r="F147" i="20" s="1"/>
  <c r="E160" i="1"/>
  <c r="E162" i="1"/>
  <c r="E164" i="1" s="1"/>
  <c r="E165" i="1" s="1"/>
  <c r="E166" i="1"/>
  <c r="E167" i="1" s="1"/>
  <c r="H153" i="20"/>
  <c r="H155" i="20" s="1"/>
  <c r="F31" i="23"/>
  <c r="H244" i="20" s="1"/>
  <c r="H9" i="19"/>
  <c r="H10" i="19" s="1"/>
  <c r="H148" i="20"/>
  <c r="H149" i="20" s="1"/>
  <c r="H150" i="20"/>
  <c r="F59" i="23"/>
  <c r="F60" i="23" s="1"/>
  <c r="E30" i="23"/>
  <c r="H151" i="20"/>
  <c r="N78" i="20"/>
  <c r="I133" i="1"/>
  <c r="I151" i="1"/>
  <c r="N79" i="20"/>
  <c r="N81" i="20" s="1"/>
  <c r="N19" i="19"/>
  <c r="H84" i="20"/>
  <c r="F152" i="1"/>
  <c r="F153" i="1"/>
  <c r="H83" i="20"/>
  <c r="H30" i="19"/>
  <c r="J79" i="20"/>
  <c r="J81" i="20" s="1"/>
  <c r="J9" i="26"/>
  <c r="J78" i="20"/>
  <c r="G133" i="1"/>
  <c r="G151" i="1"/>
  <c r="G153" i="1" s="1"/>
  <c r="J19" i="19"/>
  <c r="J211" i="20"/>
  <c r="J214" i="20" s="1"/>
  <c r="J213" i="20" s="1"/>
  <c r="H9" i="26"/>
  <c r="I9" i="26" s="1"/>
  <c r="J203" i="20"/>
  <c r="J206" i="20" s="1"/>
  <c r="J205" i="20" s="1"/>
  <c r="E58" i="23" l="1"/>
  <c r="E55" i="23"/>
  <c r="X11" i="9"/>
  <c r="Y11" i="9" s="1"/>
  <c r="Z11" i="9" s="1"/>
  <c r="Z14" i="9" s="1"/>
  <c r="N248" i="20" s="1"/>
  <c r="N165" i="20"/>
  <c r="N167" i="20" s="1"/>
  <c r="E9" i="26"/>
  <c r="F9" i="26" s="1"/>
  <c r="N9" i="26"/>
  <c r="O9" i="26" s="1"/>
  <c r="G112" i="21"/>
  <c r="G113" i="21"/>
  <c r="F248" i="20"/>
  <c r="E53" i="23"/>
  <c r="F30" i="19"/>
  <c r="F20" i="19"/>
  <c r="F24" i="19" s="1"/>
  <c r="O111" i="21"/>
  <c r="O110" i="21"/>
  <c r="O112" i="21"/>
  <c r="L227" i="20"/>
  <c r="L229" i="20" s="1"/>
  <c r="L228" i="20" s="1"/>
  <c r="G111" i="21"/>
  <c r="G110" i="21"/>
  <c r="E57" i="23"/>
  <c r="E59" i="23"/>
  <c r="E56" i="23"/>
  <c r="L60" i="23"/>
  <c r="M59" i="23" s="1"/>
  <c r="F155" i="1"/>
  <c r="H232" i="20"/>
  <c r="G57" i="23"/>
  <c r="G58" i="23"/>
  <c r="J144" i="20"/>
  <c r="J147" i="20" s="1"/>
  <c r="F206" i="20"/>
  <c r="F205" i="20" s="1"/>
  <c r="G58" i="18"/>
  <c r="M58" i="18"/>
  <c r="J233" i="20"/>
  <c r="H56" i="18"/>
  <c r="F233" i="20"/>
  <c r="Q56" i="18"/>
  <c r="E152" i="1"/>
  <c r="F84" i="20"/>
  <c r="E153" i="1"/>
  <c r="F111" i="20" s="1"/>
  <c r="F83" i="20"/>
  <c r="L233" i="20"/>
  <c r="D34" i="23"/>
  <c r="L11" i="9"/>
  <c r="M11" i="9" s="1"/>
  <c r="N11" i="9" s="1"/>
  <c r="N14" i="9" s="1"/>
  <c r="K56" i="18"/>
  <c r="H152" i="1"/>
  <c r="J116" i="21"/>
  <c r="L30" i="19"/>
  <c r="P58" i="18"/>
  <c r="J20" i="19"/>
  <c r="H116" i="21"/>
  <c r="N20" i="19"/>
  <c r="L116" i="21"/>
  <c r="H153" i="1"/>
  <c r="L83" i="20"/>
  <c r="L84" i="20"/>
  <c r="L20" i="19"/>
  <c r="L34" i="19" s="1"/>
  <c r="H233" i="20"/>
  <c r="H227" i="20"/>
  <c r="H229" i="20" s="1"/>
  <c r="H228" i="20" s="1"/>
  <c r="J58" i="18"/>
  <c r="L214" i="20"/>
  <c r="L213" i="20" s="1"/>
  <c r="H144" i="20"/>
  <c r="H147" i="20" s="1"/>
  <c r="L148" i="20"/>
  <c r="L149" i="20" s="1"/>
  <c r="L150" i="20"/>
  <c r="L9" i="19"/>
  <c r="L10" i="19" s="1"/>
  <c r="L153" i="20"/>
  <c r="L155" i="20" s="1"/>
  <c r="K30" i="23"/>
  <c r="L151" i="20"/>
  <c r="J59" i="23"/>
  <c r="J60" i="23" s="1"/>
  <c r="J31" i="23"/>
  <c r="J153" i="20"/>
  <c r="J155" i="20" s="1"/>
  <c r="J150" i="20"/>
  <c r="J9" i="19"/>
  <c r="J10" i="19" s="1"/>
  <c r="J148" i="20"/>
  <c r="J149" i="20" s="1"/>
  <c r="H59" i="23"/>
  <c r="H31" i="23"/>
  <c r="J165" i="20" s="1"/>
  <c r="J151" i="20"/>
  <c r="I30" i="23"/>
  <c r="N243" i="20"/>
  <c r="N161" i="20"/>
  <c r="N163" i="20" s="1"/>
  <c r="L39" i="23"/>
  <c r="L40" i="23" s="1"/>
  <c r="N159" i="20"/>
  <c r="N117" i="20"/>
  <c r="N118" i="20" s="1"/>
  <c r="D36" i="23"/>
  <c r="N158" i="20"/>
  <c r="L53" i="23"/>
  <c r="N12" i="19"/>
  <c r="N15" i="19" s="1"/>
  <c r="N244" i="20"/>
  <c r="N157" i="20"/>
  <c r="M126" i="2"/>
  <c r="G56" i="23"/>
  <c r="G55" i="23"/>
  <c r="O152" i="1"/>
  <c r="O153" i="1"/>
  <c r="O155" i="1" s="1"/>
  <c r="N152" i="1"/>
  <c r="N153" i="1"/>
  <c r="N155" i="1" s="1"/>
  <c r="M152" i="1"/>
  <c r="M153" i="1"/>
  <c r="M155" i="1" s="1"/>
  <c r="K153" i="1"/>
  <c r="K155" i="1" s="1"/>
  <c r="K152" i="1"/>
  <c r="L154" i="1"/>
  <c r="G59" i="23"/>
  <c r="E168" i="1"/>
  <c r="E170" i="1"/>
  <c r="E171" i="1" s="1"/>
  <c r="E31" i="23"/>
  <c r="H161" i="20"/>
  <c r="H163" i="20" s="1"/>
  <c r="H157" i="20"/>
  <c r="G126" i="2"/>
  <c r="H12" i="19"/>
  <c r="H158" i="20"/>
  <c r="H159" i="20"/>
  <c r="H167" i="20"/>
  <c r="H117" i="20"/>
  <c r="H118" i="20" s="1"/>
  <c r="F53" i="23"/>
  <c r="F39" i="23"/>
  <c r="F36" i="23"/>
  <c r="N30" i="19"/>
  <c r="I152" i="1"/>
  <c r="I153" i="1"/>
  <c r="H12" i="1" s="1"/>
  <c r="N83" i="20"/>
  <c r="N84" i="20"/>
  <c r="K9" i="26"/>
  <c r="L9" i="26" s="1"/>
  <c r="F154" i="1"/>
  <c r="G13" i="26"/>
  <c r="H13" i="26" s="1"/>
  <c r="I13" i="26" s="1"/>
  <c r="I23" i="26" s="1"/>
  <c r="H25" i="26" s="1"/>
  <c r="K17" i="18"/>
  <c r="K23" i="18" s="1"/>
  <c r="H87" i="20"/>
  <c r="H113" i="20"/>
  <c r="H115" i="20" s="1"/>
  <c r="H86" i="20"/>
  <c r="H89" i="20" s="1"/>
  <c r="H109" i="20"/>
  <c r="H111" i="20" s="1"/>
  <c r="J227" i="20"/>
  <c r="G152" i="1"/>
  <c r="G155" i="1"/>
  <c r="J84" i="20"/>
  <c r="J83" i="20"/>
  <c r="J30" i="19"/>
  <c r="H21" i="19"/>
  <c r="H22" i="19" s="1"/>
  <c r="H34" i="19"/>
  <c r="H35" i="19" s="1"/>
  <c r="I155" i="1" l="1"/>
  <c r="H36" i="23"/>
  <c r="F26" i="19"/>
  <c r="F37" i="19"/>
  <c r="N24" i="19"/>
  <c r="X16" i="9"/>
  <c r="N250" i="20" s="1"/>
  <c r="T11" i="9"/>
  <c r="U11" i="9" s="1"/>
  <c r="V11" i="9" s="1"/>
  <c r="V14" i="9" s="1"/>
  <c r="L248" i="20" s="1"/>
  <c r="L165" i="20"/>
  <c r="L167" i="20" s="1"/>
  <c r="L35" i="19"/>
  <c r="F34" i="19"/>
  <c r="F35" i="19" s="1"/>
  <c r="F21" i="19"/>
  <c r="M57" i="23"/>
  <c r="M55" i="23"/>
  <c r="M56" i="23"/>
  <c r="H60" i="23"/>
  <c r="I58" i="23" s="1"/>
  <c r="M58" i="23"/>
  <c r="K59" i="23"/>
  <c r="K58" i="23"/>
  <c r="L113" i="20"/>
  <c r="L115" i="20" s="1"/>
  <c r="H155" i="1"/>
  <c r="F113" i="20"/>
  <c r="F115" i="20" s="1"/>
  <c r="E155" i="1"/>
  <c r="L87" i="20"/>
  <c r="F87" i="20"/>
  <c r="D13" i="26"/>
  <c r="E13" i="26" s="1"/>
  <c r="F13" i="26" s="1"/>
  <c r="F23" i="26" s="1"/>
  <c r="E25" i="26" s="1"/>
  <c r="F232" i="20"/>
  <c r="F234" i="20" s="1"/>
  <c r="F239" i="20" s="1"/>
  <c r="F241" i="20" s="1"/>
  <c r="E154" i="1"/>
  <c r="H17" i="18"/>
  <c r="H23" i="18" s="1"/>
  <c r="G27" i="18" s="1"/>
  <c r="F86" i="20"/>
  <c r="F89" i="20" s="1"/>
  <c r="Q17" i="18"/>
  <c r="M13" i="26"/>
  <c r="N13" i="26" s="1"/>
  <c r="O13" i="26" s="1"/>
  <c r="O23" i="26" s="1"/>
  <c r="N25" i="26" s="1"/>
  <c r="L86" i="20"/>
  <c r="L89" i="20" s="1"/>
  <c r="L232" i="20"/>
  <c r="L234" i="20" s="1"/>
  <c r="L239" i="20" s="1"/>
  <c r="L241" i="20" s="1"/>
  <c r="G31" i="23"/>
  <c r="P11" i="9"/>
  <c r="Q11" i="9" s="1"/>
  <c r="R11" i="9" s="1"/>
  <c r="R14" i="9" s="1"/>
  <c r="H248" i="20"/>
  <c r="L16" i="9"/>
  <c r="H250" i="20" s="1"/>
  <c r="L21" i="19"/>
  <c r="L22" i="19" s="1"/>
  <c r="H154" i="1"/>
  <c r="L109" i="20"/>
  <c r="L111" i="20" s="1"/>
  <c r="K56" i="23"/>
  <c r="F34" i="23"/>
  <c r="K66" i="18" s="1"/>
  <c r="K57" i="23"/>
  <c r="J12" i="19"/>
  <c r="J158" i="20"/>
  <c r="H53" i="23"/>
  <c r="J117" i="20"/>
  <c r="J118" i="20" s="1"/>
  <c r="H39" i="23"/>
  <c r="J161" i="20"/>
  <c r="J163" i="20" s="1"/>
  <c r="J159" i="20"/>
  <c r="J167" i="20"/>
  <c r="I126" i="2"/>
  <c r="J244" i="20"/>
  <c r="J157" i="20"/>
  <c r="I31" i="23"/>
  <c r="H34" i="23"/>
  <c r="K126" i="2"/>
  <c r="L158" i="20"/>
  <c r="J53" i="23"/>
  <c r="J54" i="23" s="1"/>
  <c r="K52" i="23" s="1"/>
  <c r="J34" i="23"/>
  <c r="K31" i="23"/>
  <c r="L244" i="20"/>
  <c r="L161" i="20"/>
  <c r="L163" i="20" s="1"/>
  <c r="L12" i="19"/>
  <c r="L157" i="20"/>
  <c r="L159" i="20"/>
  <c r="J39" i="23"/>
  <c r="J40" i="23" s="1"/>
  <c r="L117" i="20"/>
  <c r="L118" i="20" s="1"/>
  <c r="K55" i="23"/>
  <c r="N13" i="19"/>
  <c r="L54" i="23"/>
  <c r="M52" i="23" s="1"/>
  <c r="O154" i="1"/>
  <c r="N154" i="1"/>
  <c r="M154" i="1"/>
  <c r="K154" i="1"/>
  <c r="F91" i="20"/>
  <c r="F92" i="20"/>
  <c r="E169" i="1"/>
  <c r="F54" i="23"/>
  <c r="G52" i="23" s="1"/>
  <c r="E39" i="23"/>
  <c r="H13" i="19"/>
  <c r="N87" i="20"/>
  <c r="N86" i="20"/>
  <c r="N89" i="20" s="1"/>
  <c r="N113" i="20"/>
  <c r="N115" i="20" s="1"/>
  <c r="N109" i="20"/>
  <c r="N111" i="20" s="1"/>
  <c r="I154" i="1"/>
  <c r="N34" i="19"/>
  <c r="N35" i="19" s="1"/>
  <c r="N21" i="19"/>
  <c r="N22" i="19" s="1"/>
  <c r="J34" i="19"/>
  <c r="J35" i="19" s="1"/>
  <c r="J21" i="19"/>
  <c r="J22" i="19" s="1"/>
  <c r="H234" i="20"/>
  <c r="H236" i="20"/>
  <c r="J229" i="20"/>
  <c r="J228" i="20" s="1"/>
  <c r="J113" i="20"/>
  <c r="J115" i="20" s="1"/>
  <c r="J86" i="20"/>
  <c r="J89" i="20" s="1"/>
  <c r="J109" i="20"/>
  <c r="J111" i="20" s="1"/>
  <c r="J232" i="20"/>
  <c r="G154" i="1"/>
  <c r="N17" i="18"/>
  <c r="N23" i="18" s="1"/>
  <c r="J13" i="26"/>
  <c r="K13" i="26" s="1"/>
  <c r="L13" i="26" s="1"/>
  <c r="L23" i="26" s="1"/>
  <c r="K25" i="26" s="1"/>
  <c r="J87" i="20"/>
  <c r="K25" i="18"/>
  <c r="J27" i="18"/>
  <c r="F22" i="19" l="1"/>
  <c r="F28" i="19" s="1"/>
  <c r="T16" i="9"/>
  <c r="L250" i="20" s="1"/>
  <c r="N26" i="19"/>
  <c r="N28" i="19" s="1"/>
  <c r="N37" i="19"/>
  <c r="L15" i="19"/>
  <c r="L24" i="19"/>
  <c r="G39" i="23"/>
  <c r="H40" i="23"/>
  <c r="J15" i="19"/>
  <c r="J24" i="19"/>
  <c r="F39" i="19"/>
  <c r="Q23" i="18"/>
  <c r="Q25" i="18" s="1"/>
  <c r="K39" i="23"/>
  <c r="I57" i="23"/>
  <c r="I56" i="23"/>
  <c r="I59" i="23"/>
  <c r="I55" i="23"/>
  <c r="L236" i="20"/>
  <c r="H25" i="18"/>
  <c r="H61" i="18" s="1"/>
  <c r="H66" i="18" s="1"/>
  <c r="F236" i="20"/>
  <c r="J248" i="20"/>
  <c r="P16" i="9"/>
  <c r="J250" i="20" s="1"/>
  <c r="K53" i="23"/>
  <c r="H54" i="23"/>
  <c r="I52" i="23" s="1"/>
  <c r="L13" i="19"/>
  <c r="I39" i="23"/>
  <c r="J13" i="19"/>
  <c r="M53" i="23"/>
  <c r="G53" i="23"/>
  <c r="F242" i="20"/>
  <c r="H28" i="19"/>
  <c r="H39" i="19"/>
  <c r="L243" i="20"/>
  <c r="L242" i="20"/>
  <c r="H239" i="20"/>
  <c r="H241" i="20" s="1"/>
  <c r="J63" i="18"/>
  <c r="J66" i="18" s="1"/>
  <c r="K61" i="18"/>
  <c r="M27" i="18"/>
  <c r="N25" i="18"/>
  <c r="J234" i="20"/>
  <c r="J236" i="20"/>
  <c r="L37" i="19" l="1"/>
  <c r="L39" i="19" s="1"/>
  <c r="L26" i="19"/>
  <c r="L28" i="19" s="1"/>
  <c r="J26" i="19"/>
  <c r="J28" i="19" s="1"/>
  <c r="J37" i="19"/>
  <c r="J39" i="19" s="1"/>
  <c r="P27" i="18"/>
  <c r="P63" i="18" s="1"/>
  <c r="P66" i="18" s="1"/>
  <c r="H242" i="20"/>
  <c r="G63" i="18"/>
  <c r="G66" i="18" s="1"/>
  <c r="I53" i="23"/>
  <c r="N39" i="19"/>
  <c r="N61" i="18"/>
  <c r="N66" i="18" s="1"/>
  <c r="M63" i="18"/>
  <c r="M66" i="18" s="1"/>
  <c r="J239" i="20"/>
  <c r="J241" i="20" s="1"/>
  <c r="Q61" i="18" l="1"/>
  <c r="J242" i="20"/>
  <c r="J243" i="20"/>
  <c r="H243" i="20" s="1"/>
  <c r="F24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inf</author>
    <author>BERGARA</author>
  </authors>
  <commentList>
    <comment ref="B6" authorId="0" shapeId="0" xr:uid="{00000000-0006-0000-0000-000001000000}">
      <text>
        <r>
          <rPr>
            <b/>
            <sz val="10"/>
            <color indexed="28"/>
            <rFont val="Calibri"/>
            <family val="2"/>
          </rPr>
          <t xml:space="preserve">LE PLAN TYPE D'UNE ANALYSE FINANCIERE
2 préalables :
- d'abord bien comprendre l'activité : </t>
        </r>
        <r>
          <rPr>
            <sz val="10"/>
            <color indexed="28"/>
            <rFont val="Calibri"/>
            <family val="2"/>
          </rPr>
          <t>marchés, produits, processus de fabrication, réseaux de distribution, les hommes ;</t>
        </r>
        <r>
          <rPr>
            <b/>
            <sz val="10"/>
            <color indexed="28"/>
            <rFont val="Calibri"/>
            <family val="2"/>
          </rPr>
          <t xml:space="preserve">
- et les choix comptables : </t>
        </r>
        <r>
          <rPr>
            <sz val="10"/>
            <color indexed="28"/>
            <rFont val="Calibri"/>
            <family val="2"/>
          </rPr>
          <t>règles et principes comptables suivis , rapports des commissaires aux comptes / auditeurs</t>
        </r>
        <r>
          <rPr>
            <b/>
            <sz val="10"/>
            <color indexed="28"/>
            <rFont val="Calibri"/>
            <family val="2"/>
          </rPr>
          <t xml:space="preserve">
4 étapes : 
- la création de richesses...  </t>
        </r>
        <r>
          <rPr>
            <sz val="10"/>
            <color indexed="28"/>
            <rFont val="Calibri"/>
            <family val="2"/>
          </rPr>
          <t>analyse des marges, effet ciseau et effet point mort ;</t>
        </r>
        <r>
          <rPr>
            <b/>
            <sz val="10"/>
            <color indexed="28"/>
            <rFont val="Calibri"/>
            <family val="2"/>
          </rPr>
          <t xml:space="preserve">
- nécessite des investissements ... </t>
        </r>
        <r>
          <rPr>
            <sz val="10"/>
            <color indexed="28"/>
            <rFont val="Calibri"/>
            <family val="2"/>
          </rPr>
          <t>besoin en fonds de roulement, actifs immobilisés ;</t>
        </r>
        <r>
          <rPr>
            <b/>
            <sz val="10"/>
            <color indexed="28"/>
            <rFont val="Calibri"/>
            <family val="2"/>
          </rPr>
          <t xml:space="preserve">
- qui doivent être financés ... </t>
        </r>
        <r>
          <rPr>
            <sz val="10"/>
            <color indexed="28"/>
            <rFont val="Calibri"/>
            <family val="2"/>
          </rPr>
          <t>par capitaux propres ou/et endettement ;</t>
        </r>
        <r>
          <rPr>
            <b/>
            <sz val="10"/>
            <color indexed="28"/>
            <rFont val="Calibri"/>
            <family val="2"/>
          </rPr>
          <t xml:space="preserve">
- et être suffisamment rentables : </t>
        </r>
        <r>
          <rPr>
            <sz val="10"/>
            <color indexed="28"/>
            <rFont val="Calibri"/>
            <family val="2"/>
          </rPr>
          <t xml:space="preserve">rentabilité économique / rentabilité financière / effet de levier
</t>
        </r>
        <r>
          <rPr>
            <b/>
            <sz val="10"/>
            <color indexed="28"/>
            <rFont val="Calibri"/>
            <family val="2"/>
          </rPr>
          <t>Conclusion :</t>
        </r>
        <r>
          <rPr>
            <sz val="10"/>
            <color indexed="28"/>
            <rFont val="Calibri"/>
            <family val="2"/>
          </rPr>
          <t xml:space="preserve">
Comparaison du taux de rentabilité économique après impôt / taux exigés par les actionnaires et les créanciers
--&gt; Créatiion de valeur
--&gt; Solvabilité</t>
        </r>
        <r>
          <rPr>
            <sz val="10"/>
            <color indexed="39"/>
            <rFont val="Calibri"/>
            <family val="2"/>
          </rPr>
          <t xml:space="preserve">
</t>
        </r>
        <r>
          <rPr>
            <b/>
            <sz val="9"/>
            <color indexed="39"/>
            <rFont val="Calibri"/>
            <family val="2"/>
          </rPr>
          <t xml:space="preserve">
</t>
        </r>
        <r>
          <rPr>
            <b/>
            <sz val="10"/>
            <color indexed="39"/>
            <rFont val="Calibri"/>
            <family val="2"/>
          </rPr>
          <t xml:space="preserve">
</t>
        </r>
        <r>
          <rPr>
            <sz val="8"/>
            <color indexed="81"/>
            <rFont val="Tahoma"/>
            <family val="2"/>
          </rPr>
          <t xml:space="preserve">
</t>
        </r>
      </text>
    </comment>
    <comment ref="C42" authorId="1" shapeId="0" xr:uid="{00000000-0006-0000-0000-000002000000}">
      <text>
        <r>
          <rPr>
            <sz val="8"/>
            <color indexed="12"/>
            <rFont val="Tahoma"/>
            <family val="2"/>
          </rPr>
          <t>La surévaluation des stocks par le biais de la production stockée ou de la production immobilisée, va avoir pour effet d'améliorer tous les solde intermédiaires de gestion.
L'excédent brut d'exploitation sera plus important que les flux de trésorerie réellement apportées par l'exploitation à l'entreprise : alors que tout va bien en apparence, son besoin réel de trésorerie ne cessera de croître pour des raisons inexpliquées !
C'est la raison pour laquelle il faudra s'intéresser à l'Excédent de Trésorerie d'Exploitation.</t>
        </r>
      </text>
    </comment>
    <comment ref="C173" authorId="0" shapeId="0" xr:uid="{00000000-0006-0000-0000-000003000000}">
      <text>
        <r>
          <rPr>
            <b/>
            <sz val="10"/>
            <color indexed="62"/>
            <rFont val="Calibri"/>
            <family val="2"/>
            <scheme val="minor"/>
          </rPr>
          <t>Pourquoi retraiter le crédit-bail ?</t>
        </r>
        <r>
          <rPr>
            <sz val="10"/>
            <color indexed="62"/>
            <rFont val="Calibri"/>
            <family val="2"/>
            <scheme val="minor"/>
          </rPr>
          <t xml:space="preserve">
Souvent une entreprise emprunte de l'argent pour financer l'acquisition d'un actif dont elle a besoin pour son activité. Une approche alternative qui aboutit au même résultat est le crédit-bail d'un actif. Le principal avantage de cette formule réside dans le fait qu'elle permet un financement à 100% et dans le fait qu'auncune garantie n'est normalement exigée, le bien n'appartenant pas à l'origine à l'entreprise.
Le crédit-bail permet donc le financement d'actifs qui, bien qu'ils puissent constituer un élément essentiel à son activité, ne figurent pas dans son patrimoine car seuls les biens appartenant à l'entreprise figurent à l'actif de son bilan.
Cette absence au bilan, logique dans une optique patrimoniale, n'a aucun sens du point de vue économique car, lorsqu'on se soucie d'apprécier le degré d'efficacité avec laquelle l'entreprise utilise ses équipements, peu importe la nature juridique du contrat au titre duquel elle en dispose, l'essentiel étant que l'équipement concerné soit effectivement à la disposition de l'entreprise.
Dès lors, il convient de redresser extra-comptablement les comptes sociaux de l'entreprise, en supposant que celle-ci s'est endettée pour acquérir les biens dont elle dispose sous forme de crédit-bail. Cette solution permet de neutraliser les choix différents effectués par les entreprises en matière de financement de leurs équipements (emprunts bancaires ou recours au crédit-bail).
</t>
        </r>
        <r>
          <rPr>
            <b/>
            <sz val="10"/>
            <color indexed="62"/>
            <rFont val="Calibri"/>
            <family val="2"/>
            <scheme val="minor"/>
          </rPr>
          <t>1. Au niveau du bilan :</t>
        </r>
        <r>
          <rPr>
            <sz val="10"/>
            <color indexed="62"/>
            <rFont val="Calibri"/>
            <family val="2"/>
            <scheme val="minor"/>
          </rPr>
          <t xml:space="preserve">
Inscrire à l'actif immobilisé le bien à sa valeur d'origine diminuée de la part des amortissements financiers inclus dans les redevances déjà payées ;
Inscrire au passif, parmi les dettes financières, le montant des amortissements financiers restant à rembourser.
</t>
        </r>
        <r>
          <rPr>
            <b/>
            <sz val="10"/>
            <color indexed="62"/>
            <rFont val="Calibri"/>
            <family val="2"/>
            <scheme val="minor"/>
          </rPr>
          <t xml:space="preserve">2. Au niveau du compte de résultat :
</t>
        </r>
        <r>
          <rPr>
            <sz val="10"/>
            <color indexed="62"/>
            <rFont val="Calibri"/>
            <family val="2"/>
            <scheme val="minor"/>
          </rPr>
          <t>Bien que l'opération de crédit-bail fasse l'objet d'un tableau d'amortissement, les redevances sont comprises dans le poste "autres achats et charges externes" pout leur montant total.
Il faut donc également répartir les redevances en dotation aux amortissements pour le montant correspondant à l'amortissment financier et en frais financiers pour le montant correspondant aux intérêts.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inf</author>
  </authors>
  <commentList>
    <comment ref="D48" authorId="0" shapeId="0" xr:uid="{00000000-0006-0000-0100-000001000000}">
      <text>
        <r>
          <rPr>
            <b/>
            <sz val="8"/>
            <color indexed="12"/>
            <rFont val="Tahoma"/>
            <family val="2"/>
          </rPr>
          <t xml:space="preserve">Analyse particuliérement importante chez les entreprises qui ont choisi la voie de la croissance externe.
</t>
        </r>
        <r>
          <rPr>
            <sz val="8"/>
            <color indexed="12"/>
            <rFont val="Tahoma"/>
            <family val="2"/>
          </rPr>
          <t>Une augmentation significative peut être la conséquence d'un investissement malheureux qui condamne la maison mère à "faire lles échéances" de sa société file et à capitalise les intérêts débiteurs qu'elle doit lui facturer. Les comptes pourrony être ainsi doublement faussés :
- l'entreprise sera d'autant moins tentée de provisionner ces avances, lorsqu'elles s'avéreront irrécouvrables, que la règle fiscale lui impose de provisionner d'abord les titres de participation auxquels ces créances sont rattachées
- le résultat de la société mère va être amélioré par les intérêts dus obligatoirement par les sociétés filles, plus souvent capitalisés qu payés</t>
        </r>
        <r>
          <rPr>
            <sz val="8"/>
            <color indexed="81"/>
            <rFont val="Tahoma"/>
            <family val="2"/>
          </rPr>
          <t xml:space="preserve">
</t>
        </r>
        <r>
          <rPr>
            <sz val="8"/>
            <color indexed="12"/>
            <rFont val="Tahoma"/>
            <family val="2"/>
          </rPr>
          <t>Les risques afférents à une augmentation continue des créances rattachées peuvent être aggravés par la comptabilisation en "autres créances" (BZ) à l'actif et "autres dettes" (EA) au passif, de créances et dettes réciproques entre société mère et sociétés filles .</t>
        </r>
      </text>
    </comment>
    <comment ref="D85" authorId="0" shapeId="0" xr:uid="{00000000-0006-0000-0100-000002000000}">
      <text>
        <r>
          <rPr>
            <sz val="8"/>
            <color indexed="12"/>
            <rFont val="Tahoma"/>
            <family val="2"/>
          </rPr>
          <t xml:space="preserve">Les effets remis à l'encaissement sont virés comptablement au compte "effets à l'encaissement" et inscrits en "disponibilités" à l'actif du bilan.
Il en ira de même des effets remis à l'encaissement dans le cadre de la procédure "d'escompte en compte" ou dans le cadre des cessions de créances professionnelles
</t>
        </r>
        <r>
          <rPr>
            <b/>
            <sz val="8"/>
            <color indexed="12"/>
            <rFont val="Tahoma"/>
            <family val="2"/>
          </rPr>
          <t xml:space="preserve">Symptomes qui permettent de présumer de l'existence d'un crédit "d'escompte en compte" ou de la cession de créances en garantie :
</t>
        </r>
        <r>
          <rPr>
            <sz val="8"/>
            <color indexed="12"/>
            <rFont val="Tahoma"/>
            <family val="2"/>
          </rPr>
          <t>- d'importantes disponibilités (CF) à l'actif, sans produits financiers (GO + GL) et avec des frais financiers raisonnables (maximum 30% de l'EBE),
- avec des crédits à court terme autres que l'escompte (EH ou VG) sensiblement équivalents.</t>
        </r>
      </text>
    </comment>
    <comment ref="D86" authorId="0" shapeId="0" xr:uid="{00000000-0006-0000-0100-000003000000}">
      <text>
        <r>
          <rPr>
            <b/>
            <sz val="8"/>
            <color indexed="12"/>
            <rFont val="Tahoma"/>
            <family val="2"/>
          </rPr>
          <t xml:space="preserve">Symptomes qui permettent de présumer de l'existence d'un contrat d'affacturage :
- </t>
        </r>
        <r>
          <rPr>
            <sz val="8"/>
            <color indexed="12"/>
            <rFont val="Tahoma"/>
            <family val="2"/>
          </rPr>
          <t>d'importants frais financiers,
- avec un poste disponibilités (CF) important à l'actif, sans découvert (EH) et sans crédits à court terme (VG + YS), ni produits financiers (GO + GL),
- une usance clients (ratio de délai moyen de paiement) plus courte que la normale ou qui se réduit,
- des "autres achats et charges externes" (FW) importantes ou en forte augmentation (FW comprend les commissions d'affacturage).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Administrateur</author>
  </authors>
  <commentList>
    <comment ref="F123" authorId="0" shapeId="0" xr:uid="{00000000-0006-0000-0200-000001000000}">
      <text>
        <r>
          <rPr>
            <sz val="8"/>
            <color indexed="56"/>
            <rFont val="Tahoma"/>
            <family val="2"/>
          </rPr>
          <t>Attention à l'unité monétaire</t>
        </r>
      </text>
    </comment>
    <comment ref="H123" authorId="0" shapeId="0" xr:uid="{00000000-0006-0000-0200-000002000000}">
      <text>
        <r>
          <rPr>
            <sz val="8"/>
            <color indexed="56"/>
            <rFont val="Tahoma"/>
            <family val="2"/>
          </rPr>
          <t>Attention à l'unité monétaire</t>
        </r>
      </text>
    </comment>
    <comment ref="J123" authorId="0" shapeId="0" xr:uid="{00000000-0006-0000-0200-000003000000}">
      <text>
        <r>
          <rPr>
            <sz val="8"/>
            <color indexed="56"/>
            <rFont val="Tahoma"/>
            <family val="2"/>
          </rPr>
          <t>Attention à l'unité monétaire</t>
        </r>
      </text>
    </comment>
    <comment ref="L123" authorId="0" shapeId="0" xr:uid="{00000000-0006-0000-0200-000004000000}">
      <text>
        <r>
          <rPr>
            <sz val="8"/>
            <color indexed="56"/>
            <rFont val="Tahoma"/>
            <family val="2"/>
          </rPr>
          <t>Attention à l'unité monétaire</t>
        </r>
      </text>
    </comment>
    <comment ref="N123" authorId="0" shapeId="0" xr:uid="{00000000-0006-0000-0200-000005000000}">
      <text>
        <r>
          <rPr>
            <sz val="8"/>
            <color indexed="56"/>
            <rFont val="Tahoma"/>
            <family val="2"/>
          </rPr>
          <t>Attention à l'unité monétaire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Joseph BERGARA</author>
    <author>inf</author>
    <author xml:space="preserve">SOKOA </author>
    <author>BERGARA</author>
    <author>SOKOA</author>
  </authors>
  <commentList>
    <comment ref="C5" authorId="0" shapeId="0" xr:uid="{00000000-0006-0000-0500-000001000000}">
      <text>
        <r>
          <rPr>
            <sz val="8"/>
            <color indexed="12"/>
            <rFont val="Tahoma"/>
            <family val="2"/>
          </rPr>
          <t>Constituant la base de l’activité de l’entreprise, le chiffre d’affaires doit faire l’objet d’une analyse particulière :
- Est-il en croissance ?
- Son évolution est-elle comparable à celle du secteur d’activité ?  Si non pourquoi ?
- Quel est le positionnement de l’entreprise sur son marché (leader, suiveur, etc) ?
Par ailleurs, il sera instructif de comparer l’évolution de l‘entreprise avec celle de ses principaux concurrents.</t>
        </r>
        <r>
          <rPr>
            <sz val="9"/>
            <color indexed="12"/>
            <rFont val="Times New Roman"/>
            <family val="1"/>
          </rPr>
          <t xml:space="preserve">
</t>
        </r>
      </text>
    </comment>
    <comment ref="C26" authorId="1" shapeId="0" xr:uid="{00000000-0006-0000-0500-000002000000}">
      <text>
        <r>
          <rPr>
            <b/>
            <sz val="8"/>
            <color indexed="12"/>
            <rFont val="Tahoma"/>
            <family val="2"/>
          </rPr>
          <t>Comparaison des ventes et de la production</t>
        </r>
        <r>
          <rPr>
            <sz val="8"/>
            <color indexed="12"/>
            <rFont val="Tahoma"/>
            <family val="2"/>
          </rPr>
          <t xml:space="preserve">
</t>
        </r>
        <r>
          <rPr>
            <b/>
            <sz val="8"/>
            <color indexed="12"/>
            <rFont val="Tahoma"/>
            <family val="2"/>
          </rPr>
          <t>I - Evolution favorable :</t>
        </r>
        <r>
          <rPr>
            <sz val="8"/>
            <color indexed="12"/>
            <rFont val="Tahoma"/>
            <family val="2"/>
          </rPr>
          <t xml:space="preserve">
- En conjoncture favorable : les ventes augmentent plus vite que la production et l'entreprise déstocke pour satisafaire la demande. Mais attention aux ruptures de stocks
- En conjoncture défavorable : les ventes diminuent moins vite que la production. L'entreprise anticipe la crise et freine sa production pour ne pas surstocker.
</t>
        </r>
        <r>
          <rPr>
            <b/>
            <sz val="8"/>
            <color indexed="12"/>
            <rFont val="Tahoma"/>
            <family val="2"/>
          </rPr>
          <t>II - Evolution défavorable</t>
        </r>
        <r>
          <rPr>
            <sz val="8"/>
            <color indexed="12"/>
            <rFont val="Tahoma"/>
            <family val="2"/>
          </rPr>
          <t xml:space="preserve">
- En conjoncture favorable : la production augmente plus vite que les ventes. L'entreprise utilise trop intensivement son outil de production et ne produit pas uniquement à la demande. Elle accroît donc ses encours de production et ses stocks de produits intermédiaires et finis. A moins qu'elle n'anticipe un emballement de la demande.
- En conjoncture défavorable : la production diminue moins vite que les ventes. L'entreprise n'a pas anticipé la crise (mêmes conséquences).
</t>
        </r>
        <r>
          <rPr>
            <b/>
            <sz val="8"/>
            <color indexed="12"/>
            <rFont val="Tahoma"/>
            <family val="2"/>
          </rPr>
          <t>III - Attention aux stocks surévalués</t>
        </r>
        <r>
          <rPr>
            <sz val="8"/>
            <color indexed="12"/>
            <rFont val="Tahoma"/>
            <family val="2"/>
          </rPr>
          <t xml:space="preserve">
- La surévaluation des stocks par le biais de la production stockée ou de la production immobilisée, va avoir pour effet d'améliorer tous les solde intermédiaires de gestion.
- L'excédent brut d'exploitation sera plus important que les flux de trésorerie réellement apportées par l'exploitation à l'entreprise : alors que tout va bien en apparence, son besoin réel de trésorerie ne cessera de croître pour des raisons inexpliquées !
- C'est la raison pour laquelle il faudra s'intéresser à l'Excédent de Trésorerie d'Exploitation.</t>
        </r>
      </text>
    </comment>
    <comment ref="C29" authorId="0" shapeId="0" xr:uid="{00000000-0006-0000-0500-000003000000}">
      <text>
        <r>
          <rPr>
            <sz val="8"/>
            <color indexed="12"/>
            <rFont val="Tahoma"/>
            <family val="2"/>
          </rPr>
          <t>La marge commerciale est l'indicateur fondamental de l'activité des entreprises de distribution (négoce). 
Il est primordial d'analyser son évolution dans le temps et par rapport aux concurrents (taux de marge comparable à celui du secteur d'activité ? Si non, pourquoi ?).
Dans un secteur de distribution très concurrentiel, les entreprises qui ne peuvent maintenir un niveau de chiffre d'affaires par un autre moyen que par la réduction de leur taux de marge commerciale, hypothèquent fortement l'avenir</t>
        </r>
        <r>
          <rPr>
            <sz val="10"/>
            <color indexed="12"/>
            <rFont val="Times New Roman"/>
            <family val="1"/>
          </rPr>
          <t xml:space="preserve">
</t>
        </r>
        <r>
          <rPr>
            <sz val="8"/>
            <color indexed="81"/>
            <rFont val="Tahoma"/>
            <family val="2"/>
          </rPr>
          <t xml:space="preserve">
</t>
        </r>
      </text>
    </comment>
    <comment ref="C48" authorId="2" shapeId="0" xr:uid="{00000000-0006-0000-0500-000004000000}">
      <text>
        <r>
          <rPr>
            <sz val="8"/>
            <color indexed="12"/>
            <rFont val="Tahoma"/>
            <family val="2"/>
          </rPr>
          <t xml:space="preserve">La valeur ajoutée représente le complément de valeur apporté par l'entreprise aux biens et services en provenance des tiers. Elle mesure le poids économique de l'entreprise et correspond à la richesse créée par celle-ci. Elle donne également une représentation de son degré d'intégration : plus celle-ci a recours à la sous-traitance, plus sa valeur ajoutée diminue.
Valeur ajoutée :         &lt; 20 %             -            20 à 30 %               -       30 à 50 %               -         &gt; 50 %
Intégration       : Activité de négoce     -    Industrie peu intégrée      -  Intégration moyenne      -  Intégration forte   </t>
        </r>
        <r>
          <rPr>
            <sz val="8"/>
            <color indexed="81"/>
            <rFont val="Tahoma"/>
            <family val="2"/>
          </rPr>
          <t xml:space="preserve">
</t>
        </r>
        <r>
          <rPr>
            <b/>
            <sz val="8"/>
            <color indexed="12"/>
            <rFont val="Tahoma"/>
            <family val="2"/>
          </rPr>
          <t>Attention</t>
        </r>
        <r>
          <rPr>
            <sz val="8"/>
            <color indexed="12"/>
            <rFont val="Tahoma"/>
            <family val="2"/>
          </rPr>
          <t xml:space="preserve">
En période de basse conjonture, un recours accru à la sous-traitance ou au contraire le rapatriement des travaux de sous-traitance peuvent introduire un effet de bascule entre la valeur ajoutée et l'excédent brut d'exploitation :
- la valeur ajoutée diminue quand la sous-traitance, incluse dans FW, augmente,
- l'EBE diminue quand les frais de personnel augmentent</t>
        </r>
      </text>
    </comment>
    <comment ref="C55" authorId="2" shapeId="0" xr:uid="{00000000-0006-0000-0500-000005000000}">
      <text>
        <r>
          <rPr>
            <sz val="8"/>
            <color indexed="12"/>
            <rFont val="Tahoma"/>
            <family val="2"/>
          </rPr>
          <t xml:space="preserve">Année après année, l'analyse financière confirme que la maîtrise des charges de personnel reste un enjeu vital pour les entreprises.
- plus les frais de personnel absorbent une partie importante de la valeur ajoutée, plus son EBE est faible et plus sa capacité à payer les frais financiers et à s'autofinancer est réduite.
- plus la part des frais de personnel dans la valeur ajoutée est faible, moins l'EBE sera affecté par une baisse de la valeur ajoutée.
- le niveau de ce ratio exprime assez bien la nature de l'activité de l'entreprise : entreprise de main d'oeuvre (ratio élevé) ou de haute technologie (ratio faible malgré des salaires élevés).
On estime que quel que soit le secteur d'activité, l'entreprise devient vulnérable lorsque le ratio dépasse 80%.
</t>
        </r>
        <r>
          <rPr>
            <b/>
            <sz val="8"/>
            <color indexed="12"/>
            <rFont val="Tahoma"/>
            <family val="2"/>
          </rPr>
          <t xml:space="preserve">Les frais de personnel sont une charge incompressible à court terme
 </t>
        </r>
      </text>
    </comment>
    <comment ref="C61" authorId="1" shapeId="0" xr:uid="{00000000-0006-0000-0500-000006000000}">
      <text>
        <r>
          <rPr>
            <sz val="8"/>
            <color indexed="39"/>
            <rFont val="Tahoma"/>
            <family val="2"/>
          </rPr>
          <t xml:space="preserve">L’excédent brut d’exploitation représente la trésorerie potentielle que l’entreprise obtient à partir de son exploitation courante, avant et indépendamment de tout contrainte ou décision en matière de financement, d'amortissements et de provisions ou fiscale. 
Un excédent brut d’exploitation négatif traduit une grande difficulté de l’entreprise et un avenir sur lequel il convient de s’interroger. </t>
        </r>
        <r>
          <rPr>
            <b/>
            <sz val="8"/>
            <color indexed="81"/>
            <rFont val="Tahoma"/>
            <family val="2"/>
          </rPr>
          <t xml:space="preserve">
</t>
        </r>
        <r>
          <rPr>
            <sz val="8"/>
            <color indexed="81"/>
            <rFont val="Tahoma"/>
            <family val="2"/>
          </rPr>
          <t xml:space="preserve">
,</t>
        </r>
      </text>
    </comment>
    <comment ref="C71" authorId="0" shapeId="0" xr:uid="{00000000-0006-0000-0500-000007000000}">
      <text>
        <r>
          <rPr>
            <b/>
            <u/>
            <sz val="8"/>
            <color indexed="12"/>
            <rFont val="Tahoma"/>
            <family val="2"/>
          </rPr>
          <t>Primauté de la liquidité</t>
        </r>
        <r>
          <rPr>
            <b/>
            <sz val="8"/>
            <color indexed="12"/>
            <rFont val="Tahoma"/>
            <family val="2"/>
          </rPr>
          <t xml:space="preserve">
</t>
        </r>
        <r>
          <rPr>
            <sz val="8"/>
            <color indexed="12"/>
            <rFont val="Tahoma"/>
            <family val="2"/>
          </rPr>
          <t xml:space="preserve">L'expérience montre que les entreprises meurent presque toujours d'une crise de liquidité dont la survenance se précipite dès que les partenaires commerciaux et financiers sont informés des difficultés qu'elles ont à se financer.
C'est donc la liquidité de l'entreprise qui est la pierre angulaire de l'édifice et il n'y a pas de meilleur indicateur pour la mesurer que le ratio frais financiers/EBE.
</t>
        </r>
        <r>
          <rPr>
            <b/>
            <sz val="8"/>
            <color indexed="12"/>
            <rFont val="Tahoma"/>
            <family val="2"/>
          </rPr>
          <t xml:space="preserve">
Norme Banque de France : 
&lt; 30% =&gt; Excellent ; entre 30% et 50%=&gt; Neutre ; &gt; 50% =&gt; Danger
</t>
        </r>
        <r>
          <rPr>
            <sz val="8"/>
            <color indexed="12"/>
            <rFont val="Tahoma"/>
            <family val="2"/>
          </rPr>
          <t>Ce ratio permet d'apprécier la capacité de l'entreprise à payer ses frais financiers à partir de la trésorerie potentielle générée par son exploitation</t>
        </r>
        <r>
          <rPr>
            <b/>
            <sz val="8"/>
            <color indexed="12"/>
            <rFont val="Tahoma"/>
            <family val="2"/>
          </rPr>
          <t xml:space="preserve">
</t>
        </r>
        <r>
          <rPr>
            <sz val="8"/>
            <color indexed="12"/>
            <rFont val="Tahoma"/>
            <family val="2"/>
          </rPr>
          <t>Ce ratio constitue :
- un indicateur de défaillance à l'horizon de 2 ou 3 ans. Les études statistiques réalisées par la centrale des bilans de la Banque de France ont permis en effet de déterminer que ce ratio commençait à se dégrader 2 à 3 ans avant la défaillance de l'entreprise.</t>
        </r>
        <r>
          <rPr>
            <sz val="9"/>
            <color indexed="12"/>
            <rFont val="Times New Roman"/>
            <family val="1"/>
          </rPr>
          <t xml:space="preserve">
- l</t>
        </r>
        <r>
          <rPr>
            <sz val="8"/>
            <color indexed="12"/>
            <rFont val="Tahoma"/>
            <family val="2"/>
          </rPr>
          <t xml:space="preserve">e </t>
        </r>
        <r>
          <rPr>
            <b/>
            <sz val="8"/>
            <color indexed="12"/>
            <rFont val="Tahoma"/>
            <family val="2"/>
          </rPr>
          <t>principal signal d'alarme</t>
        </r>
        <r>
          <rPr>
            <sz val="8"/>
            <color indexed="12"/>
            <rFont val="Tahoma"/>
            <family val="2"/>
          </rPr>
          <t xml:space="preserve"> pour les prêteurs de capitaux.
</t>
        </r>
        <r>
          <rPr>
            <b/>
            <sz val="8"/>
            <color indexed="12"/>
            <rFont val="Tahoma"/>
            <family val="2"/>
          </rPr>
          <t xml:space="preserve">Ce ratio tire sa pertinence de son caractère composite :
</t>
        </r>
        <r>
          <rPr>
            <sz val="8"/>
            <color indexed="12"/>
            <rFont val="Tahoma"/>
            <family val="2"/>
          </rPr>
          <t xml:space="preserve">- il est le reflet de l'évolution de l'exploitation, mesurée à travers l'EBE, principale source de trésorerie pour l'entreprise,
- il mesure à travers les frais financiers la relation entre la situation de trésorerie et le coût du crédit : plus l'entreprise est endettée, plus elle doit payer à ses banquiers une prime de risque élevée,
- il est enfin directement fonction de l'évolution des taux d'intérêt.
</t>
        </r>
        <r>
          <rPr>
            <b/>
            <u/>
            <sz val="8"/>
            <color indexed="12"/>
            <rFont val="Tahoma"/>
            <family val="2"/>
          </rPr>
          <t>Rappel</t>
        </r>
        <r>
          <rPr>
            <sz val="8"/>
            <color indexed="12"/>
            <rFont val="Tahoma"/>
            <family val="2"/>
          </rPr>
          <t xml:space="preserve"> : l'appréciation de la trésorerie réelle apportée à l'entreprise par l'EBE peut être faussée par une augmentation de la production stockée. Se reporter à l'excédent de trésorerie d'exploitation.
</t>
        </r>
      </text>
    </comment>
    <comment ref="C85" authorId="3" shapeId="0" xr:uid="{00000000-0006-0000-0500-000008000000}">
      <text>
        <r>
          <rPr>
            <sz val="8"/>
            <color indexed="12"/>
            <rFont val="Tahoma"/>
            <family val="2"/>
          </rPr>
          <t xml:space="preserve">La capacité d'autofinancement exprime le potentiel de l'entreprise à dégager la trésorerie nécessaire à assurer : 
* le renouvellement des équipements à travers les amortissements,
* la couverture des pertes probables et des risques auxquels l'entreprise est exposée via les provisions,
* le remboursement du capital des emprunts,
* la couverture de l'augmentation du besoin en fonds de roulement,
* la rémunération des actionnaires (part de résultat distribué),
* financer la croissance de l'outil de production et la croissance extenre (part de résultat conservé),
* améliorer la liquidité de l'entreprise,
et constitue de ce fait le </t>
        </r>
        <r>
          <rPr>
            <b/>
            <u/>
            <sz val="8"/>
            <color indexed="12"/>
            <rFont val="Tahoma"/>
            <family val="2"/>
          </rPr>
          <t>clignotant le plus prédictif</t>
        </r>
        <r>
          <rPr>
            <sz val="8"/>
            <color indexed="12"/>
            <rFont val="Tahoma"/>
            <family val="2"/>
          </rPr>
          <t xml:space="preserve"> d'un risque de défaillance.
Si la capacité d'autofinancement se révèle insuffisante, l'entreprise devra recourir à des fonds extérieurs (augmentation de capital, emprunts, crédits de trésorerie) pour financer ses besoins, qui auront pour effet de réduire sa capacité d'autofinancement future</t>
        </r>
        <r>
          <rPr>
            <sz val="8"/>
            <color indexed="81"/>
            <rFont val="Tahoma"/>
            <family val="2"/>
          </rPr>
          <t xml:space="preserve">
</t>
        </r>
      </text>
    </comment>
    <comment ref="C98" authorId="3" shapeId="0" xr:uid="{00000000-0006-0000-0500-000009000000}">
      <text>
        <r>
          <rPr>
            <b/>
            <sz val="8"/>
            <color indexed="12"/>
            <rFont val="Tahoma"/>
            <family val="2"/>
          </rPr>
          <t>Pertes de la moitié du capital social</t>
        </r>
        <r>
          <rPr>
            <sz val="8"/>
            <color indexed="12"/>
            <rFont val="Tahoma"/>
            <family val="2"/>
          </rPr>
          <t xml:space="preserve">
Si, du fait des pertes constatées, les capitaux propres de la société deviennent inférieurs à la moitié du capital social, une assemblée générale extraordinaire doit être convoquée dans les 4 mois suivant l'assemblée générale ordinaire statuant sur les comptes, à l'effet de décider s'il y a lieu ou non de dissoudre la société.
Si l'assemblée décide la poursuite de l'activité, la loi lui impose de régulariser la situation au plus tard lors de la clôture du deuxième exercice social suivant celui au cours duquel la constatation des pertes est intervenue (réalisation de bénéfices, augmentation de capital, etc.)
</t>
        </r>
        <r>
          <rPr>
            <b/>
            <sz val="8"/>
            <color indexed="12"/>
            <rFont val="Tahoma"/>
            <family val="2"/>
          </rPr>
          <t>A défaut, tout intéressé peut demander en justice la dissolution de la société</t>
        </r>
        <r>
          <rPr>
            <sz val="8"/>
            <color indexed="12"/>
            <rFont val="Tahoma"/>
            <family val="2"/>
          </rPr>
          <t>. Dans tous les cas, le tribunal peut accorder à la société un délai maximal de 6 mois pour régulariser.</t>
        </r>
      </text>
    </comment>
    <comment ref="F98" authorId="3" shapeId="0" xr:uid="{00000000-0006-0000-0500-00000A000000}">
      <text>
        <r>
          <rPr>
            <b/>
            <sz val="8"/>
            <color indexed="12"/>
            <rFont val="Tahoma"/>
            <family val="2"/>
          </rPr>
          <t>Pertes de la moitié du capital social</t>
        </r>
        <r>
          <rPr>
            <sz val="8"/>
            <color indexed="12"/>
            <rFont val="Tahoma"/>
            <family val="2"/>
          </rPr>
          <t xml:space="preserve">
Si, du fait des pertes constatées, les capitaux propres de la société deviennent inférieurs à la moitié du capital social, une assemblée générale extraordinaire doit être convoquée dans les 4 mois suivant l'assemblée générale ordinaire statuant sur les comptes, à l'effet de décider s'il y a lieu ou non de dissoudre la société.
Si l'assemblée décide la poursuite de l'activité, la loi leur impose de régulariser la situation au plus tard lors de la clôture du deuxième exercice social suivant celui au cours duquel la constatation des pertes est intervenue (réalisation de bénéfices, augmentation de capital, etc.)
</t>
        </r>
        <r>
          <rPr>
            <b/>
            <sz val="8"/>
            <color indexed="12"/>
            <rFont val="Tahoma"/>
            <family val="2"/>
          </rPr>
          <t>A défaut, tout intéressé peut demander en justice la dissolution de la société</t>
        </r>
        <r>
          <rPr>
            <sz val="8"/>
            <color indexed="12"/>
            <rFont val="Tahoma"/>
            <family val="2"/>
          </rPr>
          <t>. Dans tous les cas, le tribunal peut accorder à la société un délai maximal de 6 mois pour régulariser.</t>
        </r>
      </text>
    </comment>
    <comment ref="H98" authorId="3" shapeId="0" xr:uid="{00000000-0006-0000-0500-00000B000000}">
      <text>
        <r>
          <rPr>
            <b/>
            <sz val="8"/>
            <color indexed="12"/>
            <rFont val="Tahoma"/>
            <family val="2"/>
          </rPr>
          <t>Pertes de la moitié du capital social</t>
        </r>
        <r>
          <rPr>
            <sz val="8"/>
            <color indexed="12"/>
            <rFont val="Tahoma"/>
            <family val="2"/>
          </rPr>
          <t xml:space="preserve">
Si, du fait des pertes constatées, les capitaux propres de la société deviennent inférieurs à la moitié du capital social, une assemblée générale extraordinaire doit être convoquée dans les 4 mois suivant l'assemblée générale ordinaire statuant sur les comptes, à l'effet de décider s'il y a lieu ou non de dissoudre la société.
Si l'assemblée décide la poursuite de l'activité, la loi leur impose de régulariser la situation au plus tard lors de la clôture du deuxième exercice social suivant celui au cours duquel la constatation des pertes est intervenue (réalisation de bénéfices, augmentation de capital, etc.)
</t>
        </r>
        <r>
          <rPr>
            <b/>
            <sz val="8"/>
            <color indexed="12"/>
            <rFont val="Tahoma"/>
            <family val="2"/>
          </rPr>
          <t>A défaut, tout intéressé peut demander en justice la dissolution de la société</t>
        </r>
        <r>
          <rPr>
            <sz val="8"/>
            <color indexed="12"/>
            <rFont val="Tahoma"/>
            <family val="2"/>
          </rPr>
          <t>. Dans tous les cas, le tribunal peut accorder à la société un délai maximal de 6 mois pour régulariser.</t>
        </r>
      </text>
    </comment>
    <comment ref="J98" authorId="3" shapeId="0" xr:uid="{00000000-0006-0000-0500-00000C000000}">
      <text>
        <r>
          <rPr>
            <b/>
            <sz val="8"/>
            <color indexed="12"/>
            <rFont val="Tahoma"/>
            <family val="2"/>
          </rPr>
          <t>Pertes de la moitié du capital social</t>
        </r>
        <r>
          <rPr>
            <sz val="8"/>
            <color indexed="12"/>
            <rFont val="Tahoma"/>
            <family val="2"/>
          </rPr>
          <t xml:space="preserve">
Si, du fait des pertes constatées, les capitaux propres de la société deviennent inférieurs à la moitié du capital social, une assemblée générale extraordinaire doit être convoquée dans les 4 mois suivant l'assemblée générale ordinaire statuant sur les comptes, à l'effet de décider s'il y a lieu ou non de dissoudre la société.
Si l'assemblée décide la poursuite de l'activité, la loi leur impose de régulariser la situation au plus tard lors de la clôture du deuxième exercice social suivant celui au cours duquel la constatation des pertes est intervenue (réalisation de bénéfices, augmentation de capital, etc.)
</t>
        </r>
        <r>
          <rPr>
            <b/>
            <sz val="8"/>
            <color indexed="12"/>
            <rFont val="Tahoma"/>
            <family val="2"/>
          </rPr>
          <t>A défaut, tout intéressé peut demander en justice la dissolution de la société</t>
        </r>
        <r>
          <rPr>
            <sz val="8"/>
            <color indexed="12"/>
            <rFont val="Tahoma"/>
            <family val="2"/>
          </rPr>
          <t>. Dans tous les cas, le tribunal peut accorder à la société un délai maximal de 6 mois pour régulariser.</t>
        </r>
      </text>
    </comment>
    <comment ref="L98" authorId="3" shapeId="0" xr:uid="{00000000-0006-0000-0500-00000D000000}">
      <text>
        <r>
          <rPr>
            <b/>
            <sz val="8"/>
            <color indexed="12"/>
            <rFont val="Tahoma"/>
            <family val="2"/>
          </rPr>
          <t>Pertes de la moitié du capital social</t>
        </r>
        <r>
          <rPr>
            <sz val="8"/>
            <color indexed="12"/>
            <rFont val="Tahoma"/>
            <family val="2"/>
          </rPr>
          <t xml:space="preserve">
Si, du fait des pertes constatées, les capitaux propres de la société deviennent inférieurs à la moitié du capital social, une assemblée générale extraordinaire doit être convoquée dans les 4 mois suivant l'assemblée générale ordinaire statuant sur les comptes, à l'effet de décider s'il y a lieu ou non de dissoudre la société.
Si l'assemblée décide la poursuite de l'activité, la loi leur impose de régulariser la situation au plus tard lors de la clôture du deuxième exercice social suivant celui au cours duquel la constatation des pertes est intervenue (réalisation de bénéfices, augmentation de capital, etc.)
</t>
        </r>
        <r>
          <rPr>
            <b/>
            <sz val="8"/>
            <color indexed="12"/>
            <rFont val="Tahoma"/>
            <family val="2"/>
          </rPr>
          <t>A défaut, tout intéressé peut demander en justice la dissolution de la société</t>
        </r>
        <r>
          <rPr>
            <sz val="8"/>
            <color indexed="12"/>
            <rFont val="Tahoma"/>
            <family val="2"/>
          </rPr>
          <t>. Dans tous les cas, le tribunal peut accorder à la société un délai maximal de 6 mois pour régulariser.</t>
        </r>
      </text>
    </comment>
    <comment ref="N98" authorId="3" shapeId="0" xr:uid="{00000000-0006-0000-0500-00000E000000}">
      <text>
        <r>
          <rPr>
            <b/>
            <sz val="8"/>
            <color indexed="12"/>
            <rFont val="Tahoma"/>
            <family val="2"/>
          </rPr>
          <t>Pertes de la moitié du capital social</t>
        </r>
        <r>
          <rPr>
            <sz val="8"/>
            <color indexed="12"/>
            <rFont val="Tahoma"/>
            <family val="2"/>
          </rPr>
          <t xml:space="preserve">
Si, du fait des pertes constatées, les capitaux propres de la société deviennent inférieurs à la moitié du capital social, une assemblée générale extraordinaire doit être convoquée dans les 4 mois suivant l'assemblée générale ordinaire statuant sur les comptes, à l'effet de décider s'il y a lieu ou non de dissoudre la société.
Si l'assemblée décide la poursuite de l'activité, la loi leur impose de régulariser la situation au plus tard lors de la clôture du deuxième exercice social suivant celui au cours duquel la constatation des pertes est intervenue (réalisation de bénéfices, augmentation de capital, etc.)
</t>
        </r>
        <r>
          <rPr>
            <b/>
            <sz val="8"/>
            <color indexed="12"/>
            <rFont val="Tahoma"/>
            <family val="2"/>
          </rPr>
          <t>A défaut, tout intéressé peut demander en justice la dissolution de la société</t>
        </r>
        <r>
          <rPr>
            <sz val="8"/>
            <color indexed="12"/>
            <rFont val="Tahoma"/>
            <family val="2"/>
          </rPr>
          <t>. Dans tous les cas, le tribunal peut accorder à la société un délai maximal de 6 mois pour régulariser.</t>
        </r>
      </text>
    </comment>
    <comment ref="C99" authorId="4" shapeId="0" xr:uid="{00000000-0006-0000-0500-00000F000000}">
      <text>
        <r>
          <rPr>
            <sz val="8"/>
            <color indexed="12"/>
            <rFont val="Tahoma"/>
            <family val="2"/>
          </rPr>
          <t xml:space="preserve">Ce ratio mesure l'importance des capitaux propres dans les ressources totales de l'entreprise. 
</t>
        </r>
        <r>
          <rPr>
            <b/>
            <sz val="8"/>
            <color indexed="12"/>
            <rFont val="Tahoma"/>
            <family val="2"/>
          </rPr>
          <t>Il doit être au moins égal à 20%</t>
        </r>
        <r>
          <rPr>
            <b/>
            <sz val="8"/>
            <color indexed="56"/>
            <rFont val="Tahoma"/>
            <family val="2"/>
          </rPr>
          <t>.</t>
        </r>
        <r>
          <rPr>
            <sz val="8"/>
            <color indexed="81"/>
            <rFont val="Times New Roman"/>
            <family val="1"/>
          </rPr>
          <t xml:space="preserve">
</t>
        </r>
      </text>
    </comment>
    <comment ref="B100" authorId="0" shapeId="0" xr:uid="{00000000-0006-0000-0500-000010000000}">
      <text>
        <r>
          <rPr>
            <b/>
            <sz val="10"/>
            <color indexed="12"/>
            <rFont val="Calibri"/>
            <family val="2"/>
          </rPr>
          <t>Norme &gt; 20%</t>
        </r>
        <r>
          <rPr>
            <sz val="10"/>
            <color indexed="12"/>
            <rFont val="Calibri"/>
            <family val="2"/>
          </rPr>
          <t xml:space="preserve"> 
Ce ratio mesure l'importance relative des capitaux propres dans les ressources totales de l'entreprise.</t>
        </r>
        <r>
          <rPr>
            <sz val="8"/>
            <color indexed="56"/>
            <rFont val="Tahoma"/>
            <family val="2"/>
          </rPr>
          <t xml:space="preserve">
</t>
        </r>
      </text>
    </comment>
    <comment ref="C104" authorId="0" shapeId="0" xr:uid="{00000000-0006-0000-0500-000011000000}">
      <text>
        <r>
          <rPr>
            <b/>
            <sz val="8"/>
            <color indexed="12"/>
            <rFont val="Tahoma"/>
            <family val="2"/>
          </rPr>
          <t>Norme &lt;= 1  (ou 100%)</t>
        </r>
        <r>
          <rPr>
            <sz val="8"/>
            <color indexed="12"/>
            <rFont val="Tahoma"/>
            <family val="2"/>
          </rPr>
          <t xml:space="preserve">
L'endettement maximal de l'entreprise doit être égal au montant de ses capitaux propres. A défaut cela veut dire que les banques et autres organismes financiers contribuent davantage au financement de l'entreprise que ses actionnaires. Autement dit que les prêteurs prennent plus de risque que les actionnaires de l'entreprise.
Si ce ratio est &gt; à 100%, les banquiers considèrent que la capacité d'endettement est saturée : l'entreprise court le risque de se voir refuser tout nouveau crédit.
Ce taux d'endettement financier est parfois exprimé par le ratio : 
Endettement financier/capitaux permanents. Dans ce cas la norme est </t>
        </r>
        <r>
          <rPr>
            <b/>
            <sz val="8"/>
            <color indexed="12"/>
            <rFont val="Tahoma"/>
            <family val="2"/>
          </rPr>
          <t xml:space="preserve">&lt;= 50%
Rappel : capitaux permanents = capitaux propres + capitaux empruntés </t>
        </r>
        <r>
          <rPr>
            <sz val="8"/>
            <color indexed="12"/>
            <rFont val="Tahoma"/>
            <family val="2"/>
          </rPr>
          <t>(dettes financières LMT)</t>
        </r>
        <r>
          <rPr>
            <sz val="8"/>
            <color indexed="81"/>
            <rFont val="Tahoma"/>
            <family val="2"/>
          </rPr>
          <t xml:space="preserve">
</t>
        </r>
      </text>
    </comment>
    <comment ref="C108" authorId="2" shapeId="0" xr:uid="{00000000-0006-0000-0500-000012000000}">
      <text>
        <r>
          <rPr>
            <sz val="8"/>
            <color indexed="12"/>
            <rFont val="Tahoma"/>
            <family val="2"/>
          </rPr>
          <t xml:space="preserve">Plus la durée de remboursement sera faible, plus le risque financier de l'effet de levier sera acceptable pour le prêteur.
</t>
        </r>
        <r>
          <rPr>
            <b/>
            <sz val="8"/>
            <color indexed="12"/>
            <rFont val="Tahoma"/>
            <family val="2"/>
          </rPr>
          <t>Norme : &lt; 3 ou 4 ans</t>
        </r>
        <r>
          <rPr>
            <sz val="8"/>
            <color indexed="12"/>
            <rFont val="Tahoma"/>
            <family val="2"/>
          </rPr>
          <t>, alors que la durée effective du prêt peut aller jusqu'à 7 ans.
La différence entre la durée "théorique" et la durée "effective" correspond à une marge de sécurité  indispensable pour faire face d'une part aux aléas économiques et d'autre part au besoin d'autofinancement nécessaire au développement de l'entreprise (renouvellement de l'outil de production, investissements, croissance du BFR) ainsi qu'à la rémunération du capital (dividendes)
L'expérience montre que lorsque l'entreprise n'est pas apte à rembourser son encours d'emprunt en 3 ou 4 ans de capacité d'autofinancement, elle courra le risque de rencontrer des difficultés de remboursement.</t>
        </r>
      </text>
    </comment>
    <comment ref="C112" authorId="0" shapeId="0" xr:uid="{00000000-0006-0000-0500-000013000000}">
      <text>
        <r>
          <rPr>
            <sz val="8"/>
            <color indexed="12"/>
            <rFont val="Tahoma"/>
            <family val="2"/>
          </rPr>
          <t>Le remboursement de la part des dettes financières à moins d'1 an doit absorber un maximum de 50 à 60 % de la capacité d'autofinancement car celle-ci a d'autres utilisations que le remboursement des dettes financières : elle doit permettre de faire face d'une part aux aléas économiques et d'autre part au besoin d'autofinancement nécessaire au développement de l'entreprise (reouvellement de l'outil de production, investissements, croissance du BFR) ainsi qu'à la rémunération du capital (dividendes)</t>
        </r>
        <r>
          <rPr>
            <sz val="8"/>
            <color indexed="81"/>
            <rFont val="Tahoma"/>
            <family val="2"/>
          </rPr>
          <t xml:space="preserve">
</t>
        </r>
      </text>
    </comment>
    <comment ref="B113" authorId="0" shapeId="0" xr:uid="{00000000-0006-0000-0500-000014000000}">
      <text>
        <r>
          <rPr>
            <sz val="8"/>
            <color indexed="12"/>
            <rFont val="Tahoma"/>
            <family val="2"/>
          </rPr>
          <t>Le remboursement de la part des dettes financières à moins d'1 an doit absorber un maximum de 50 à 60 % de la capacité d'autofinancement.</t>
        </r>
        <r>
          <rPr>
            <sz val="8"/>
            <color indexed="81"/>
            <rFont val="Tahoma"/>
            <family val="2"/>
          </rPr>
          <t xml:space="preserve">
</t>
        </r>
      </text>
    </comment>
    <comment ref="C117" authorId="3" shapeId="0" xr:uid="{00000000-0006-0000-0500-000015000000}">
      <text>
        <r>
          <rPr>
            <sz val="8"/>
            <color indexed="12"/>
            <rFont val="Tahoma"/>
            <family val="2"/>
          </rPr>
          <t>Endettement net = endettement à LMT + ou - trésorerie nette</t>
        </r>
        <r>
          <rPr>
            <sz val="8"/>
            <color indexed="81"/>
            <rFont val="Tahoma"/>
            <family val="2"/>
          </rPr>
          <t xml:space="preserve">
</t>
        </r>
      </text>
    </comment>
    <comment ref="B127" authorId="1" shapeId="0" xr:uid="{00000000-0006-0000-0500-000016000000}">
      <text>
        <r>
          <rPr>
            <sz val="8"/>
            <color indexed="12"/>
            <rFont val="Tahoma"/>
            <family val="2"/>
          </rPr>
          <t>On considère que pour les PME opérant dans un secteur "normal", c-à-d dépourvu de particularités comme des investissements immatétriels très lourds -industrie de haute technologie, par exemple- le taux devrait s'établir entre 9 et 11%, ce qui correspond à un renouvellement des immobilisations tous les 10 ans.</t>
        </r>
        <r>
          <rPr>
            <sz val="9"/>
            <color indexed="81"/>
            <rFont val="Tahoma"/>
            <family val="2"/>
          </rPr>
          <t xml:space="preserve">
</t>
        </r>
      </text>
    </comment>
    <comment ref="C130" authorId="0" shapeId="0" xr:uid="{00000000-0006-0000-0500-000017000000}">
      <text>
        <r>
          <rPr>
            <sz val="8"/>
            <color indexed="12"/>
            <rFont val="Tahoma"/>
            <family val="2"/>
          </rPr>
          <t>L'avis est à nuancer dans la mesure où :
- le recours à l'amortissement dégressif est quasi systématique, ce qui se traduit par des taux d'amortissements plus élevés ;
- le taux de renouvellement annuel est supérieur à 10%</t>
        </r>
        <r>
          <rPr>
            <sz val="8"/>
            <color indexed="81"/>
            <rFont val="Tahoma"/>
            <family val="2"/>
          </rPr>
          <t xml:space="preserve">
</t>
        </r>
      </text>
    </comment>
    <comment ref="C139" authorId="3" shapeId="0" xr:uid="{00000000-0006-0000-0500-000018000000}">
      <text>
        <r>
          <rPr>
            <b/>
            <sz val="8"/>
            <color indexed="12"/>
            <rFont val="Tahoma"/>
            <family val="2"/>
          </rPr>
          <t>Equilibre</t>
        </r>
        <r>
          <rPr>
            <sz val="8"/>
            <color indexed="12"/>
            <rFont val="Tahoma"/>
            <family val="2"/>
          </rPr>
          <t xml:space="preserve"> = le besoin en fonds de roulement ne doit pas augmenter plus vite ou diminuer moins vite que le chiffre d'affaires </t>
        </r>
        <r>
          <rPr>
            <sz val="8"/>
            <color indexed="81"/>
            <rFont val="Tahoma"/>
            <family val="2"/>
          </rPr>
          <t xml:space="preserve">
</t>
        </r>
        <r>
          <rPr>
            <sz val="8"/>
            <color indexed="12"/>
            <rFont val="Tahoma"/>
            <family val="2"/>
          </rPr>
          <t xml:space="preserve">Le ratio BFRE/jours de chiffre d'affaires permet de mesurer de façon synthétique la qualité de la gestion des actifs d'exploitation et de se rapporter aux normes du secteur d'activité.
Avant d'octroyer une ligne de crédit à court terme, la banque vérifiera que ce ratio n'est pas anormalement élevé à celui d'autres entreprises du même secteur d'activité. Autrement dit, la banque s'assurera qu'on ne lui demande pas de prendre un risque exagéré en finançant des actifs d'exploitation qui sont mal gérés.
Il conviendra d'analyser les élements constitutifs du besoin en fonds de roulement d'exploitation, à savoir :
- les délais d'écoulement des stocks,
- les délais de paiement des clients,
- les délais de réglement aux fournisseurs
</t>
        </r>
        <r>
          <rPr>
            <sz val="6"/>
            <color indexed="12"/>
            <rFont val="Tahoma"/>
            <family val="2"/>
          </rPr>
          <t>(voir ci-dessous)</t>
        </r>
      </text>
    </comment>
    <comment ref="B140" authorId="3" shapeId="0" xr:uid="{00000000-0006-0000-0500-000019000000}">
      <text>
        <r>
          <rPr>
            <sz val="10"/>
            <color indexed="12"/>
            <rFont val="Calibri"/>
            <family val="2"/>
          </rPr>
          <t>Le BFRE est une notion fondamentale car il correspond aux besoins de capitaux nécessaires pour financer l'exploitation courante.
Il représente une masse d'argent immobilisée qu'il faut considérer comme un investissement financier nécessaire au fonctionnement de l'entreprise.
Les éléments constitutifs du BFRE varient tous de façon plus ou moins proportionnelle à l'activité de l'entreprise. Ce ratio permet de mesurer de façon synthétique la qualité de la gestion des actifs d'exploitation (stocks, clients) et de se rapporter à des normes par secteur d'activité.
Avant d'octroyer une ligne de crédit à court terme, le banquier vérifiera que ce ratio n'est pas anormalement élevé à celui des entreprises du même secteur d'activité. Autrement dit, il s'assurera qu'on ne lui demande pas de prendre un risque exagéré en finançant des actifs d'exploitation qui sont mal gérés.
BFRE moyen par secteur d'activité :
* Industrie :...........................55 jours de C.A. 
* Distribution :...................... 31 jours de C.A.
* Services (hors distribution) : 41 jours de C.A.</t>
        </r>
        <r>
          <rPr>
            <sz val="10"/>
            <color indexed="81"/>
            <rFont val="Calibri"/>
            <family val="2"/>
          </rPr>
          <t xml:space="preserve">
</t>
        </r>
        <r>
          <rPr>
            <i/>
            <sz val="10"/>
            <color indexed="12"/>
            <rFont val="Calibri"/>
            <family val="2"/>
          </rPr>
          <t>(Ernest &amp; Young - mars 2004)</t>
        </r>
      </text>
    </comment>
    <comment ref="C152" authorId="3" shapeId="0" xr:uid="{00000000-0006-0000-0500-00001A000000}">
      <text>
        <r>
          <rPr>
            <b/>
            <sz val="8"/>
            <color indexed="12"/>
            <rFont val="Tahoma"/>
            <family val="2"/>
          </rPr>
          <t>Norme &gt;30%</t>
        </r>
        <r>
          <rPr>
            <sz val="8"/>
            <color indexed="12"/>
            <rFont val="Tahoma"/>
            <family val="2"/>
          </rPr>
          <t xml:space="preserve">
La dégradation de ce ratio indique qu'une partie croissante du besoin en fonds de roulement n'est plus financé par des ressources stables (FR). Lentreprise devient alors vulnérable car plus dépendante des crédits de trésorerie que la banque peut demander de rembourser à tout moment, </t>
        </r>
        <r>
          <rPr>
            <u/>
            <sz val="8"/>
            <color indexed="12"/>
            <rFont val="Tahoma"/>
            <family val="2"/>
          </rPr>
          <t xml:space="preserve">sous respect d'un préavis.
</t>
        </r>
        <r>
          <rPr>
            <sz val="8"/>
            <color indexed="12"/>
            <rFont val="Tahoma"/>
            <family val="2"/>
          </rPr>
          <t xml:space="preserve">La dégradation de ce ratio peut être du à une crise de croissance ou à une mauvaise gestion des actifs d'exploitation :
- gonflement injustifié des stocks. Cela est non seulement coûteux en terme de frais financiers et d'ulilisation de surface de stockage. Il est également source de pertes pour stocks périmés, obsolètes ou démodés
- Allongement du délai d'encaissement des créances clients pour cause de manque de rigueur dans la négociation des délais de paiement et dans le suivi des recouvrements des créances. </t>
        </r>
      </text>
    </comment>
    <comment ref="C160" authorId="3" shapeId="0" xr:uid="{00000000-0006-0000-0500-00001B000000}">
      <text>
        <r>
          <rPr>
            <b/>
            <u/>
            <sz val="8"/>
            <color indexed="12"/>
            <rFont val="Tahoma"/>
            <family val="2"/>
          </rPr>
          <t>Attention à l'effet ciseaux</t>
        </r>
        <r>
          <rPr>
            <sz val="8"/>
            <color indexed="12"/>
            <rFont val="Tahoma"/>
            <family val="2"/>
          </rPr>
          <t xml:space="preserve">
La situation de l'entreprise devient fragile lorsque les crédits bancaires à court terme financent les 2/3 ou plus de ses besoins d'exploitation.
Ressources </t>
        </r>
        <r>
          <rPr>
            <b/>
            <sz val="8"/>
            <color indexed="12"/>
            <rFont val="Tahoma"/>
            <family val="2"/>
          </rPr>
          <t>aléatoires</t>
        </r>
        <r>
          <rPr>
            <sz val="8"/>
            <color indexed="12"/>
            <rFont val="Tahoma"/>
            <family val="2"/>
          </rPr>
          <t>, les concours bancaires à court terme peuvent rapidement devenir exigibles. C'est le cas du découvert non autorisé.
Plus le solde de trésorerie nécessaire est important, plus grand est le risque que l'entreprise n'obtienne pas le renouvellement de ses concours bancaires et ainsi se trouve en rupture de liquidité, entraînant la cessation de paiements et le dépôt de bilan. Car le risque majeur pour la banque est de ne pas pouvoir "se désengager", de se retrouver seul à "porter" l'entreprise en mal de trésorerie et de se voir attribuer en prime par les tribunaux la responsabilité de la défaillance. Ce soutien devenant isupportable, la banque décidera alors d'arrêter son appui.</t>
        </r>
      </text>
    </comment>
    <comment ref="C164" authorId="3" shapeId="0" xr:uid="{00000000-0006-0000-0500-00001C000000}">
      <text>
        <r>
          <rPr>
            <b/>
            <sz val="8"/>
            <color indexed="12"/>
            <rFont val="Tahoma"/>
            <family val="2"/>
          </rPr>
          <t>Norme &lt;60%</t>
        </r>
        <r>
          <rPr>
            <sz val="8"/>
            <color indexed="12"/>
            <rFont val="Tahoma"/>
            <family val="2"/>
          </rPr>
          <t xml:space="preserve">
Les crédits de trésorerie peuvent être réduits ou supprimés à tout moment par la banque, </t>
        </r>
        <r>
          <rPr>
            <u/>
            <sz val="8"/>
            <color indexed="12"/>
            <rFont val="Tahoma"/>
            <family val="2"/>
          </rPr>
          <t>sous réserve d'un préavis.</t>
        </r>
        <r>
          <rPr>
            <b/>
            <sz val="8"/>
            <color indexed="12"/>
            <rFont val="Tahoma"/>
            <family val="2"/>
          </rPr>
          <t xml:space="preserve">
</t>
        </r>
        <r>
          <rPr>
            <sz val="8"/>
            <color indexed="12"/>
            <rFont val="Tahoma"/>
            <family val="2"/>
          </rPr>
          <t xml:space="preserve">L'entreprise ne peut rembourser les crédits de trésorerie que grâce aux encaissements provenant de ses clients. Il est donc logique que les banques déterminent leur plafond de crédit à court terme par rapport au poste client.
Ce ratio n'est évidemment pas significatif lorsque la trésorerie nette de l'entreprise est en excédent (trésorerie nette positive). </t>
        </r>
        <r>
          <rPr>
            <sz val="8"/>
            <color indexed="81"/>
            <rFont val="Tahoma"/>
            <family val="2"/>
          </rPr>
          <t xml:space="preserve">
</t>
        </r>
      </text>
    </comment>
    <comment ref="C168" authorId="3" shapeId="0" xr:uid="{00000000-0006-0000-0500-00001D000000}">
      <text>
        <r>
          <rPr>
            <sz val="8"/>
            <color indexed="12"/>
            <rFont val="Tahoma"/>
            <family val="2"/>
          </rPr>
          <t xml:space="preserve">Lorsque l'entreprise a une activité saisonnière, le ratio peut ête faussé et ne pas traduire le délai réel de paiement des clients. En effet, en fonction de l'activité sur les derniers mois de l'année, le poste client à la date de clôture peut être plus ou moins important que la moyenne de l'année. Le phénomène de saisonnalité étant permanent d'une année sur l'autre, il sera cependant toujours possible de suivre l'évolution du délai de paiement des clients d'un exercice comptable à l'autre.
Un allongement du délai d'encaissement des créances client rend l'entreprise plus vulnérable au risque de défaillance de ses clients et accroît sa dépendance vis-à-vis des crédits bancaires à court terme.
La non maîtrise des délais d'encaissement des créances client est cause de nombreuses défaillances d'entreprises.
L’observation de l’évolution de ce ratio et sa comparaison avec les normes de la profession peut être révélatrice des difficultés que l’entreprise rencontre sur son marché, de la rigueur avec laquelle elle négocie les conditions de paiement avec ses clients et la qualité de son organisation interne.
Un délai trop élevé peut être éventuellement le signe de créances irrécouvrables non provisionnées. Ce qui fausse les résultats de l’entreprise et entraîne un risque de non-valeur d’une partie de ce poste. Pour dissimuler une baisse de rentabilité, il peut être tentant de laisser dans les comptes des créances douteuses et des stocks obsolètes  sans provisions pour dépréciation.
Il faut avoirs en mémoire que les créances clients sont la </t>
        </r>
        <r>
          <rPr>
            <b/>
            <sz val="8"/>
            <color indexed="12"/>
            <rFont val="Tahoma"/>
            <family val="2"/>
          </rPr>
          <t>principale source de liquidités.</t>
        </r>
        <r>
          <rPr>
            <sz val="8"/>
            <color indexed="12"/>
            <rFont val="Tahoma"/>
            <family val="2"/>
          </rPr>
          <t xml:space="preserve">
</t>
        </r>
      </text>
    </comment>
    <comment ref="C176" authorId="2" shapeId="0" xr:uid="{00000000-0006-0000-0500-00001E000000}">
      <text>
        <r>
          <rPr>
            <sz val="8"/>
            <color indexed="12"/>
            <rFont val="Tahoma"/>
            <family val="2"/>
          </rPr>
          <t>Ce ratio doit avoisiner le délai standard de paiement accordé par les fournisseurs. Si le délai réel est supérieur, c'est le signe éventuel d'un excès d'utilisation du crédit fournisseur et un signe précurseur de problèmes de trésorerie</t>
        </r>
        <r>
          <rPr>
            <sz val="8"/>
            <color indexed="81"/>
            <rFont val="Tahoma"/>
            <family val="2"/>
          </rPr>
          <t xml:space="preserve">
</t>
        </r>
        <r>
          <rPr>
            <sz val="8"/>
            <color indexed="12"/>
            <rFont val="Tahoma"/>
            <family val="2"/>
          </rPr>
          <t>Un allongement du délai de paiement aux fournisseurs, combiné à une dégradation de la position de la trésorerie nette constitue un clignotant de risque important. L'entreprise essaie d'améliorer artificiellement sa trésorerie en payant ses fournisseurs en retard.</t>
        </r>
      </text>
    </comment>
    <comment ref="C185" authorId="3" shapeId="0" xr:uid="{00000000-0006-0000-0500-00001F000000}">
      <text>
        <r>
          <rPr>
            <sz val="8"/>
            <color indexed="12"/>
            <rFont val="Tahoma"/>
            <family val="2"/>
          </rPr>
          <t xml:space="preserve">Les stocks contituent une immobilisatiion d'argent, </t>
        </r>
        <r>
          <rPr>
            <b/>
            <u/>
            <sz val="8"/>
            <color indexed="12"/>
            <rFont val="Tahoma"/>
            <family val="2"/>
          </rPr>
          <t>donc autant de trésorerie indisponible</t>
        </r>
        <r>
          <rPr>
            <b/>
            <sz val="8"/>
            <color indexed="12"/>
            <rFont val="Tahoma"/>
            <family val="2"/>
          </rPr>
          <t>.</t>
        </r>
        <r>
          <rPr>
            <sz val="8"/>
            <color indexed="12"/>
            <rFont val="Tahoma"/>
            <family val="2"/>
          </rPr>
          <t xml:space="preserve">
Les délais d'écoulement des stocks sont particulièrement importants dans les entreprises de distribution et de négoce dans lesquelles une gestion efficace des stocks constitue une condition de réussite.
Un allongement du délai d'écoulement des stocks est non seulement coûteux en terme de frais financiers, de mobilisation de fonds et d'utilisation de surface de stockage. Il est également source de pertes pour stocks périmés, obsolètes ou démodés.
Un délai trop élevé peut être éventuellement le signe de stocks obsolètes non provisionnées ou d’une surévaluation. Ce qui fausse  marges et résultats de l’entreprise et entraîne un risque de non-valeur d’une partie de ce poste. Les stocks peuvent être une source de présentation "orientée" des comptes d'une entreprise.
Maintenir des stocks importants est également générateur de coûts (location, énergie, assurance, gestion ...). 
</t>
        </r>
      </text>
    </comment>
    <comment ref="C194" authorId="3" shapeId="0" xr:uid="{00000000-0006-0000-0500-000020000000}">
      <text>
        <r>
          <rPr>
            <sz val="8"/>
            <color indexed="12"/>
            <rFont val="Tahoma"/>
            <family val="2"/>
          </rPr>
          <t xml:space="preserve">Les stocks contituent une immobilisatiion d'argent, </t>
        </r>
        <r>
          <rPr>
            <b/>
            <u/>
            <sz val="8"/>
            <color indexed="12"/>
            <rFont val="Tahoma"/>
            <family val="2"/>
          </rPr>
          <t>donc autant de trésorerie indisponible</t>
        </r>
        <r>
          <rPr>
            <b/>
            <sz val="8"/>
            <color indexed="12"/>
            <rFont val="Tahoma"/>
            <family val="2"/>
          </rPr>
          <t>.</t>
        </r>
        <r>
          <rPr>
            <sz val="8"/>
            <color indexed="12"/>
            <rFont val="Tahoma"/>
            <family val="2"/>
          </rPr>
          <t xml:space="preserve">
Les délais d'écoulement des stocks sont particulièrement importants dans les entreprises de distribution et de négoce dans lesquelles une gestion efficace des stocks constitue une condition de réussite.
Un allongement du délai d'écoulement des stocks est non seulement coûteux en terme de frais financiers, de mobilisation de fonds et d'utilisation de surface de stockage. Il est également source de pertes pour stocks périmés, obsolètes ou démodés.
Un délai trop élevé peut être éventuellement le signe de stocks obsolètes non provisionnées ou d’une surévaluation. Ce qui fausse  marges et résultats de l’entreprise et entraîne un risque de non-valeur d’une partie de ce poste. Les stocks peuvent être une source de présentation "orientée" des comptes d'une entreprise.
Maintenir des stocks importants est également générateur de coûts (location, énergie, assurance, gestion ...). 
</t>
        </r>
      </text>
    </comment>
    <comment ref="C203" authorId="3" shapeId="0" xr:uid="{00000000-0006-0000-0500-000021000000}">
      <text>
        <r>
          <rPr>
            <sz val="8"/>
            <color indexed="12"/>
            <rFont val="Tahoma"/>
            <family val="2"/>
          </rPr>
          <t>Les encours de production sont fonction de la durée du cycle industriel et de l'importance des marchés conclus. L'objectif sera de déceler tout allongement artificiel destiné à retarder le moment où les pertes devront être constatées, si les marcjés ont été traités dans de mauvaises conditions.</t>
        </r>
      </text>
    </comment>
    <comment ref="C231" authorId="3" shapeId="0" xr:uid="{00000000-0006-0000-0500-000022000000}">
      <text>
        <r>
          <rPr>
            <b/>
            <sz val="8"/>
            <color indexed="12"/>
            <rFont val="Tahoma"/>
            <family val="2"/>
          </rPr>
          <t xml:space="preserve">
Equilibre = la capacité d'autofinancement doit au moins couvrir l'augmentation du besoin en fonds de roulement.
</t>
        </r>
        <r>
          <rPr>
            <sz val="8"/>
            <color indexed="12"/>
            <rFont val="Tahoma"/>
            <family val="2"/>
          </rPr>
          <t xml:space="preserve">- L'exploitation courante fait naître un besoin de financement permanent : </t>
        </r>
        <r>
          <rPr>
            <b/>
            <sz val="8"/>
            <color indexed="12"/>
            <rFont val="Tahoma"/>
            <family val="2"/>
          </rPr>
          <t>le besoin en fonds de roulement</t>
        </r>
        <r>
          <rPr>
            <sz val="8"/>
            <color indexed="12"/>
            <rFont val="Tahoma"/>
            <family val="2"/>
          </rPr>
          <t xml:space="preserve">. La croissance  du chiffre d'affaires augmente ce besoin de fonds.
</t>
        </r>
        <r>
          <rPr>
            <sz val="8"/>
            <color indexed="81"/>
            <rFont val="Tahoma"/>
            <family val="2"/>
          </rPr>
          <t xml:space="preserve">
</t>
        </r>
        <r>
          <rPr>
            <sz val="8"/>
            <color indexed="12"/>
            <rFont val="Tahoma"/>
            <family val="2"/>
          </rPr>
          <t xml:space="preserve">- L'exploitation courante secrète une ressource permanente : </t>
        </r>
        <r>
          <rPr>
            <b/>
            <sz val="8"/>
            <color indexed="12"/>
            <rFont val="Tahoma"/>
            <family val="2"/>
          </rPr>
          <t>l'autofinancement</t>
        </r>
        <r>
          <rPr>
            <sz val="8"/>
            <color indexed="12"/>
            <rFont val="Tahoma"/>
            <family val="2"/>
          </rPr>
          <t xml:space="preserve">. 
L'équilibre d'exploitation suppose que l'autofinancement soit suffisant pour financer </t>
        </r>
        <r>
          <rPr>
            <b/>
            <sz val="8"/>
            <color indexed="12"/>
            <rFont val="Tahoma"/>
            <family val="2"/>
          </rPr>
          <t>au moins</t>
        </r>
        <r>
          <rPr>
            <sz val="8"/>
            <color indexed="12"/>
            <rFont val="Tahoma"/>
            <family val="2"/>
          </rPr>
          <t xml:space="preserve"> l'augmentation du besoin en fonds de roulement.</t>
        </r>
        <r>
          <rPr>
            <sz val="8"/>
            <color indexed="81"/>
            <rFont val="Tahoma"/>
            <family val="2"/>
          </rPr>
          <t xml:space="preserve">
</t>
        </r>
      </text>
    </comment>
    <comment ref="C236" authorId="0" shapeId="0" xr:uid="{00000000-0006-0000-0500-000023000000}">
      <text>
        <r>
          <rPr>
            <sz val="8"/>
            <color indexed="12"/>
            <rFont val="Tahoma"/>
            <family val="2"/>
          </rPr>
          <t>un Flux de Trésorerie d'Exploitation négatif est un signe de forte vulnérabilité et de difficultés de l'entreprise. L'analyse de sa formation permet de situer les actions que doit engager l'entreprise : réduction du BFRE ou/et redressement des performances économiques.</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inf</author>
  </authors>
  <commentList>
    <comment ref="D20" authorId="0" shapeId="0" xr:uid="{00000000-0006-0000-0700-000001000000}">
      <text>
        <r>
          <rPr>
            <sz val="9"/>
            <color indexed="12"/>
            <rFont val="Tahoma"/>
            <family val="2"/>
          </rPr>
          <t>Taux théorique</t>
        </r>
        <r>
          <rPr>
            <sz val="9"/>
            <color indexed="81"/>
            <rFont val="Tahoma"/>
            <family val="2"/>
          </rPr>
          <t xml:space="preserve">
</t>
        </r>
      </text>
    </comment>
    <comment ref="C22" authorId="0" shapeId="0" xr:uid="{00000000-0006-0000-0700-000002000000}">
      <text>
        <r>
          <rPr>
            <b/>
            <sz val="10"/>
            <color indexed="18"/>
            <rFont val="Calibri"/>
            <family val="2"/>
            <scheme val="minor"/>
          </rPr>
          <t xml:space="preserve">Rentabilité économique </t>
        </r>
        <r>
          <rPr>
            <sz val="10"/>
            <color indexed="18"/>
            <rFont val="Calibri"/>
            <family val="2"/>
            <scheme val="minor"/>
          </rPr>
          <t>: capacité à générer de la richesse à partir de l'outil de production</t>
        </r>
        <r>
          <rPr>
            <sz val="9"/>
            <color indexed="81"/>
            <rFont val="Tahoma"/>
            <family val="2"/>
          </rPr>
          <t xml:space="preserve">
</t>
        </r>
      </text>
    </comment>
    <comment ref="C28" authorId="0" shapeId="0" xr:uid="{00000000-0006-0000-0700-000003000000}">
      <text>
        <r>
          <rPr>
            <sz val="10"/>
            <color indexed="18"/>
            <rFont val="Calibri"/>
            <family val="2"/>
            <scheme val="minor"/>
          </rPr>
          <t>Rentabilité pour les apporteurs de capitaux</t>
        </r>
        <r>
          <rPr>
            <b/>
            <sz val="10"/>
            <color indexed="81"/>
            <rFont val="Calibri"/>
            <family val="2"/>
            <scheme val="minor"/>
          </rPr>
          <t xml:space="preserve">
</t>
        </r>
      </text>
    </comment>
  </commentList>
</comments>
</file>

<file path=xl/sharedStrings.xml><?xml version="1.0" encoding="utf-8"?>
<sst xmlns="http://schemas.openxmlformats.org/spreadsheetml/2006/main" count="1119" uniqueCount="710">
  <si>
    <t>%</t>
  </si>
  <si>
    <t>Vente de marchandises</t>
  </si>
  <si>
    <t>FC</t>
  </si>
  <si>
    <t>Production  vendue de biens</t>
  </si>
  <si>
    <t>FF</t>
  </si>
  <si>
    <t>Production vendue de services</t>
  </si>
  <si>
    <t>FI</t>
  </si>
  <si>
    <t>Production stockée ou déstockée</t>
  </si>
  <si>
    <t>FM</t>
  </si>
  <si>
    <t>Production immobilisée</t>
  </si>
  <si>
    <t>FN</t>
  </si>
  <si>
    <t xml:space="preserve">Production de l'exercice  </t>
  </si>
  <si>
    <t>Achats de marchandises</t>
  </si>
  <si>
    <t>FS</t>
  </si>
  <si>
    <t>Variation de stocks de marchandises</t>
  </si>
  <si>
    <t>FT</t>
  </si>
  <si>
    <t xml:space="preserve">Marge commerciale  </t>
  </si>
  <si>
    <t>FU</t>
  </si>
  <si>
    <t>Variation de stocks de mat 1° et appros</t>
  </si>
  <si>
    <t>FV</t>
  </si>
  <si>
    <t>Autres achats et charges externes</t>
  </si>
  <si>
    <t>FW</t>
  </si>
  <si>
    <t>Personnel extérieur à l'entreprise</t>
  </si>
  <si>
    <t>YU</t>
  </si>
  <si>
    <t xml:space="preserve">Valeur ajoutée  </t>
  </si>
  <si>
    <t>Subventions d'exploitation</t>
  </si>
  <si>
    <t>FO</t>
  </si>
  <si>
    <t>Impôts et taxes</t>
  </si>
  <si>
    <t>FX</t>
  </si>
  <si>
    <t xml:space="preserve">Excédent brut d'exploitation  </t>
  </si>
  <si>
    <t>GA</t>
  </si>
  <si>
    <t>Part de crédit-bail retraitée</t>
  </si>
  <si>
    <t>Autres produits</t>
  </si>
  <si>
    <t>FQ</t>
  </si>
  <si>
    <t>Autres charges</t>
  </si>
  <si>
    <t>GE</t>
  </si>
  <si>
    <t xml:space="preserve">Résultat d'exploitation  </t>
  </si>
  <si>
    <t>Produits financiers de participation</t>
  </si>
  <si>
    <t>GJ</t>
  </si>
  <si>
    <t>GK</t>
  </si>
  <si>
    <t>GM-UH</t>
  </si>
  <si>
    <t>Intérêts et charges assimilées</t>
  </si>
  <si>
    <t>GR</t>
  </si>
  <si>
    <t>HJ</t>
  </si>
  <si>
    <t>Impôts sur les bénéfices</t>
  </si>
  <si>
    <t>HK</t>
  </si>
  <si>
    <t xml:space="preserve">Résultat net  </t>
  </si>
  <si>
    <t xml:space="preserve">Capacité d'autofinancement  </t>
  </si>
  <si>
    <t xml:space="preserve">Capitaux propres </t>
  </si>
  <si>
    <t>DL</t>
  </si>
  <si>
    <t>Capital souscrit non appelé</t>
  </si>
  <si>
    <t>AA</t>
  </si>
  <si>
    <t>Autres fonds propres</t>
  </si>
  <si>
    <t>DO</t>
  </si>
  <si>
    <t>Provisions pour risques et charges</t>
  </si>
  <si>
    <t>DR</t>
  </si>
  <si>
    <t>Ecart  de conversion passif</t>
  </si>
  <si>
    <t>ED</t>
  </si>
  <si>
    <t>Ecart  de conversion actif</t>
  </si>
  <si>
    <t>CN</t>
  </si>
  <si>
    <t>CM</t>
  </si>
  <si>
    <t xml:space="preserve">Ressources propres  </t>
  </si>
  <si>
    <t>Emprunts obligataires convertibles</t>
  </si>
  <si>
    <t>Autres emprunts obligataires</t>
  </si>
  <si>
    <t xml:space="preserve">Ressources d'emprunt  </t>
  </si>
  <si>
    <t xml:space="preserve">Capitaux permanents  </t>
  </si>
  <si>
    <t>Actif immobilisé net</t>
  </si>
  <si>
    <t>Matières premières, approvisionnements</t>
  </si>
  <si>
    <t>BL</t>
  </si>
  <si>
    <t>BM</t>
  </si>
  <si>
    <t>Encours de production de biens</t>
  </si>
  <si>
    <t>BN</t>
  </si>
  <si>
    <t>BO</t>
  </si>
  <si>
    <t>Encours de production de services</t>
  </si>
  <si>
    <t>BP</t>
  </si>
  <si>
    <t>BQ</t>
  </si>
  <si>
    <t>Produits intermédiaires et finis</t>
  </si>
  <si>
    <t>BR</t>
  </si>
  <si>
    <t>BS</t>
  </si>
  <si>
    <t>Marchandises</t>
  </si>
  <si>
    <t>BT</t>
  </si>
  <si>
    <t>BU</t>
  </si>
  <si>
    <t>BX</t>
  </si>
  <si>
    <t>BY</t>
  </si>
  <si>
    <t>Effets escomptés non échus</t>
  </si>
  <si>
    <t>YS</t>
  </si>
  <si>
    <t>Encours factor</t>
  </si>
  <si>
    <t>Autres créances</t>
  </si>
  <si>
    <t>DW</t>
  </si>
  <si>
    <t>Fournisseurs et comptes rattachés</t>
  </si>
  <si>
    <t>DX</t>
  </si>
  <si>
    <t>Dettes fiscales et sociales</t>
  </si>
  <si>
    <t>DY</t>
  </si>
  <si>
    <t>Dettes sur immobilisations</t>
  </si>
  <si>
    <t>DZ</t>
  </si>
  <si>
    <t>Autres dettes</t>
  </si>
  <si>
    <t xml:space="preserve">Besoin en fonds de roulement  global  </t>
  </si>
  <si>
    <t xml:space="preserve">Total bilan  </t>
  </si>
  <si>
    <t>Valeurs mobilières de placement</t>
  </si>
  <si>
    <t>CD-CE</t>
  </si>
  <si>
    <t>Disponibilités</t>
  </si>
  <si>
    <t>CF-CG</t>
  </si>
  <si>
    <t xml:space="preserve">Solde net de trésorerie  </t>
  </si>
  <si>
    <t>TVA collectée</t>
  </si>
  <si>
    <t>YY</t>
  </si>
  <si>
    <t>YZ</t>
  </si>
  <si>
    <t>Effectif moyen salarié</t>
  </si>
  <si>
    <t>Effectif moyen personnel extérieur</t>
  </si>
  <si>
    <t>Capital souscrit et appelé, non versé</t>
  </si>
  <si>
    <t>EB</t>
  </si>
  <si>
    <t>Evolution</t>
  </si>
  <si>
    <t>Frais d'établissement</t>
  </si>
  <si>
    <t>AB - AC</t>
  </si>
  <si>
    <t>DS</t>
  </si>
  <si>
    <t>DT</t>
  </si>
  <si>
    <t xml:space="preserve">Emprunts et dettes bancaires </t>
  </si>
  <si>
    <t>DU</t>
  </si>
  <si>
    <t>Emprunts et dettes financières divers</t>
  </si>
  <si>
    <t>DV</t>
  </si>
  <si>
    <t>EH</t>
  </si>
  <si>
    <t>Charges constatées d'avance</t>
  </si>
  <si>
    <t>Produits constatés d'avance</t>
  </si>
  <si>
    <t>EA</t>
  </si>
  <si>
    <t>Cerfa</t>
  </si>
  <si>
    <t>Rubriques du bilan</t>
  </si>
  <si>
    <t xml:space="preserve">Fonds de roulement net </t>
  </si>
  <si>
    <t>HP</t>
  </si>
  <si>
    <t>HQ</t>
  </si>
  <si>
    <t>Charges sociales</t>
  </si>
  <si>
    <t>Salaires et traitements</t>
  </si>
  <si>
    <t>FY</t>
  </si>
  <si>
    <t>FZ</t>
  </si>
  <si>
    <t xml:space="preserve">Dotation aux amortissements </t>
  </si>
  <si>
    <t>GO</t>
  </si>
  <si>
    <t>GT</t>
  </si>
  <si>
    <t>GL</t>
  </si>
  <si>
    <t>Concours bancaires courants</t>
  </si>
  <si>
    <t xml:space="preserve"> Frais financiers / EBE</t>
  </si>
  <si>
    <t>Emploi</t>
  </si>
  <si>
    <t>Ressource</t>
  </si>
  <si>
    <t>Le besoin en fonds de roulement d'exploitation a augmenté de</t>
  </si>
  <si>
    <t>Le besoin en fonds de roulement d'exploitation a diminué de</t>
  </si>
  <si>
    <t>Unité monétaire :  (€ ou K€)</t>
  </si>
  <si>
    <t>A1</t>
  </si>
  <si>
    <t>Différence positive de change</t>
  </si>
  <si>
    <t>Différence négative de change</t>
  </si>
  <si>
    <t>GN</t>
  </si>
  <si>
    <t>GS</t>
  </si>
  <si>
    <t>Dotation aux provisions d'exploitation</t>
  </si>
  <si>
    <t>UF</t>
  </si>
  <si>
    <t>UE</t>
  </si>
  <si>
    <t>Dotation aux provisions financières</t>
  </si>
  <si>
    <t>UG</t>
  </si>
  <si>
    <t>UH</t>
  </si>
  <si>
    <t>Reprise sur provisions exceptionnelles</t>
  </si>
  <si>
    <t>HA</t>
  </si>
  <si>
    <t>HB</t>
  </si>
  <si>
    <t>HE</t>
  </si>
  <si>
    <t>HF</t>
  </si>
  <si>
    <t>UK</t>
  </si>
  <si>
    <t>UJ</t>
  </si>
  <si>
    <t>HC-UK</t>
  </si>
  <si>
    <t>Participation des salariés aux résultats</t>
  </si>
  <si>
    <t>2058-C</t>
  </si>
  <si>
    <t>CH-CI</t>
  </si>
  <si>
    <t>CB-CC</t>
  </si>
  <si>
    <t>2052-56</t>
  </si>
  <si>
    <t>2053-56</t>
  </si>
  <si>
    <t>Coût annuel moyen par intérimaire</t>
  </si>
  <si>
    <t>Le besoin en fonds de roulement global a diminué de</t>
  </si>
  <si>
    <t>Le besoin en fonds de roulement global a augmenté de</t>
  </si>
  <si>
    <t>Coefficient à retenir</t>
  </si>
  <si>
    <t>Endettement par crédit-bail mobilier</t>
  </si>
  <si>
    <t>Endettement par crédit-bail immobilier</t>
  </si>
  <si>
    <t>Ratio moyen du secteur</t>
  </si>
  <si>
    <t>Taux de marge moyen du secteur</t>
  </si>
  <si>
    <t xml:space="preserve">CAF  retraitée du crédit-bail </t>
  </si>
  <si>
    <t>Retour</t>
  </si>
  <si>
    <t xml:space="preserve">Excédent ou besoin de trésorerie </t>
  </si>
  <si>
    <t>Besoin en fonds de roulement</t>
  </si>
  <si>
    <t>Actif économique</t>
  </si>
  <si>
    <t>Capitaux propres</t>
  </si>
  <si>
    <t>Taux de l'impôt sur les sociétés</t>
  </si>
  <si>
    <t>Rentabilité économique nette</t>
  </si>
  <si>
    <t>Effet de levier</t>
  </si>
  <si>
    <t>Rentabilité des capitaux propres</t>
  </si>
  <si>
    <t xml:space="preserve">Total des stocks bruts  </t>
  </si>
  <si>
    <t xml:space="preserve">Total des dépréciations des stocks  </t>
  </si>
  <si>
    <t>Dépréciation des encours de biens</t>
  </si>
  <si>
    <t>Dépréciation des encours de service</t>
  </si>
  <si>
    <t>Dépréciation des produits</t>
  </si>
  <si>
    <t>Dépréciation des marchandises</t>
  </si>
  <si>
    <t>Dépréciation des créances clients</t>
  </si>
  <si>
    <t xml:space="preserve">Résultat exceptionnel </t>
  </si>
  <si>
    <t>HI</t>
  </si>
  <si>
    <t>Résultat financier</t>
  </si>
  <si>
    <t>Années :</t>
  </si>
  <si>
    <t>Durée en mois :</t>
  </si>
  <si>
    <t>Coût d'achat des marchandises consommées</t>
  </si>
  <si>
    <t>Coût d'achat des matières consommées</t>
  </si>
  <si>
    <t>Frais financiers nets</t>
  </si>
  <si>
    <t>Taux de dépréciation</t>
  </si>
  <si>
    <t>Production</t>
  </si>
  <si>
    <t>Marge commerciale</t>
  </si>
  <si>
    <t>Valeur ajoutée</t>
  </si>
  <si>
    <t>Résultat net</t>
  </si>
  <si>
    <t>Capacité d'autofinancement</t>
  </si>
  <si>
    <t>Capacité de remboursement des emprunts</t>
  </si>
  <si>
    <t>Part du BFR financée par la trésorerie</t>
  </si>
  <si>
    <t>Trésorerie nette</t>
  </si>
  <si>
    <t>€</t>
  </si>
  <si>
    <t>Autres intérêts et produits assimilés</t>
  </si>
  <si>
    <t>Produits exceptionnels sur opérations en capital</t>
  </si>
  <si>
    <t>Charges exceptionnelles sur opérations de gestion</t>
  </si>
  <si>
    <t>Produits exceptionnels sur opérations de gestion</t>
  </si>
  <si>
    <t>Charges exceptionnelles sur opérations en capital</t>
  </si>
  <si>
    <t>Dotations exceptionnelles aux provisions</t>
  </si>
  <si>
    <t>Taux de mobilisation des créances clients</t>
  </si>
  <si>
    <t>Endettement financier à terme</t>
  </si>
  <si>
    <t>Montant</t>
  </si>
  <si>
    <t>Chiffre d'affaires</t>
  </si>
  <si>
    <t>Jours de chiffre d'affaires</t>
  </si>
  <si>
    <t>Besoin en fonds de roulement d'exploitation</t>
  </si>
  <si>
    <t>Taux de couverture du BFR par le FR</t>
  </si>
  <si>
    <t>Autonomie financière</t>
  </si>
  <si>
    <t>Taux de marge commerciale</t>
  </si>
  <si>
    <t>Accroissement des non valeurs</t>
  </si>
  <si>
    <t>Réduction des capitaux propres</t>
  </si>
  <si>
    <t>Remboursements des dettes financières</t>
  </si>
  <si>
    <t>Unité monétaire :</t>
  </si>
  <si>
    <t>Cessions ou réductions totales d'immobilisations</t>
  </si>
  <si>
    <t>Augmentation des capitaux propres</t>
  </si>
  <si>
    <t>Augmentation des dettes financières</t>
  </si>
  <si>
    <t>Diminution des non valeurs</t>
  </si>
  <si>
    <t>Le fonds de roulement a augmenté de</t>
  </si>
  <si>
    <t>Le fonds de roulement a diminué de</t>
  </si>
  <si>
    <t>La trésorerie a augmenté de</t>
  </si>
  <si>
    <t>La trésorerie a diminué de</t>
  </si>
  <si>
    <t>Stocks et en-cours</t>
  </si>
  <si>
    <t>Créances clients</t>
  </si>
  <si>
    <t>Dettes fournisseurs</t>
  </si>
  <si>
    <t>Besoin en fonds de roulement  hors exploitation</t>
  </si>
  <si>
    <t>Variation nette hors exploitation</t>
  </si>
  <si>
    <t>Variation hors exploitation</t>
  </si>
  <si>
    <t>YP</t>
  </si>
  <si>
    <t>Délai moyen de règlement des clients</t>
  </si>
  <si>
    <t>D9</t>
  </si>
  <si>
    <t>KF</t>
  </si>
  <si>
    <t>LP</t>
  </si>
  <si>
    <t>LS</t>
  </si>
  <si>
    <t>1- frais d'établissement et de développement</t>
  </si>
  <si>
    <t>IN</t>
  </si>
  <si>
    <t>Acquisitions, créations, apports d'immobilisations</t>
  </si>
  <si>
    <t>Montant net</t>
  </si>
  <si>
    <t>2 - autres immobilisations incorporelles</t>
  </si>
  <si>
    <t>3 - immobilisations corporelles</t>
  </si>
  <si>
    <t>4 - immobilisations financières</t>
  </si>
  <si>
    <t>IO</t>
  </si>
  <si>
    <t>IY</t>
  </si>
  <si>
    <t>I3</t>
  </si>
  <si>
    <t>Emprunts souscrits en cours d'exercice</t>
  </si>
  <si>
    <t>Emprunts remboursés en cours d'exercice</t>
  </si>
  <si>
    <t>VJ</t>
  </si>
  <si>
    <t>VK</t>
  </si>
  <si>
    <t>2059-A</t>
  </si>
  <si>
    <t>Réduction des autres titres immobilisés</t>
  </si>
  <si>
    <t>0X</t>
  </si>
  <si>
    <t>2B</t>
  </si>
  <si>
    <t>2E</t>
  </si>
  <si>
    <t>dont Impôts sur les bénéfices</t>
  </si>
  <si>
    <t>VM</t>
  </si>
  <si>
    <t>dont Groupe et associés</t>
  </si>
  <si>
    <t>VC</t>
  </si>
  <si>
    <t>8E</t>
  </si>
  <si>
    <t>Impôts sur les bénéfices (créance)</t>
  </si>
  <si>
    <t>Groupe et associés (créance)</t>
  </si>
  <si>
    <t>Impôts sur les bénéfices (dette)</t>
  </si>
  <si>
    <t>Groupe et associés (dette)</t>
  </si>
  <si>
    <t>VI</t>
  </si>
  <si>
    <t xml:space="preserve">Autres dettes d'exploitation  </t>
  </si>
  <si>
    <t xml:space="preserve">Dettes fiscales et sociales d'exploitation </t>
  </si>
  <si>
    <t>Flux de trésorerie nécessité par les investissements</t>
  </si>
  <si>
    <t>Flux de trésorerie issu d'opérations de financement</t>
  </si>
  <si>
    <t>Renseignements divers</t>
  </si>
  <si>
    <t>Dividendes distribués</t>
  </si>
  <si>
    <t>ZE</t>
  </si>
  <si>
    <t>Besoin de trésorerie/créances clients</t>
  </si>
  <si>
    <t>Ecart</t>
  </si>
  <si>
    <t>Résultat économique avant impôt</t>
  </si>
  <si>
    <t>Résultat économique net</t>
  </si>
  <si>
    <t>Coût de la dette</t>
  </si>
  <si>
    <t>Charges financières sur endettement</t>
  </si>
  <si>
    <t>Taux d'endettement net</t>
  </si>
  <si>
    <t>Résultat courant avant impôt</t>
  </si>
  <si>
    <t>Eléments exceptionnels</t>
  </si>
  <si>
    <t>Rentabilité constatée</t>
  </si>
  <si>
    <t>En tenant compte des opérations exceptionnelles :</t>
  </si>
  <si>
    <t>Prix de cession des immobilisations</t>
  </si>
  <si>
    <t>Capital social</t>
  </si>
  <si>
    <t>DA</t>
  </si>
  <si>
    <t>Total des non valeurs</t>
  </si>
  <si>
    <t>Contrôle de cohérence de la  variation de trésorerie</t>
  </si>
  <si>
    <t>Taux de charges sociales</t>
  </si>
  <si>
    <t>Clients et compte rattachés</t>
  </si>
  <si>
    <t xml:space="preserve">Total des créances clients brutes </t>
  </si>
  <si>
    <t xml:space="preserve">Total des créances clients nettes </t>
  </si>
  <si>
    <t>CA</t>
  </si>
  <si>
    <t>BZ</t>
  </si>
  <si>
    <t>Dépréciation des autres créances d'exploitation</t>
  </si>
  <si>
    <t xml:space="preserve">Autres créances d'exploitation brutes </t>
  </si>
  <si>
    <t xml:space="preserve">Autres créances d'exploitation nettes </t>
  </si>
  <si>
    <t>Actif immobilisé brut</t>
  </si>
  <si>
    <t>Dépréciation de l'actif immobilisé</t>
  </si>
  <si>
    <t xml:space="preserve">Marge brute  sur production de biens ou de services </t>
  </si>
  <si>
    <t>Marge brute totale</t>
  </si>
  <si>
    <t>Taux de marge brute totale</t>
  </si>
  <si>
    <t>Taux de marge brute sur PB ou PS</t>
  </si>
  <si>
    <t>Taux de valeur ajoutée</t>
  </si>
  <si>
    <t>Taux de résultat courant avant impôts</t>
  </si>
  <si>
    <t>Taux de capacité d'autofinancement</t>
  </si>
  <si>
    <t>Fonds propres / total bilan</t>
  </si>
  <si>
    <t>Crédit-bail mobilier sur biens à disposition des clients</t>
  </si>
  <si>
    <t>Charges nettes sur cessions de valeurs mobilières de placement</t>
  </si>
  <si>
    <t>Dépréciation des matières &amp; approvisionnements</t>
  </si>
  <si>
    <t>Avances et acomptes versés sur commandes</t>
  </si>
  <si>
    <t>Avances et acomptes reçus sur commandes en cours</t>
  </si>
  <si>
    <t>Ratios</t>
  </si>
  <si>
    <t>ratios</t>
  </si>
  <si>
    <t>ratios bornés</t>
  </si>
  <si>
    <t>Frais financiers /  EBE</t>
  </si>
  <si>
    <t>(Réalisable + Disponible) / Dettes à court terme</t>
  </si>
  <si>
    <t>Capitaux permanents / Passif</t>
  </si>
  <si>
    <t>VA / CA</t>
  </si>
  <si>
    <t>contrib</t>
  </si>
  <si>
    <t>Bornes</t>
  </si>
  <si>
    <t>inférieure</t>
  </si>
  <si>
    <t>supérieure</t>
  </si>
  <si>
    <t>Constante</t>
  </si>
  <si>
    <t>Trésorerie / CA (J)</t>
  </si>
  <si>
    <t>Fonds de roulement / CA (J)</t>
  </si>
  <si>
    <t>coefficient</t>
  </si>
  <si>
    <t>Evolution du chiffre d'affaires</t>
  </si>
  <si>
    <t>Evolution du BFRE</t>
  </si>
  <si>
    <t>Effectif moyen total</t>
  </si>
  <si>
    <t>Distributions mises en paiement au cours de l'exercice</t>
  </si>
  <si>
    <t>Acquisitions totales d'immobilisations</t>
  </si>
  <si>
    <t>Total des dettes financières</t>
  </si>
  <si>
    <t>Produits des autres valeurs et créances de l'actif immobilisé</t>
  </si>
  <si>
    <t>Mouvement des capitaux propres</t>
  </si>
  <si>
    <t>Augmentation du capital social</t>
  </si>
  <si>
    <t>Augmentation des primes d'émission</t>
  </si>
  <si>
    <t>Réduction du capital social (-)</t>
  </si>
  <si>
    <t>Réduction des primes d'émission (-)</t>
  </si>
  <si>
    <t>Réduction des réserves (-)</t>
  </si>
  <si>
    <t>Réduction du report à nouveau (-)</t>
  </si>
  <si>
    <t>Augmentation ou réductions des capitaux propres</t>
  </si>
  <si>
    <t>Autre fonds propres</t>
  </si>
  <si>
    <t>Produit des émissions de titres participatifs</t>
  </si>
  <si>
    <t>Augmentation ou réductions des autres fonds propres</t>
  </si>
  <si>
    <t>Augmentations des avances conditionnées</t>
  </si>
  <si>
    <t>Réduction des titres participatifs (-)</t>
  </si>
  <si>
    <t>Réduction des avancec conditionnées (-)</t>
  </si>
  <si>
    <t>% de chiffre d'affaires</t>
  </si>
  <si>
    <t>Immobilisations corporelles brutes</t>
  </si>
  <si>
    <t>Immobilisations financières brutes</t>
  </si>
  <si>
    <t>LW</t>
  </si>
  <si>
    <t>NH</t>
  </si>
  <si>
    <t>NK</t>
  </si>
  <si>
    <t>Dépréciation des immobilisations corporelles</t>
  </si>
  <si>
    <t>Dépréciation des immobilisations financières</t>
  </si>
  <si>
    <t>PH</t>
  </si>
  <si>
    <t>QX</t>
  </si>
  <si>
    <t>05+9X+09</t>
  </si>
  <si>
    <t xml:space="preserve">Années : </t>
  </si>
  <si>
    <t xml:space="preserve">Durée en mois : </t>
  </si>
  <si>
    <t>Stocks et encours</t>
  </si>
  <si>
    <t xml:space="preserve">Autres créances d'exploitation </t>
  </si>
  <si>
    <t xml:space="preserve">Dettes fournisseurs  </t>
  </si>
  <si>
    <t xml:space="preserve">Créances hors exploitation nettes </t>
  </si>
  <si>
    <t xml:space="preserve">Dettes hors exploitation nettes </t>
  </si>
  <si>
    <t>Dettes à court terme</t>
  </si>
  <si>
    <t>Total des capitaux employés</t>
  </si>
  <si>
    <t>Total des emplois à financer</t>
  </si>
  <si>
    <t>Variation annuelle de la trésorerie</t>
  </si>
  <si>
    <t>Immobilisations incorporelles</t>
  </si>
  <si>
    <t>Immobilisations corporelles</t>
  </si>
  <si>
    <t>Immobilisations financières</t>
  </si>
  <si>
    <t>Taux de marge brute d'exploitation</t>
  </si>
  <si>
    <t>Taux de marge nette d'exploitation</t>
  </si>
  <si>
    <t>Taux de marge nette</t>
  </si>
  <si>
    <t>Concours bancaires à court terme</t>
  </si>
  <si>
    <t>Délai moyen de règlement des fournisseurs</t>
  </si>
  <si>
    <t>Frais de recherche et développement</t>
  </si>
  <si>
    <t>Dépréciation des frais de recherche &amp; développement</t>
  </si>
  <si>
    <t>Autres Immobilisations incorporelles brutes</t>
  </si>
  <si>
    <t>Dépréciation des autres immobilisations incorporelles</t>
  </si>
  <si>
    <t>Créances hors exploitation</t>
  </si>
  <si>
    <t>Dettes hors exploitation</t>
  </si>
  <si>
    <t>BV</t>
  </si>
  <si>
    <t>BW</t>
  </si>
  <si>
    <t>Dépréciation des acomptes versés sur commandes</t>
  </si>
  <si>
    <t>SCORE AFDCC</t>
  </si>
  <si>
    <t>Evaluation de l'endettement moyen</t>
  </si>
  <si>
    <t xml:space="preserve">Evaluation pour un taux moyen de : </t>
  </si>
  <si>
    <t>Montant des charges financières</t>
  </si>
  <si>
    <t>Taux</t>
  </si>
  <si>
    <t>Primes de remboursement sur obligations</t>
  </si>
  <si>
    <t>Frais d'émission d'emprunts à étaler</t>
  </si>
  <si>
    <t>CW</t>
  </si>
  <si>
    <t>Produits nets sur cessions de valeurs mobilières de placement</t>
  </si>
  <si>
    <t>bilans gratuits</t>
  </si>
  <si>
    <t>France</t>
  </si>
  <si>
    <t>Export</t>
  </si>
  <si>
    <t>Total</t>
  </si>
  <si>
    <t>Chiffre d'affaires France</t>
  </si>
  <si>
    <t xml:space="preserve">Chiffre d'affaires Export  </t>
  </si>
  <si>
    <t>BFRE</t>
  </si>
  <si>
    <t>C - Liquidité et maîtrise des flux</t>
  </si>
  <si>
    <t>D - Analyse des flux de trésorerie</t>
  </si>
  <si>
    <t>E - Score</t>
  </si>
  <si>
    <t>Evolution annuelle du chiffre d'affaires</t>
  </si>
  <si>
    <t>VI-VL</t>
  </si>
  <si>
    <t>Coût total du personnel extérieur à l'entreprise</t>
  </si>
  <si>
    <t>Variation cumulée de la trésorerie</t>
  </si>
  <si>
    <t>FR</t>
  </si>
  <si>
    <t>Fonds de roulement</t>
  </si>
  <si>
    <t>BFR</t>
  </si>
  <si>
    <t>TN</t>
  </si>
  <si>
    <t xml:space="preserve">Taux d'endettement LMT </t>
  </si>
  <si>
    <t>Augmentation des autres fonds propres</t>
  </si>
  <si>
    <t>Chiffre d'affaires annuel par salarié</t>
  </si>
  <si>
    <t>EN</t>
  </si>
  <si>
    <t>Total des besoins d'exploitation</t>
  </si>
  <si>
    <t>Total des ressources d'exploitation</t>
  </si>
  <si>
    <t xml:space="preserve">Besoin en fonds de roulement d'exploitation  </t>
  </si>
  <si>
    <t>Dettes financières nettes</t>
  </si>
  <si>
    <t>Degré d'amortissement des immobilisations corporelles</t>
  </si>
  <si>
    <t>B - Struture financière &amp; investissements</t>
  </si>
  <si>
    <t>Investissements immatériels</t>
  </si>
  <si>
    <t>Investissements matériels</t>
  </si>
  <si>
    <t>Investissements financiers</t>
  </si>
  <si>
    <t>Total des investissements</t>
  </si>
  <si>
    <t>2052-GR</t>
  </si>
  <si>
    <t>Taux de recours à du personnel extérieur</t>
  </si>
  <si>
    <t>Part du chiffre d'affaires à l'exportation</t>
  </si>
  <si>
    <t>Capacité d'autofinancement - CAF</t>
  </si>
  <si>
    <t>Variation du besoin en FR d'exploitation - BFRE</t>
  </si>
  <si>
    <t>Flux de trésorerie généré par  l'exploitation - FTE = CAF -BFRE</t>
  </si>
  <si>
    <t>Endettement net</t>
  </si>
  <si>
    <t>et constitue de ce fait le clignotant le plus prédictif d’un risque de défaillance.</t>
  </si>
  <si>
    <t>- Assurer la couverture des pertes probables et des risques auxquelles l’entreprise est exposée (provisions),</t>
  </si>
  <si>
    <t>- Rembourser le capital de la dette,</t>
  </si>
  <si>
    <t>- Financer le développement de l’outil de production et la croissance (BFR) – (part du résultat conservé),</t>
  </si>
  <si>
    <t>- Payer des dividendes aux actionnaires (part du résultat distribué),</t>
  </si>
  <si>
    <t>- Améliorer la liquidité de l’entreprise,</t>
  </si>
  <si>
    <t>dont clients affacturage</t>
  </si>
  <si>
    <t>Bilan actif détaillé</t>
  </si>
  <si>
    <r>
      <t xml:space="preserve">Contrôle de cohérence avec </t>
    </r>
    <r>
      <rPr>
        <b/>
        <i/>
        <sz val="10"/>
        <color indexed="12"/>
        <rFont val="Symbol"/>
        <family val="1"/>
        <charset val="2"/>
      </rPr>
      <t>D</t>
    </r>
    <r>
      <rPr>
        <b/>
        <i/>
        <sz val="10"/>
        <color indexed="12"/>
        <rFont val="Calibri"/>
        <family val="2"/>
      </rPr>
      <t xml:space="preserve"> des ressources d'emprunt du bilan</t>
    </r>
  </si>
  <si>
    <t>S 9</t>
  </si>
  <si>
    <t>Annexe</t>
  </si>
  <si>
    <t>en jours d'achat</t>
  </si>
  <si>
    <t>en jours de consommation</t>
  </si>
  <si>
    <t>Ratio moyen du secteur (jour d'achat)</t>
  </si>
  <si>
    <t>FL</t>
  </si>
  <si>
    <t xml:space="preserve"> Endettement financier net / Fonds propres</t>
  </si>
  <si>
    <t xml:space="preserve"> Endettement financier LMT / Fonds propres</t>
  </si>
  <si>
    <t>Réduction des autres fonds propres propres</t>
  </si>
  <si>
    <t>dont débiteurs divers</t>
  </si>
  <si>
    <t>VR</t>
  </si>
  <si>
    <t>Débiteurs divers</t>
  </si>
  <si>
    <t>Quote-part de la capacité d'autofinancement consacrée 
au remboursement de l'échéance annuelle des emprunts</t>
  </si>
  <si>
    <t>Taux d'endettement 
financier net</t>
  </si>
  <si>
    <t>Score3, bilan, conseil entreprise et scoring gratuit</t>
  </si>
  <si>
    <t>Achats de matières premières et autres approvisionnements</t>
  </si>
  <si>
    <t xml:space="preserve">Chiffre d'affaires total net  </t>
  </si>
  <si>
    <t>Marge brute sur production 
de biens ou de services</t>
  </si>
  <si>
    <t>Résultat courant 
avant impôts</t>
  </si>
  <si>
    <t>Commentaire</t>
  </si>
  <si>
    <t xml:space="preserve"> </t>
  </si>
  <si>
    <t>Capitaux propres / capital social</t>
  </si>
  <si>
    <t>dont reprise sur amortissements dérogatoires</t>
  </si>
  <si>
    <t>TM</t>
  </si>
  <si>
    <t>dont dotation aux amortissements dérogatoires</t>
  </si>
  <si>
    <t>Délai d'écoulement 
des stocks de marchandises</t>
  </si>
  <si>
    <t>Incidence de l'évolution du délai d'écoulement 
des stocks de marchandises sur la trésorerie</t>
  </si>
  <si>
    <t>Incidence de l'évolution du délai de règlement 
des fournisseurs sur la trésorerie</t>
  </si>
  <si>
    <t>Incidence de l'évolution du délai de règlement  
des clients sur la trésorerie</t>
  </si>
  <si>
    <t>Incidence de l'évolution du délai d'écoulement des stocks 
de matières premières et autres approvisionnements sur la trésorerie</t>
  </si>
  <si>
    <t>Délai d'écoulement des stocks d'encours de production</t>
  </si>
  <si>
    <t>Incidence de l'évolution du délai d'écoulement 
des stocks d'encours de production sur la trésorerie</t>
  </si>
  <si>
    <t>Incidence de l'évolution du délai d'écoulement des stocks 
de produits intermédiaires et finis sur la trésorerie</t>
  </si>
  <si>
    <t>Délai d'écoulement des stocks de produits intermédiaires et finis</t>
  </si>
  <si>
    <t>Incidence de l'évolution des délais de rotation des stocks et des 
délais de règlement des clients et  fournisseurs sur la trésorerie</t>
  </si>
  <si>
    <t>Délai de rotation du stock global - en jours de chiffre d'affaires HT</t>
  </si>
  <si>
    <t>Incidence de l'évolution des délais de rotation 
des stocks sur la trésorerie</t>
  </si>
  <si>
    <t>Situation nette</t>
  </si>
  <si>
    <t>Total bilan</t>
  </si>
  <si>
    <t>Ratio</t>
  </si>
  <si>
    <t>Note</t>
  </si>
  <si>
    <t>Immobilisations nettes</t>
  </si>
  <si>
    <t>Résultat courant avant impôts</t>
  </si>
  <si>
    <t>Impôt sur les bénéfices</t>
  </si>
  <si>
    <t>Participation des salariés</t>
  </si>
  <si>
    <t>Production de l'exercice</t>
  </si>
  <si>
    <t>Variation gobale 
de trésorerie</t>
  </si>
  <si>
    <t>Besoin en fonds de 
roulement d'exploitation</t>
  </si>
  <si>
    <t>Capacité 
d'autofinancement</t>
  </si>
  <si>
    <t>Excédent brut 
d'exploitation</t>
  </si>
  <si>
    <t>Résultat 
d'exploitation</t>
  </si>
  <si>
    <t>Total des produits financiers</t>
  </si>
  <si>
    <t>Total des charges financières</t>
  </si>
  <si>
    <t>dont créances rattachées à des participations</t>
  </si>
  <si>
    <t>Effets remis à l'encaissement non échus</t>
  </si>
  <si>
    <t>Détail</t>
  </si>
  <si>
    <t>Effets remis à l'encaissement et non échus</t>
  </si>
  <si>
    <t>2050-BB</t>
  </si>
  <si>
    <t>dont provisions/créances rattachées à des participations</t>
  </si>
  <si>
    <t>BC</t>
  </si>
  <si>
    <t>Marge brute  totale</t>
  </si>
  <si>
    <t>% de l'EBE</t>
  </si>
  <si>
    <t>Distribution de dividende</t>
  </si>
  <si>
    <t>Endettement financier à moins d'1an</t>
  </si>
  <si>
    <t>Charges de personnel</t>
  </si>
  <si>
    <t>A - Ratios financiers</t>
  </si>
  <si>
    <t>Classes de risque</t>
  </si>
  <si>
    <t>Note globale</t>
  </si>
  <si>
    <t>Salaire annuel moyen par salarié</t>
  </si>
  <si>
    <t>Intéressement</t>
  </si>
  <si>
    <t>Abondements/PEE/PERCO</t>
  </si>
  <si>
    <t>Total  des charges de personnel 
hors intéressement et abondement</t>
  </si>
  <si>
    <t>Forfait social sur intéressement-participation-abondement</t>
  </si>
  <si>
    <t>Détail des comptes</t>
  </si>
  <si>
    <t>% de la production</t>
  </si>
  <si>
    <t>Comment conduire une analyse financière</t>
  </si>
  <si>
    <t>CV</t>
  </si>
  <si>
    <t>se reporter ligne 75</t>
  </si>
  <si>
    <t>se reporter ligne 74</t>
  </si>
  <si>
    <r>
      <rPr>
        <sz val="10"/>
        <color indexed="12"/>
        <rFont val="Calibri"/>
        <family val="2"/>
      </rPr>
      <t xml:space="preserve">Transport et frais accessoires d'achat </t>
    </r>
    <r>
      <rPr>
        <sz val="10"/>
        <rFont val="Calibri"/>
        <family val="2"/>
      </rPr>
      <t xml:space="preserve">
</t>
    </r>
    <r>
      <rPr>
        <sz val="10"/>
        <color indexed="12"/>
        <rFont val="Calibri"/>
        <family val="2"/>
      </rPr>
      <t>(si montant inclus dans le poste "autres achats et charges externes")</t>
    </r>
  </si>
  <si>
    <r>
      <rPr>
        <sz val="10"/>
        <color indexed="12"/>
        <rFont val="Calibri"/>
        <family val="2"/>
      </rPr>
      <t>Sous-traitance de production</t>
    </r>
    <r>
      <rPr>
        <sz val="10"/>
        <rFont val="Calibri"/>
        <family val="2"/>
      </rPr>
      <t xml:space="preserve">
</t>
    </r>
    <r>
      <rPr>
        <sz val="10"/>
        <color indexed="12"/>
        <rFont val="Calibri"/>
        <family val="2"/>
      </rPr>
      <t>(si montant inclus dans le poste "autres achats et charges externes")</t>
    </r>
  </si>
  <si>
    <t>se reporter ligne 76</t>
  </si>
  <si>
    <t>CF</t>
  </si>
  <si>
    <t>Charges fixes nettes totales</t>
  </si>
  <si>
    <t>Charges variables nettes totales</t>
  </si>
  <si>
    <t>Résultat courant avant impôt (hors subvention)</t>
  </si>
  <si>
    <t>Marge sur coûts variables</t>
  </si>
  <si>
    <t>Point mort</t>
  </si>
  <si>
    <t>Reprise sur provisions d'exploitation</t>
  </si>
  <si>
    <t>Reprise sur provisions financières</t>
  </si>
  <si>
    <t>Intéressement aux résultats total (P + I + A)</t>
  </si>
  <si>
    <t>Exercices précédents la période d'analyse</t>
  </si>
  <si>
    <t>Immobilisations incorporelles &amp; corporelles</t>
  </si>
  <si>
    <t>Immobilisations totales</t>
  </si>
  <si>
    <t>Non</t>
  </si>
  <si>
    <t>Oui</t>
  </si>
  <si>
    <t>B - Facteurs correctifs</t>
  </si>
  <si>
    <t>Taux d'autofinancement</t>
  </si>
  <si>
    <t>CAF</t>
  </si>
  <si>
    <t>Dividendes</t>
  </si>
  <si>
    <t>Taux du cycle financier</t>
  </si>
  <si>
    <t>Années</t>
  </si>
  <si>
    <t>Croissance nécessaire</t>
  </si>
  <si>
    <t>Frais fixes</t>
  </si>
  <si>
    <t>frais variables</t>
  </si>
  <si>
    <t>Frais financiers</t>
  </si>
  <si>
    <t>Résultat avanr impôt</t>
  </si>
  <si>
    <t>ebe</t>
  </si>
  <si>
    <t>amort</t>
  </si>
  <si>
    <t>ff</t>
  </si>
  <si>
    <t>IS</t>
  </si>
  <si>
    <t>RN</t>
  </si>
  <si>
    <t>CP</t>
  </si>
  <si>
    <t>Dettes LMT</t>
  </si>
  <si>
    <t xml:space="preserve"> EBE / VA</t>
  </si>
  <si>
    <t>A défaut</t>
  </si>
  <si>
    <r>
      <t xml:space="preserve">Autres consommations 
</t>
    </r>
    <r>
      <rPr>
        <b/>
        <sz val="9"/>
        <color indexed="32"/>
        <rFont val="Calibri"/>
        <family val="2"/>
      </rPr>
      <t>(hors transports/achats, sous-traitance de production, crédit-bail &amp; intérim)</t>
    </r>
  </si>
  <si>
    <t>Transfert de charges</t>
  </si>
  <si>
    <t>Réduction des autres participations</t>
  </si>
  <si>
    <t>D %</t>
  </si>
  <si>
    <t>Emprunts et dettes contractées auprès des associés</t>
  </si>
  <si>
    <t>Dettes remboursées aux associés en cours d'exercice</t>
  </si>
  <si>
    <t>Remboursement de prêts et autres immob. financières</t>
  </si>
  <si>
    <t>A</t>
  </si>
  <si>
    <t>B</t>
  </si>
  <si>
    <t>C</t>
  </si>
  <si>
    <t>Les frais financiers supplémentaires ne doivent pas dépasser</t>
  </si>
  <si>
    <t>Taux de croissance du CA possible</t>
  </si>
  <si>
    <t>ANALYSE  DU COMPTE DE RESULTATS</t>
  </si>
  <si>
    <t>ANALYSE DU BILAN</t>
  </si>
  <si>
    <t>Taux de renouvellement des immobilisations d'exploitation</t>
  </si>
  <si>
    <t>Taux de renouvellement</t>
  </si>
  <si>
    <t>Augmentation ou réductions de l'endettement financier à terme</t>
  </si>
  <si>
    <t>Avance court terme du factor</t>
  </si>
  <si>
    <t>Retraitement du crédit-bail</t>
  </si>
  <si>
    <t>I - Calcul du coefficient à appliquer au crédit-bail mobilier</t>
  </si>
  <si>
    <t>II - Calcul du coefficient à appliquer au crédit-bail immobilier</t>
  </si>
  <si>
    <t xml:space="preserve">Encours de crédit-bail </t>
  </si>
  <si>
    <t>2058-C YQ</t>
  </si>
  <si>
    <t>2058-C YR</t>
  </si>
  <si>
    <t>Capital restant dû sur les crédit-baux</t>
  </si>
  <si>
    <r>
      <t xml:space="preserve">Point mort   </t>
    </r>
    <r>
      <rPr>
        <b/>
        <i/>
        <sz val="10"/>
        <color indexed="10"/>
        <rFont val="Calibri"/>
        <family val="2"/>
      </rPr>
      <t>(hors subvention et hors opérations exceptionnelles)</t>
    </r>
  </si>
  <si>
    <t xml:space="preserve">Dettes d'exploitation nettes </t>
  </si>
  <si>
    <t xml:space="preserve">Trésorerie nette  </t>
  </si>
  <si>
    <t xml:space="preserve">Créances d'exploitation nettes </t>
  </si>
  <si>
    <t>Contrôle trésorerie</t>
  </si>
  <si>
    <t>% du CA total net</t>
  </si>
  <si>
    <t>Taux de marge</t>
  </si>
  <si>
    <t>% de la valeur ajoutée</t>
  </si>
  <si>
    <t>Besoins d'exploitation</t>
  </si>
  <si>
    <t xml:space="preserve">Evolution annuelle du chiffre d'affaires </t>
  </si>
  <si>
    <t>Total Emplois</t>
  </si>
  <si>
    <t>Total Ressources</t>
  </si>
  <si>
    <t>Emplois stables</t>
  </si>
  <si>
    <t>Ressources stables</t>
  </si>
  <si>
    <t>Variation des actifs d'exploitation</t>
  </si>
  <si>
    <t>Variation des dettes d'exploitation</t>
  </si>
  <si>
    <t>Besoin en 
fonds de roulement global</t>
  </si>
  <si>
    <t>Délai d'écoulement des 
stocks de matières &amp; appros</t>
  </si>
  <si>
    <t>= Charges sociales (hors intéressement et abondement)</t>
  </si>
  <si>
    <t>- dont provisions d'exploitation sur immobilisations</t>
  </si>
  <si>
    <t>GB</t>
  </si>
  <si>
    <t>- dont transport et frais accessoires d'achat de marchandises</t>
  </si>
  <si>
    <t>- dont transport et frais accessoires d'achat de matières</t>
  </si>
  <si>
    <t>- dont sous-traitance de production</t>
  </si>
  <si>
    <t xml:space="preserve">- dont crédit-bail mobilier </t>
  </si>
  <si>
    <t>- dont crédit-bail immobilier</t>
  </si>
  <si>
    <t>- dont personnel extérieur à l'entreprise</t>
  </si>
  <si>
    <t>- dont transports sur ventes</t>
  </si>
  <si>
    <t>Dotation aux provisions d'exploitation sur immobilisations</t>
  </si>
  <si>
    <t>- dont intéressement aux résultats</t>
  </si>
  <si>
    <t>- dont abondements/PEE/PERCO</t>
  </si>
  <si>
    <t>- dont forfait social sur intéressement-participation-abondement</t>
  </si>
  <si>
    <t xml:space="preserve">Résultat courant avant impôts (A)  </t>
  </si>
  <si>
    <t>Résultat courant avant impôts (B)</t>
  </si>
  <si>
    <t>Contrôle cohérence (B-A)</t>
  </si>
  <si>
    <t>Taux de distribution (dividende/bénéfice net)</t>
  </si>
  <si>
    <t>Capital restant dû sur crédit-bail mobilier</t>
  </si>
  <si>
    <t>Capital restant dû sur crédit-bail immobilier</t>
  </si>
  <si>
    <t>Redevances de crédit-bail mobilier restant à payer</t>
  </si>
  <si>
    <t>Redevances de crédit-bail immobilier restant à payer</t>
  </si>
  <si>
    <t>Total des redevances de crédit-bail restant à payer</t>
  </si>
  <si>
    <t>Endettement financier total</t>
  </si>
  <si>
    <t xml:space="preserve">&lt; à 1 an </t>
  </si>
  <si>
    <t>&gt; à 1 an et &lt;= à 5 ans</t>
  </si>
  <si>
    <t>&gt; à 5 ans</t>
  </si>
  <si>
    <t>&lt; à 1 an</t>
  </si>
  <si>
    <t>Endettement financier net hors crédit-bail</t>
  </si>
  <si>
    <t>Endettement financier net avec crédit-bail</t>
  </si>
  <si>
    <t>I - Bilan fonctionnel</t>
  </si>
  <si>
    <t>II - Bilan économique</t>
  </si>
  <si>
    <t>Cessions - réductions - remboursements d'immobilisations</t>
  </si>
  <si>
    <t>Valeur ajoutée produite par salarié</t>
  </si>
  <si>
    <r>
      <t>La Capacité d’AutoFinancement (CAF), cash-flow ou Marge Brute d’Autofinancement (MBA),</t>
    </r>
    <r>
      <rPr>
        <sz val="10"/>
        <color rgb="FF002060"/>
        <rFont val="Calibri"/>
        <family val="2"/>
      </rPr>
      <t xml:space="preserve"> exprime la capacité de l’entreprise à générer la trésorerie nécessaire à :</t>
    </r>
  </si>
  <si>
    <r>
      <t xml:space="preserve">La </t>
    </r>
    <r>
      <rPr>
        <b/>
        <sz val="10"/>
        <color rgb="FF002060"/>
        <rFont val="Calibri"/>
        <family val="2"/>
      </rPr>
      <t xml:space="preserve">solvabilité </t>
    </r>
    <r>
      <rPr>
        <sz val="10"/>
        <color rgb="FF002060"/>
        <rFont val="Calibri"/>
        <family val="2"/>
      </rPr>
      <t xml:space="preserve">traduit l'aptitude de l'entreprise à faire face à ses engagements en cas de </t>
    </r>
    <r>
      <rPr>
        <b/>
        <sz val="10"/>
        <color rgb="FF002060"/>
        <rFont val="Calibri"/>
        <family val="2"/>
      </rPr>
      <t>liquidation</t>
    </r>
    <r>
      <rPr>
        <sz val="10"/>
        <color rgb="FF002060"/>
        <rFont val="Calibri"/>
        <family val="2"/>
      </rPr>
      <t>, c'est-à-dire d'arrêt de l'exploitation et de mise en vente des actifs. Une entreprise peut donc être considérée comme insolvable dès lors que ses capitaux propres sont négatifs : elle doit en effet plus qu'elle ne possède.</t>
    </r>
  </si>
  <si>
    <r>
      <t xml:space="preserve">Le </t>
    </r>
    <r>
      <rPr>
        <b/>
        <sz val="10"/>
        <color rgb="FF002060"/>
        <rFont val="Calibri"/>
        <family val="2"/>
      </rPr>
      <t xml:space="preserve">crédit-bail </t>
    </r>
    <r>
      <rPr>
        <sz val="10"/>
        <color rgb="FF002060"/>
        <rFont val="Calibri"/>
        <family val="2"/>
      </rPr>
      <t>est un contrat de location d'une durée déterminée, passé entre une entreprise (industrielle ou commerciale) et une banque ou un établissement spécialisé, et assorti d'une promesse de vente à l'échéance du contrat. L'utilisateur n'est donc pas juridiquement propriétaire du bien mis à sa disposition pendant la durée du contrat. Dans une vision économique de l'entreprise (qui est celle des comptes consolidés), les biens loués en crédit-bail sont assimilés à des immobilisations. La contrepartie bilantielle est une dette financière qui équivaut à la valeur actuelle des engagements de loyers et du prix de levée de l'option d'achat dont dispose l'entreprise.</t>
    </r>
  </si>
  <si>
    <r>
      <t>La</t>
    </r>
    <r>
      <rPr>
        <b/>
        <sz val="10"/>
        <color rgb="FF002060"/>
        <rFont val="Calibri"/>
        <family val="2"/>
      </rPr>
      <t xml:space="preserve"> location financière</t>
    </r>
    <r>
      <rPr>
        <sz val="10"/>
        <color rgb="FF002060"/>
        <rFont val="Calibri"/>
        <family val="2"/>
      </rPr>
      <t xml:space="preserve"> ou operating lease est une location longue durée d'un bien sans que l'entreprise ne dispose de la faculté de l'acquérir après une période d'utilisation donnée. Contrairement au crédit-bail, cette activité n'est pas soumise à la réglementation bancaire. Forme dérivée du crédit-bail (qui est soumis à la réglementation bancaire), la location financière longue durée sans option d’achat (operating lease en franglais) n’est pas soumise à la réglementation bancaire et elle est très utilisée dans certains secteurs (informatique, transports....)</t>
    </r>
  </si>
  <si>
    <t>Redevances payées</t>
  </si>
  <si>
    <t>Redevances à payer à 1 an au plus</t>
  </si>
  <si>
    <t>Redevances à payer à plus de 5 ans</t>
  </si>
  <si>
    <r>
      <t xml:space="preserve">La </t>
    </r>
    <r>
      <rPr>
        <b/>
        <sz val="10"/>
        <color rgb="FF002060"/>
        <rFont val="Calibri"/>
        <family val="2"/>
      </rPr>
      <t>liquidité</t>
    </r>
    <r>
      <rPr>
        <sz val="10"/>
        <color rgb="FF002060"/>
        <rFont val="Calibri"/>
        <family val="2"/>
      </rPr>
      <t xml:space="preserve"> de l'entreprise est sa capacité à faire face à ses engagements à court terme dans le cadre de son activité courante, en utilisant son disponible ou des actifs aisément et rapidement cessibles ou des lignes de crédits non employées</t>
    </r>
  </si>
  <si>
    <t xml:space="preserve">EBITDA - Earnings Before Interest,Tax, Depreciation &amp; Amortization </t>
  </si>
  <si>
    <r>
      <rPr>
        <sz val="10"/>
        <color rgb="FF002060"/>
        <rFont val="Calibri"/>
        <family val="2"/>
      </rPr>
      <t>Autres dettes</t>
    </r>
    <r>
      <rPr>
        <sz val="10"/>
        <rFont val="Calibri"/>
        <family val="2"/>
      </rPr>
      <t xml:space="preserve"> (</t>
    </r>
    <r>
      <rPr>
        <b/>
        <i/>
        <sz val="10"/>
        <color indexed="12"/>
        <rFont val="Calibri"/>
        <family val="2"/>
      </rPr>
      <t>si ligne 31 non renseignée)</t>
    </r>
  </si>
  <si>
    <t xml:space="preserve">Valeur d'origine - prix d'achat résiduel </t>
  </si>
  <si>
    <r>
      <rPr>
        <sz val="10"/>
        <color rgb="FF002060"/>
        <rFont val="Calibri"/>
        <family val="2"/>
      </rPr>
      <t>Total des annuités payées et à payer</t>
    </r>
    <r>
      <rPr>
        <sz val="9"/>
        <color rgb="FF002060"/>
        <rFont val="Calibri"/>
        <family val="2"/>
      </rPr>
      <t/>
    </r>
  </si>
  <si>
    <t>se reporter 
à 
l'annexe 
du 
bilan</t>
  </si>
  <si>
    <r>
      <t>Valeur d'origine - prix d'achat résiduel</t>
    </r>
    <r>
      <rPr>
        <i/>
        <sz val="10"/>
        <color rgb="FF002060"/>
        <rFont val="Calibri"/>
        <family val="2"/>
      </rPr>
      <t xml:space="preserve"> </t>
    </r>
  </si>
  <si>
    <t xml:space="preserve">Total des annuités payées et à payer </t>
  </si>
  <si>
    <r>
      <t xml:space="preserve">TVA déductible </t>
    </r>
    <r>
      <rPr>
        <sz val="9"/>
        <color rgb="FF002060"/>
        <rFont val="Calibri"/>
        <family val="2"/>
      </rPr>
      <t>(</t>
    </r>
    <r>
      <rPr>
        <b/>
        <i/>
        <sz val="9"/>
        <color rgb="FF002060"/>
        <rFont val="Calibri"/>
        <family val="2"/>
      </rPr>
      <t>hors TVA intracommunautaire</t>
    </r>
    <r>
      <rPr>
        <sz val="9"/>
        <color rgb="FF002060"/>
        <rFont val="Calibri"/>
        <family val="2"/>
      </rPr>
      <t>)</t>
    </r>
  </si>
  <si>
    <t>Redevances à payer à plus d'1 an et 5 ans au plus</t>
  </si>
  <si>
    <t>Effectif moyen total employé par l'entreprise</t>
  </si>
  <si>
    <t>Productivité du personnel (Ch. P./VA)</t>
  </si>
  <si>
    <t>dont Factor - compte courant</t>
  </si>
  <si>
    <r>
      <t xml:space="preserve">Avance court terme du factor </t>
    </r>
    <r>
      <rPr>
        <i/>
        <sz val="10"/>
        <color rgb="FF0000CC"/>
        <rFont val="Calibri"/>
        <family val="2"/>
      </rPr>
      <t>(à renseigner)</t>
    </r>
  </si>
  <si>
    <t>Annexe des comptes</t>
  </si>
  <si>
    <t>Crédits à courterme</t>
  </si>
  <si>
    <t>Autres concours bancaires à court terme</t>
  </si>
  <si>
    <t>2057 7Z</t>
  </si>
  <si>
    <t>2057 VH</t>
  </si>
  <si>
    <t>2057 8A</t>
  </si>
  <si>
    <t>2057 7Y</t>
  </si>
  <si>
    <t xml:space="preserve">Endettement financier 
hors crédit-bail </t>
  </si>
  <si>
    <t xml:space="preserve">Endettement financier 
par crédit-bail </t>
  </si>
  <si>
    <r>
      <t xml:space="preserve">Emprunts et dettes bancaires 
</t>
    </r>
    <r>
      <rPr>
        <i/>
        <sz val="8"/>
        <color rgb="FF002060"/>
        <rFont val="Calibri"/>
        <family val="2"/>
        <scheme val="minor"/>
      </rPr>
      <t xml:space="preserve">(hors concours bancaires à court terme) </t>
    </r>
  </si>
  <si>
    <t>2051 EH</t>
  </si>
  <si>
    <t>2058-C YS</t>
  </si>
  <si>
    <t>Contrôle  écart</t>
  </si>
  <si>
    <t>se reporter 
à 
l'annexe 
du bilan</t>
  </si>
  <si>
    <t>- Assurer le renouvellement des équipements (amortissements),</t>
  </si>
  <si>
    <t>Autonomie
financière</t>
  </si>
  <si>
    <t>Assise 
financière</t>
  </si>
  <si>
    <t>Equilibre 
financier</t>
  </si>
  <si>
    <t>Rentabilité 
d'exploitation</t>
  </si>
  <si>
    <t>Capacité de 
remboursement</t>
  </si>
  <si>
    <t>Productivité 
du travail</t>
  </si>
  <si>
    <t>Retards de paiement constatés</t>
  </si>
  <si>
    <t>Date de création de l'entreprise (nombre d'années)</t>
  </si>
  <si>
    <r>
      <rPr>
        <sz val="10"/>
        <color rgb="FF002060"/>
        <rFont val="Symbol"/>
        <family val="1"/>
        <charset val="2"/>
      </rPr>
      <t>D</t>
    </r>
    <r>
      <rPr>
        <sz val="10"/>
        <color rgb="FF002060"/>
        <rFont val="Calibri"/>
        <family val="2"/>
        <scheme val="minor"/>
      </rPr>
      <t xml:space="preserve"> du chiffre d'affaires</t>
    </r>
  </si>
  <si>
    <r>
      <rPr>
        <b/>
        <sz val="10"/>
        <color rgb="FF002060"/>
        <rFont val="Calibri"/>
        <family val="2"/>
      </rPr>
      <t>L'équilibre dans la croissance</t>
    </r>
    <r>
      <rPr>
        <sz val="10"/>
        <color rgb="FF002060"/>
        <rFont val="Calibri"/>
        <family val="2"/>
      </rPr>
      <t xml:space="preserve"> : 
l'autofinancement doit être suffisant pour financer au moins l'augmentation de son besoin en fonds de roulement</t>
    </r>
  </si>
  <si>
    <t>ou consommations x taux de tva                 (renseigner le taux de tva -&gt;)</t>
  </si>
  <si>
    <t>ou chiffre d'affaires France x taux de tva  (renseigner le taux de tva -&gt;)</t>
  </si>
  <si>
    <r>
      <t xml:space="preserve">Point mort d'exploitation   </t>
    </r>
    <r>
      <rPr>
        <b/>
        <i/>
        <sz val="10"/>
        <color indexed="10"/>
        <rFont val="Calibri"/>
        <family val="2"/>
      </rPr>
      <t>(hors subvention)</t>
    </r>
  </si>
  <si>
    <t xml:space="preserve">Total des stocks nets </t>
  </si>
  <si>
    <t>Rubriques du 
compte de résultat</t>
  </si>
  <si>
    <t>INFORMATIONS COMPLEMENTAIRES</t>
  </si>
  <si>
    <t>ANALYSE DE LA STUCTURE FINANCIERE</t>
  </si>
  <si>
    <t>TABLEAU DE FINANCEMENT</t>
  </si>
  <si>
    <t>A - Activité et profitabilité</t>
  </si>
  <si>
    <t>Fonds 
de roulement</t>
  </si>
  <si>
    <t>= Salaires et traitements (hors intéressement et abondement)</t>
  </si>
  <si>
    <r>
      <rPr>
        <sz val="10"/>
        <color rgb="FF0000FF"/>
        <rFont val="Symbol"/>
        <family val="1"/>
        <charset val="2"/>
      </rPr>
      <t xml:space="preserve">D </t>
    </r>
    <r>
      <rPr>
        <sz val="10"/>
        <color indexed="12"/>
        <rFont val="Calibri"/>
        <family val="2"/>
      </rPr>
      <t>%</t>
    </r>
  </si>
  <si>
    <r>
      <rPr>
        <sz val="10"/>
        <color rgb="FF008080"/>
        <rFont val="Symbol"/>
        <family val="1"/>
        <charset val="2"/>
      </rPr>
      <t>D</t>
    </r>
    <r>
      <rPr>
        <sz val="10"/>
        <color indexed="21"/>
        <rFont val="Calibri"/>
        <family val="2"/>
      </rPr>
      <t xml:space="preserve"> apparente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</si>
</sst>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quot; &quot;"/>
    <numFmt numFmtId="165" formatCode="0.0%"/>
    <numFmt numFmtId="166" formatCode="0&quot; jours&quot;"/>
    <numFmt numFmtId="167" formatCode="0&quot; mois&quot;"/>
    <numFmt numFmtId="168" formatCode="0&quot; an(s)&quot;"/>
    <numFmt numFmtId="169" formatCode="#,##0&quot; K€&quot;"/>
    <numFmt numFmtId="170" formatCode="0.0&quot; ans&quot;"/>
    <numFmt numFmtId="171" formatCode="0&quot; j de CA&quot;"/>
    <numFmt numFmtId="172" formatCode="#,##0.0&quot; K€&quot;"/>
    <numFmt numFmtId="173" formatCode="#,##0.0&quot; K€ &quot;"/>
    <numFmt numFmtId="174" formatCode="0.0%&quot; du CA&quot;"/>
    <numFmt numFmtId="175" formatCode="0&quot; p&quot;"/>
    <numFmt numFmtId="176" formatCode="#,##0.0"/>
    <numFmt numFmtId="177" formatCode="0.00%&quot; du CA&quot;"/>
    <numFmt numFmtId="178" formatCode="&quot;Ecart&quot;\ #,##0&quot; &quot;"/>
  </numFmts>
  <fonts count="262">
    <font>
      <sz val="10"/>
      <name val="Times New Roman"/>
    </font>
    <font>
      <sz val="11"/>
      <color theme="1"/>
      <name val="Calibri"/>
      <family val="2"/>
      <scheme val="minor"/>
    </font>
    <font>
      <sz val="10"/>
      <color theme="1"/>
      <name val="Calibri"/>
      <family val="2"/>
    </font>
    <font>
      <sz val="10"/>
      <color theme="1"/>
      <name val="Calibri"/>
      <family val="2"/>
    </font>
    <font>
      <sz val="10"/>
      <name val="Times New Roman"/>
      <family val="1"/>
    </font>
    <font>
      <sz val="8"/>
      <color indexed="81"/>
      <name val="Tahoma"/>
      <family val="2"/>
    </font>
    <font>
      <sz val="8"/>
      <color indexed="56"/>
      <name val="Tahoma"/>
      <family val="2"/>
    </font>
    <font>
      <u/>
      <sz val="10"/>
      <color indexed="12"/>
      <name val="Times New Roman"/>
      <family val="1"/>
    </font>
    <font>
      <sz val="10"/>
      <color indexed="12"/>
      <name val="Times New Roman"/>
      <family val="1"/>
    </font>
    <font>
      <sz val="9"/>
      <color indexed="12"/>
      <name val="Times New Roman"/>
      <family val="1"/>
    </font>
    <font>
      <sz val="8"/>
      <name val="Times New Roman"/>
      <family val="1"/>
    </font>
    <font>
      <b/>
      <sz val="11"/>
      <color indexed="9"/>
      <name val="Calibri"/>
      <family val="2"/>
    </font>
    <font>
      <sz val="10"/>
      <name val="Calibri"/>
      <family val="2"/>
    </font>
    <font>
      <sz val="9"/>
      <name val="Calibri"/>
      <family val="2"/>
    </font>
    <font>
      <b/>
      <sz val="9"/>
      <name val="Calibri"/>
      <family val="2"/>
    </font>
    <font>
      <b/>
      <sz val="10"/>
      <name val="Calibri"/>
      <family val="2"/>
    </font>
    <font>
      <b/>
      <sz val="8"/>
      <name val="Calibri"/>
      <family val="2"/>
    </font>
    <font>
      <b/>
      <sz val="9"/>
      <color indexed="32"/>
      <name val="Calibri"/>
      <family val="2"/>
    </font>
    <font>
      <b/>
      <sz val="12"/>
      <color indexed="9"/>
      <name val="Calibri"/>
      <family val="2"/>
    </font>
    <font>
      <b/>
      <i/>
      <sz val="8.5"/>
      <color indexed="32"/>
      <name val="Calibri"/>
      <family val="2"/>
    </font>
    <font>
      <b/>
      <sz val="10"/>
      <color indexed="32"/>
      <name val="Calibri"/>
      <family val="2"/>
    </font>
    <font>
      <sz val="10"/>
      <color indexed="32"/>
      <name val="Calibri"/>
      <family val="2"/>
    </font>
    <font>
      <b/>
      <sz val="10"/>
      <color indexed="9"/>
      <name val="Calibri"/>
      <family val="2"/>
    </font>
    <font>
      <b/>
      <sz val="9"/>
      <color indexed="9"/>
      <name val="Calibri"/>
      <family val="2"/>
    </font>
    <font>
      <b/>
      <i/>
      <sz val="10"/>
      <color indexed="9"/>
      <name val="Calibri"/>
      <family val="2"/>
    </font>
    <font>
      <sz val="11"/>
      <name val="Calibri"/>
      <family val="2"/>
    </font>
    <font>
      <sz val="10"/>
      <color indexed="9"/>
      <name val="Calibri"/>
      <family val="2"/>
    </font>
    <font>
      <sz val="10"/>
      <color indexed="12"/>
      <name val="Calibri"/>
      <family val="2"/>
    </font>
    <font>
      <sz val="10"/>
      <color indexed="53"/>
      <name val="Calibri"/>
      <family val="2"/>
    </font>
    <font>
      <b/>
      <sz val="10"/>
      <color indexed="12"/>
      <name val="Calibri"/>
      <family val="2"/>
    </font>
    <font>
      <b/>
      <sz val="9"/>
      <color indexed="12"/>
      <name val="Calibri"/>
      <family val="2"/>
    </font>
    <font>
      <i/>
      <sz val="10"/>
      <color indexed="12"/>
      <name val="Calibri"/>
      <family val="2"/>
    </font>
    <font>
      <i/>
      <sz val="9"/>
      <color indexed="53"/>
      <name val="Calibri"/>
      <family val="2"/>
    </font>
    <font>
      <sz val="9"/>
      <color indexed="12"/>
      <name val="Calibri"/>
      <family val="2"/>
    </font>
    <font>
      <u/>
      <sz val="10"/>
      <color indexed="12"/>
      <name val="Calibri"/>
      <family val="2"/>
    </font>
    <font>
      <sz val="9"/>
      <color indexed="32"/>
      <name val="Calibri"/>
      <family val="2"/>
    </font>
    <font>
      <sz val="9"/>
      <color indexed="53"/>
      <name val="Calibri"/>
      <family val="2"/>
    </font>
    <font>
      <b/>
      <sz val="10"/>
      <color indexed="53"/>
      <name val="Calibri"/>
      <family val="2"/>
    </font>
    <font>
      <sz val="8"/>
      <name val="Calibri"/>
      <family val="2"/>
    </font>
    <font>
      <sz val="10"/>
      <color indexed="17"/>
      <name val="Calibri"/>
      <family val="2"/>
    </font>
    <font>
      <sz val="10"/>
      <color indexed="16"/>
      <name val="Calibri"/>
      <family val="2"/>
    </font>
    <font>
      <b/>
      <i/>
      <sz val="9"/>
      <color indexed="12"/>
      <name val="Calibri"/>
      <family val="2"/>
    </font>
    <font>
      <b/>
      <i/>
      <sz val="10"/>
      <color indexed="12"/>
      <name val="Calibri"/>
      <family val="2"/>
    </font>
    <font>
      <b/>
      <i/>
      <sz val="10"/>
      <name val="Calibri"/>
      <family val="2"/>
    </font>
    <font>
      <b/>
      <sz val="10"/>
      <color indexed="10"/>
      <name val="Calibri"/>
      <family val="2"/>
    </font>
    <font>
      <b/>
      <i/>
      <sz val="12"/>
      <color indexed="56"/>
      <name val="Calibri"/>
      <family val="2"/>
    </font>
    <font>
      <b/>
      <i/>
      <sz val="12"/>
      <color indexed="10"/>
      <name val="Calibri"/>
      <family val="2"/>
    </font>
    <font>
      <sz val="11"/>
      <color indexed="56"/>
      <name val="Calibri"/>
      <family val="2"/>
    </font>
    <font>
      <u val="double"/>
      <sz val="10"/>
      <name val="Calibri"/>
      <family val="2"/>
    </font>
    <font>
      <b/>
      <i/>
      <sz val="9"/>
      <color indexed="9"/>
      <name val="Calibri"/>
      <family val="2"/>
    </font>
    <font>
      <b/>
      <i/>
      <sz val="9"/>
      <color indexed="62"/>
      <name val="Calibri"/>
      <family val="2"/>
    </font>
    <font>
      <b/>
      <sz val="10"/>
      <color indexed="56"/>
      <name val="Calibri"/>
      <family val="2"/>
    </font>
    <font>
      <b/>
      <i/>
      <sz val="8.5"/>
      <color indexed="9"/>
      <name val="Calibri"/>
      <family val="2"/>
    </font>
    <font>
      <b/>
      <sz val="9"/>
      <color indexed="62"/>
      <name val="Calibri"/>
      <family val="2"/>
    </font>
    <font>
      <b/>
      <sz val="9"/>
      <color indexed="25"/>
      <name val="Calibri"/>
      <family val="2"/>
    </font>
    <font>
      <b/>
      <sz val="9"/>
      <color indexed="50"/>
      <name val="Calibri"/>
      <family val="2"/>
    </font>
    <font>
      <b/>
      <sz val="10"/>
      <color indexed="25"/>
      <name val="Calibri"/>
      <family val="2"/>
    </font>
    <font>
      <b/>
      <sz val="10"/>
      <color indexed="50"/>
      <name val="Calibri"/>
      <family val="2"/>
    </font>
    <font>
      <b/>
      <i/>
      <sz val="8.5"/>
      <color indexed="10"/>
      <name val="Calibri"/>
      <family val="2"/>
    </font>
    <font>
      <b/>
      <sz val="10"/>
      <color indexed="62"/>
      <name val="Calibri"/>
      <family val="2"/>
    </font>
    <font>
      <sz val="9"/>
      <color indexed="9"/>
      <name val="Calibri"/>
      <family val="2"/>
    </font>
    <font>
      <b/>
      <i/>
      <sz val="8"/>
      <color indexed="10"/>
      <name val="Calibri"/>
      <family val="2"/>
    </font>
    <font>
      <b/>
      <i/>
      <sz val="10"/>
      <color indexed="14"/>
      <name val="Calibri"/>
      <family val="2"/>
    </font>
    <font>
      <b/>
      <i/>
      <sz val="10"/>
      <color indexed="25"/>
      <name val="Calibri"/>
      <family val="2"/>
    </font>
    <font>
      <b/>
      <i/>
      <sz val="10"/>
      <color indexed="32"/>
      <name val="Calibri"/>
      <family val="2"/>
    </font>
    <font>
      <b/>
      <i/>
      <sz val="11"/>
      <color indexed="9"/>
      <name val="Calibri"/>
      <family val="2"/>
    </font>
    <font>
      <b/>
      <i/>
      <sz val="10"/>
      <color indexed="59"/>
      <name val="Calibri"/>
      <family val="2"/>
    </font>
    <font>
      <sz val="8"/>
      <name val="Times New Roman"/>
      <family val="1"/>
    </font>
    <font>
      <b/>
      <sz val="11"/>
      <color indexed="9"/>
      <name val="Calibri"/>
      <family val="2"/>
    </font>
    <font>
      <sz val="10"/>
      <color indexed="25"/>
      <name val="Calibri"/>
      <family val="2"/>
    </font>
    <font>
      <b/>
      <i/>
      <sz val="10"/>
      <color indexed="48"/>
      <name val="Calibri"/>
      <family val="2"/>
    </font>
    <font>
      <sz val="10"/>
      <name val="Calibri"/>
      <family val="2"/>
    </font>
    <font>
      <b/>
      <sz val="10"/>
      <color indexed="9"/>
      <name val="Calibri"/>
      <family val="2"/>
    </font>
    <font>
      <sz val="10"/>
      <color indexed="12"/>
      <name val="Calibri"/>
      <family val="2"/>
    </font>
    <font>
      <b/>
      <sz val="10"/>
      <color indexed="12"/>
      <name val="Calibri"/>
      <family val="2"/>
    </font>
    <font>
      <b/>
      <sz val="12"/>
      <color indexed="32"/>
      <name val="Calibri"/>
      <family val="2"/>
    </font>
    <font>
      <b/>
      <sz val="11"/>
      <name val="Calibri"/>
      <family val="2"/>
    </font>
    <font>
      <b/>
      <i/>
      <sz val="10"/>
      <color indexed="9"/>
      <name val="Calibri"/>
      <family val="2"/>
    </font>
    <font>
      <sz val="8"/>
      <color indexed="12"/>
      <name val="Tahoma"/>
      <family val="2"/>
    </font>
    <font>
      <b/>
      <i/>
      <sz val="12"/>
      <color indexed="12"/>
      <name val="Calibri"/>
      <family val="2"/>
    </font>
    <font>
      <i/>
      <sz val="10"/>
      <color indexed="53"/>
      <name val="Calibri"/>
      <family val="2"/>
    </font>
    <font>
      <b/>
      <sz val="10"/>
      <name val="Calibri"/>
      <family val="2"/>
    </font>
    <font>
      <b/>
      <sz val="9"/>
      <color indexed="9"/>
      <name val="Calibri"/>
      <family val="2"/>
    </font>
    <font>
      <b/>
      <sz val="9"/>
      <name val="Calibri"/>
      <family val="2"/>
    </font>
    <font>
      <sz val="10"/>
      <color indexed="56"/>
      <name val="Calibri"/>
      <family val="2"/>
    </font>
    <font>
      <sz val="10"/>
      <color indexed="9"/>
      <name val="Calibri"/>
      <family val="2"/>
    </font>
    <font>
      <i/>
      <sz val="8.5"/>
      <name val="Calibri"/>
      <family val="2"/>
    </font>
    <font>
      <i/>
      <sz val="8"/>
      <color indexed="9"/>
      <name val="Calibri"/>
      <family val="2"/>
    </font>
    <font>
      <sz val="11"/>
      <name val="Calibri"/>
      <family val="2"/>
    </font>
    <font>
      <sz val="10"/>
      <name val="Times New Roman"/>
      <family val="1"/>
    </font>
    <font>
      <b/>
      <sz val="10"/>
      <color indexed="17"/>
      <name val="Calibri"/>
      <family val="2"/>
    </font>
    <font>
      <b/>
      <sz val="12"/>
      <color indexed="9"/>
      <name val="Times New Roman"/>
      <family val="1"/>
    </font>
    <font>
      <sz val="10"/>
      <color indexed="60"/>
      <name val="Calibri"/>
      <family val="2"/>
    </font>
    <font>
      <b/>
      <sz val="12"/>
      <color indexed="9"/>
      <name val="Calibri"/>
      <family val="2"/>
    </font>
    <font>
      <sz val="10"/>
      <color indexed="9"/>
      <name val="Times New Roman"/>
      <family val="1"/>
    </font>
    <font>
      <b/>
      <sz val="10"/>
      <name val="Times New Roman"/>
      <family val="1"/>
    </font>
    <font>
      <b/>
      <sz val="10"/>
      <color indexed="21"/>
      <name val="Calibri"/>
      <family val="2"/>
    </font>
    <font>
      <sz val="9"/>
      <color indexed="18"/>
      <name val="Calibri"/>
      <family val="2"/>
    </font>
    <font>
      <sz val="9"/>
      <color indexed="50"/>
      <name val="Calibri"/>
      <family val="2"/>
    </font>
    <font>
      <i/>
      <sz val="8.5"/>
      <color indexed="12"/>
      <name val="Calibri"/>
      <family val="2"/>
    </font>
    <font>
      <b/>
      <sz val="8"/>
      <color indexed="81"/>
      <name val="Tahoma"/>
      <family val="2"/>
    </font>
    <font>
      <sz val="10"/>
      <color indexed="81"/>
      <name val="Calibri"/>
      <family val="2"/>
    </font>
    <font>
      <b/>
      <i/>
      <sz val="9"/>
      <color indexed="25"/>
      <name val="Calibri"/>
      <family val="2"/>
    </font>
    <font>
      <b/>
      <i/>
      <sz val="9"/>
      <color indexed="17"/>
      <name val="Calibri"/>
      <family val="2"/>
    </font>
    <font>
      <b/>
      <i/>
      <sz val="10"/>
      <color indexed="12"/>
      <name val="Symbol"/>
      <family val="1"/>
      <charset val="2"/>
    </font>
    <font>
      <sz val="14"/>
      <name val="Calibri"/>
      <family val="2"/>
    </font>
    <font>
      <i/>
      <sz val="10"/>
      <name val="Calibri"/>
      <family val="2"/>
    </font>
    <font>
      <b/>
      <u/>
      <sz val="8"/>
      <color indexed="12"/>
      <name val="Tahoma"/>
      <family val="2"/>
    </font>
    <font>
      <b/>
      <sz val="8"/>
      <color indexed="12"/>
      <name val="Tahoma"/>
      <family val="2"/>
    </font>
    <font>
      <sz val="8"/>
      <color indexed="39"/>
      <name val="Tahoma"/>
      <family val="2"/>
    </font>
    <font>
      <i/>
      <sz val="10"/>
      <color indexed="9"/>
      <name val="Calibri"/>
      <family val="2"/>
    </font>
    <font>
      <b/>
      <sz val="8"/>
      <color indexed="56"/>
      <name val="Tahoma"/>
      <family val="2"/>
    </font>
    <font>
      <sz val="8"/>
      <color indexed="81"/>
      <name val="Times New Roman"/>
      <family val="1"/>
    </font>
    <font>
      <u/>
      <sz val="8"/>
      <color indexed="12"/>
      <name val="Tahoma"/>
      <family val="2"/>
    </font>
    <font>
      <sz val="6"/>
      <color indexed="12"/>
      <name val="Tahoma"/>
      <family val="2"/>
    </font>
    <font>
      <i/>
      <sz val="9"/>
      <name val="Calibri"/>
      <family val="2"/>
    </font>
    <font>
      <b/>
      <i/>
      <sz val="10"/>
      <color indexed="21"/>
      <name val="Calibri"/>
      <family val="2"/>
    </font>
    <font>
      <i/>
      <sz val="11"/>
      <name val="Calibri"/>
      <family val="2"/>
    </font>
    <font>
      <b/>
      <sz val="12"/>
      <name val="Calibri"/>
      <family val="2"/>
    </font>
    <font>
      <sz val="12"/>
      <name val="Calibri"/>
      <family val="2"/>
    </font>
    <font>
      <b/>
      <sz val="9"/>
      <color indexed="39"/>
      <name val="Calibri"/>
      <family val="2"/>
    </font>
    <font>
      <b/>
      <sz val="10"/>
      <color indexed="39"/>
      <name val="Calibri"/>
      <family val="2"/>
    </font>
    <font>
      <b/>
      <i/>
      <sz val="10"/>
      <name val="Times New Roman"/>
      <family val="1"/>
    </font>
    <font>
      <b/>
      <sz val="10.5"/>
      <color indexed="10"/>
      <name val="Calibri"/>
      <family val="2"/>
    </font>
    <font>
      <b/>
      <i/>
      <sz val="10.5"/>
      <color indexed="10"/>
      <name val="Calibri"/>
      <family val="2"/>
    </font>
    <font>
      <sz val="11"/>
      <color theme="1"/>
      <name val="Calibri"/>
      <family val="2"/>
      <scheme val="minor"/>
    </font>
    <font>
      <sz val="11"/>
      <color theme="0"/>
      <name val="Calibri"/>
      <family val="2"/>
      <scheme val="minor"/>
    </font>
    <font>
      <b/>
      <i/>
      <sz val="8.5"/>
      <color theme="0"/>
      <name val="Calibri"/>
      <family val="2"/>
    </font>
    <font>
      <b/>
      <sz val="10"/>
      <color theme="0"/>
      <name val="Calibri"/>
      <family val="2"/>
    </font>
    <font>
      <sz val="10"/>
      <color theme="0"/>
      <name val="Calibri"/>
      <family val="2"/>
    </font>
    <font>
      <i/>
      <sz val="10"/>
      <color theme="0"/>
      <name val="Calibri"/>
      <family val="2"/>
    </font>
    <font>
      <sz val="8.5"/>
      <color theme="0"/>
      <name val="Calibri"/>
      <family val="2"/>
    </font>
    <font>
      <sz val="10"/>
      <color rgb="FF7030A0"/>
      <name val="Calibri"/>
      <family val="2"/>
    </font>
    <font>
      <b/>
      <sz val="9"/>
      <color theme="0"/>
      <name val="Calibri"/>
      <family val="2"/>
    </font>
    <font>
      <b/>
      <i/>
      <sz val="10"/>
      <color theme="0"/>
      <name val="Calibri"/>
      <family val="2"/>
    </font>
    <font>
      <b/>
      <i/>
      <sz val="9"/>
      <color theme="0"/>
      <name val="Calibri"/>
      <family val="2"/>
    </font>
    <font>
      <sz val="9"/>
      <color theme="0"/>
      <name val="Calibri"/>
      <family val="2"/>
    </font>
    <font>
      <u/>
      <sz val="10"/>
      <color indexed="12"/>
      <name val="Calibri"/>
      <family val="2"/>
      <scheme val="minor"/>
    </font>
    <font>
      <b/>
      <sz val="8"/>
      <color rgb="FF0000FF"/>
      <name val="Calibri"/>
      <family val="2"/>
    </font>
    <font>
      <b/>
      <sz val="8"/>
      <color rgb="FF3333FF"/>
      <name val="Calibri"/>
      <family val="2"/>
    </font>
    <font>
      <b/>
      <sz val="10"/>
      <color rgb="FF000080"/>
      <name val="Calibri"/>
      <family val="2"/>
    </font>
    <font>
      <b/>
      <sz val="10"/>
      <color theme="5" tint="-0.24994659260841701"/>
      <name val="Calibri"/>
      <family val="2"/>
    </font>
    <font>
      <i/>
      <sz val="9"/>
      <color theme="0"/>
      <name val="Calibri"/>
      <family val="2"/>
    </font>
    <font>
      <b/>
      <sz val="10"/>
      <color rgb="FF0000FF"/>
      <name val="Calibri"/>
      <family val="2"/>
    </font>
    <font>
      <sz val="10"/>
      <color rgb="FF0000FF"/>
      <name val="Calibri"/>
      <family val="2"/>
    </font>
    <font>
      <b/>
      <sz val="10"/>
      <color rgb="FF000080"/>
      <name val="Calibri"/>
      <family val="2"/>
      <scheme val="minor"/>
    </font>
    <font>
      <b/>
      <sz val="10"/>
      <color theme="1"/>
      <name val="Calibri"/>
      <family val="2"/>
      <scheme val="minor"/>
    </font>
    <font>
      <sz val="10"/>
      <color rgb="FF000080"/>
      <name val="Calibri"/>
      <family val="2"/>
    </font>
    <font>
      <b/>
      <i/>
      <sz val="10"/>
      <color rgb="FF3333FF"/>
      <name val="Calibri"/>
      <family val="2"/>
      <scheme val="minor"/>
    </font>
    <font>
      <b/>
      <sz val="8"/>
      <color rgb="FF0000CC"/>
      <name val="Calibri"/>
      <family val="2"/>
      <scheme val="minor"/>
    </font>
    <font>
      <sz val="10"/>
      <name val="Calibri"/>
      <family val="2"/>
      <scheme val="minor"/>
    </font>
    <font>
      <b/>
      <sz val="8"/>
      <color rgb="FF0000CC"/>
      <name val="Calibri"/>
      <family val="2"/>
    </font>
    <font>
      <b/>
      <sz val="10"/>
      <color theme="0"/>
      <name val="Calibri"/>
      <family val="2"/>
      <scheme val="minor"/>
    </font>
    <font>
      <b/>
      <sz val="12"/>
      <color theme="0"/>
      <name val="Calibri"/>
      <family val="2"/>
    </font>
    <font>
      <b/>
      <sz val="10"/>
      <color theme="1"/>
      <name val="Calibri"/>
      <family val="2"/>
    </font>
    <font>
      <b/>
      <sz val="10"/>
      <color rgb="FFFF0000"/>
      <name val="Calibri"/>
      <family val="2"/>
    </font>
    <font>
      <sz val="10"/>
      <color rgb="FF0000CC"/>
      <name val="Calibri"/>
      <family val="2"/>
    </font>
    <font>
      <i/>
      <sz val="10"/>
      <color indexed="25"/>
      <name val="Calibri"/>
      <family val="2"/>
    </font>
    <font>
      <sz val="9"/>
      <color theme="0"/>
      <name val="Arial"/>
      <family val="2"/>
    </font>
    <font>
      <i/>
      <sz val="9"/>
      <color indexed="9"/>
      <name val="Calibri"/>
      <family val="2"/>
    </font>
    <font>
      <b/>
      <i/>
      <sz val="9"/>
      <color indexed="10"/>
      <name val="Calibri"/>
      <family val="2"/>
    </font>
    <font>
      <b/>
      <sz val="10"/>
      <color rgb="FF0000CC"/>
      <name val="Calibri"/>
      <family val="2"/>
    </font>
    <font>
      <sz val="10"/>
      <color theme="0"/>
      <name val="Times New Roman"/>
      <family val="1"/>
    </font>
    <font>
      <b/>
      <sz val="10.5"/>
      <color theme="0"/>
      <name val="Calibri"/>
      <family val="2"/>
    </font>
    <font>
      <sz val="9"/>
      <color indexed="81"/>
      <name val="Tahoma"/>
      <family val="2"/>
    </font>
    <font>
      <sz val="9"/>
      <color indexed="12"/>
      <name val="Tahoma"/>
      <family val="2"/>
    </font>
    <font>
      <b/>
      <i/>
      <sz val="10"/>
      <color theme="9" tint="-0.24994659260841701"/>
      <name val="Calibri"/>
      <family val="2"/>
    </font>
    <font>
      <sz val="9"/>
      <color rgb="FF0000CC"/>
      <name val="Calibri"/>
      <family val="2"/>
    </font>
    <font>
      <b/>
      <sz val="10"/>
      <color rgb="FF002060"/>
      <name val="Calibri"/>
      <family val="2"/>
    </font>
    <font>
      <sz val="10"/>
      <color rgb="FF002060"/>
      <name val="Calibri"/>
      <family val="2"/>
    </font>
    <font>
      <b/>
      <sz val="12"/>
      <color rgb="FF002060"/>
      <name val="Calibri"/>
      <family val="2"/>
    </font>
    <font>
      <sz val="12"/>
      <color rgb="FF002060"/>
      <name val="Calibri"/>
      <family val="2"/>
    </font>
    <font>
      <b/>
      <i/>
      <sz val="10"/>
      <color rgb="FF0000FF"/>
      <name val="Calibri"/>
      <family val="2"/>
    </font>
    <font>
      <b/>
      <i/>
      <sz val="10"/>
      <color theme="0"/>
      <name val="Calibri"/>
      <family val="2"/>
      <scheme val="minor"/>
    </font>
    <font>
      <sz val="10.5"/>
      <name val="Times New Roman"/>
      <family val="1"/>
    </font>
    <font>
      <i/>
      <sz val="10"/>
      <color rgb="FF002060"/>
      <name val="Calibri"/>
      <family val="2"/>
    </font>
    <font>
      <b/>
      <i/>
      <sz val="10"/>
      <color indexed="10"/>
      <name val="Calibri"/>
      <family val="2"/>
    </font>
    <font>
      <i/>
      <sz val="10"/>
      <color rgb="FF0000FF"/>
      <name val="Calibri"/>
      <family val="2"/>
    </font>
    <font>
      <b/>
      <sz val="10"/>
      <color rgb="FF002060"/>
      <name val="Calibri"/>
      <family val="2"/>
      <scheme val="minor"/>
    </font>
    <font>
      <sz val="10"/>
      <color rgb="FF002060"/>
      <name val="Calibri"/>
      <family val="2"/>
      <scheme val="minor"/>
    </font>
    <font>
      <b/>
      <sz val="10"/>
      <color rgb="FF0000CC"/>
      <name val="Calibri"/>
      <family val="2"/>
      <scheme val="minor"/>
    </font>
    <font>
      <b/>
      <i/>
      <sz val="10"/>
      <color rgb="FF7030A0"/>
      <name val="Calibri"/>
      <family val="2"/>
      <scheme val="minor"/>
    </font>
    <font>
      <b/>
      <i/>
      <sz val="10"/>
      <color rgb="FF7030A0"/>
      <name val="Times New Roman"/>
      <family val="1"/>
    </font>
    <font>
      <b/>
      <i/>
      <sz val="10"/>
      <color rgb="FF7030A0"/>
      <name val="Calibri"/>
      <family val="2"/>
    </font>
    <font>
      <b/>
      <sz val="10"/>
      <name val="Calibri"/>
      <family val="2"/>
      <scheme val="minor"/>
    </font>
    <font>
      <i/>
      <sz val="10"/>
      <name val="Times New Roman"/>
      <family val="1"/>
    </font>
    <font>
      <b/>
      <i/>
      <sz val="10"/>
      <color theme="0"/>
      <name val="Symbol"/>
      <family val="1"/>
      <charset val="2"/>
    </font>
    <font>
      <sz val="10"/>
      <color rgb="FF800000"/>
      <name val="Calibri"/>
      <family val="2"/>
    </font>
    <font>
      <sz val="12"/>
      <name val="Times New Roman"/>
      <family val="1"/>
    </font>
    <font>
      <sz val="12"/>
      <color theme="0"/>
      <name val="Times New Roman"/>
      <family val="1"/>
    </font>
    <font>
      <b/>
      <sz val="10"/>
      <color rgb="FF666699"/>
      <name val="Calibri"/>
      <family val="2"/>
    </font>
    <font>
      <sz val="10"/>
      <color rgb="FF666699"/>
      <name val="Calibri"/>
      <family val="2"/>
    </font>
    <font>
      <b/>
      <sz val="10"/>
      <color theme="9" tint="-0.24994659260841701"/>
      <name val="Calibri"/>
      <family val="2"/>
    </font>
    <font>
      <sz val="10"/>
      <color theme="9" tint="-0.24994659260841701"/>
      <name val="Calibri"/>
      <family val="2"/>
    </font>
    <font>
      <sz val="9"/>
      <color rgb="FF002060"/>
      <name val="Calibri"/>
      <family val="2"/>
    </font>
    <font>
      <b/>
      <sz val="12"/>
      <color theme="0"/>
      <name val="Calibri"/>
      <family val="2"/>
      <scheme val="minor"/>
    </font>
    <font>
      <b/>
      <i/>
      <sz val="10"/>
      <color rgb="FFFF0000"/>
      <name val="Calibri"/>
      <family val="2"/>
    </font>
    <font>
      <i/>
      <sz val="10"/>
      <color rgb="FF0000FF"/>
      <name val="Calibri"/>
      <family val="2"/>
      <scheme val="minor"/>
    </font>
    <font>
      <i/>
      <sz val="10"/>
      <color rgb="FF0000FF"/>
      <name val="Times New Roman"/>
      <family val="1"/>
    </font>
    <font>
      <i/>
      <sz val="9"/>
      <color rgb="FF0000FF"/>
      <name val="Calibri"/>
      <family val="2"/>
      <scheme val="minor"/>
    </font>
    <font>
      <i/>
      <sz val="10"/>
      <color rgb="FF0000CC"/>
      <name val="Calibri"/>
      <family val="2"/>
    </font>
    <font>
      <sz val="10"/>
      <color theme="0"/>
      <name val="Calibri"/>
      <family val="2"/>
      <scheme val="minor"/>
    </font>
    <font>
      <b/>
      <sz val="10"/>
      <color indexed="18"/>
      <name val="Calibri"/>
      <family val="2"/>
      <scheme val="minor"/>
    </font>
    <font>
      <sz val="10"/>
      <color indexed="18"/>
      <name val="Calibri"/>
      <family val="2"/>
      <scheme val="minor"/>
    </font>
    <font>
      <b/>
      <sz val="10"/>
      <color indexed="81"/>
      <name val="Calibri"/>
      <family val="2"/>
      <scheme val="minor"/>
    </font>
    <font>
      <sz val="8"/>
      <color theme="0"/>
      <name val="Calibri"/>
      <family val="2"/>
    </font>
    <font>
      <i/>
      <sz val="10"/>
      <color rgb="FF3333FF"/>
      <name val="Calibri"/>
      <family val="2"/>
    </font>
    <font>
      <b/>
      <sz val="12"/>
      <color rgb="FF002060"/>
      <name val="Calibri"/>
      <family val="2"/>
      <scheme val="minor"/>
    </font>
    <font>
      <sz val="12"/>
      <color rgb="FF002060"/>
      <name val="Calibri"/>
      <family val="2"/>
      <scheme val="minor"/>
    </font>
    <font>
      <b/>
      <i/>
      <sz val="8"/>
      <color rgb="FF002060"/>
      <name val="Calibri"/>
      <family val="2"/>
      <scheme val="minor"/>
    </font>
    <font>
      <b/>
      <i/>
      <sz val="12"/>
      <color rgb="FF002060"/>
      <name val="Calibri"/>
      <family val="2"/>
    </font>
    <font>
      <b/>
      <sz val="9"/>
      <color rgb="FF002060"/>
      <name val="Calibri"/>
      <family val="2"/>
    </font>
    <font>
      <b/>
      <sz val="8"/>
      <color theme="0"/>
      <name val="Calibri"/>
      <family val="2"/>
    </font>
    <font>
      <b/>
      <i/>
      <sz val="9"/>
      <color rgb="FF002060"/>
      <name val="Calibri"/>
      <family val="2"/>
    </font>
    <font>
      <b/>
      <i/>
      <sz val="10"/>
      <color rgb="FF002060"/>
      <name val="Calibri"/>
      <family val="2"/>
    </font>
    <font>
      <b/>
      <sz val="9"/>
      <color rgb="FF002060"/>
      <name val="Calibri"/>
      <family val="2"/>
      <scheme val="minor"/>
    </font>
    <font>
      <b/>
      <sz val="10"/>
      <color indexed="62"/>
      <name val="Calibri"/>
      <family val="2"/>
      <scheme val="minor"/>
    </font>
    <font>
      <sz val="10"/>
      <color indexed="62"/>
      <name val="Calibri"/>
      <family val="2"/>
      <scheme val="minor"/>
    </font>
    <font>
      <b/>
      <sz val="10"/>
      <color rgb="FF800000"/>
      <name val="Calibri"/>
      <family val="2"/>
      <scheme val="minor"/>
    </font>
    <font>
      <sz val="10"/>
      <color rgb="FF800000"/>
      <name val="Calibri"/>
      <family val="2"/>
      <scheme val="minor"/>
    </font>
    <font>
      <b/>
      <sz val="10"/>
      <color rgb="FF800000"/>
      <name val="Calibri"/>
      <family val="2"/>
    </font>
    <font>
      <sz val="10"/>
      <color rgb="FF000080"/>
      <name val="Calibri"/>
      <family val="2"/>
      <scheme val="minor"/>
    </font>
    <font>
      <sz val="10"/>
      <color rgb="FFC00000"/>
      <name val="Calibri"/>
      <family val="2"/>
    </font>
    <font>
      <i/>
      <sz val="8"/>
      <color rgb="FF002060"/>
      <name val="Calibri"/>
      <family val="2"/>
      <scheme val="minor"/>
    </font>
    <font>
      <b/>
      <i/>
      <sz val="10.5"/>
      <color rgb="FF002060"/>
      <name val="Calibri"/>
      <family val="2"/>
    </font>
    <font>
      <sz val="10.5"/>
      <name val="Calibri"/>
      <family val="2"/>
    </font>
    <font>
      <b/>
      <i/>
      <sz val="10.5"/>
      <color rgb="FFC00000"/>
      <name val="Calibri"/>
      <family val="2"/>
    </font>
    <font>
      <b/>
      <i/>
      <sz val="10.5"/>
      <color theme="9" tint="-0.499984740745262"/>
      <name val="Calibri"/>
      <family val="2"/>
    </font>
    <font>
      <b/>
      <i/>
      <sz val="10.5"/>
      <color rgb="FF002060"/>
      <name val="Calibri"/>
      <family val="2"/>
      <scheme val="minor"/>
    </font>
    <font>
      <sz val="10.5"/>
      <color rgb="FF002060"/>
      <name val="Calibri"/>
      <family val="2"/>
      <scheme val="minor"/>
    </font>
    <font>
      <sz val="10.5"/>
      <color indexed="53"/>
      <name val="Calibri"/>
      <family val="2"/>
    </font>
    <font>
      <b/>
      <i/>
      <sz val="10"/>
      <color rgb="FFC00000"/>
      <name val="Calibri"/>
      <family val="2"/>
    </font>
    <font>
      <b/>
      <sz val="10.5"/>
      <color rgb="FF002060"/>
      <name val="Calibri"/>
      <family val="2"/>
    </font>
    <font>
      <sz val="10"/>
      <color rgb="FF002060"/>
      <name val="Times New Roman"/>
      <family val="1"/>
    </font>
    <font>
      <sz val="10"/>
      <color rgb="FF002060"/>
      <name val="Symbol"/>
      <family val="1"/>
      <charset val="2"/>
    </font>
    <font>
      <sz val="9"/>
      <name val="Calibri"/>
      <family val="2"/>
      <scheme val="minor"/>
    </font>
    <font>
      <b/>
      <sz val="10"/>
      <color rgb="FFC00000"/>
      <name val="Calibri"/>
      <family val="2"/>
    </font>
    <font>
      <i/>
      <sz val="9"/>
      <color indexed="12"/>
      <name val="Calibri"/>
      <family val="2"/>
    </font>
    <font>
      <b/>
      <sz val="10"/>
      <color rgb="FF3333FF"/>
      <name val="Calibri"/>
      <family val="2"/>
    </font>
    <font>
      <i/>
      <sz val="8"/>
      <color theme="0"/>
      <name val="Calibri"/>
      <family val="2"/>
    </font>
    <font>
      <i/>
      <sz val="9"/>
      <color theme="0"/>
      <name val="Calibri"/>
      <family val="2"/>
      <scheme val="minor"/>
    </font>
    <font>
      <i/>
      <sz val="11"/>
      <color rgb="FF0000CC"/>
      <name val="Calibri"/>
      <family val="2"/>
    </font>
    <font>
      <i/>
      <sz val="10.5"/>
      <color theme="0"/>
      <name val="Calibri"/>
      <family val="2"/>
    </font>
    <font>
      <i/>
      <sz val="8"/>
      <color indexed="32"/>
      <name val="Calibri"/>
      <family val="2"/>
    </font>
    <font>
      <sz val="11"/>
      <color indexed="9"/>
      <name val="Calibri"/>
      <family val="2"/>
    </font>
    <font>
      <i/>
      <sz val="10"/>
      <color rgb="FFC00000"/>
      <name val="Calibri"/>
      <family val="2"/>
    </font>
    <font>
      <b/>
      <sz val="11"/>
      <color theme="0"/>
      <name val="Calibri"/>
      <family val="2"/>
    </font>
    <font>
      <sz val="10"/>
      <color rgb="FF0000FF"/>
      <name val="Symbol"/>
      <family val="1"/>
      <charset val="2"/>
    </font>
    <font>
      <sz val="10"/>
      <color indexed="12"/>
      <name val="Calibri"/>
      <family val="1"/>
      <charset val="2"/>
    </font>
    <font>
      <sz val="9"/>
      <name val="Times New Roman"/>
      <family val="1"/>
    </font>
    <font>
      <sz val="9"/>
      <color rgb="FF0000CC"/>
      <name val="Calibri"/>
      <family val="2"/>
      <scheme val="minor"/>
    </font>
    <font>
      <sz val="10"/>
      <color indexed="21"/>
      <name val="Calibri"/>
      <family val="1"/>
      <charset val="2"/>
    </font>
    <font>
      <sz val="10"/>
      <color rgb="FF008080"/>
      <name val="Symbol"/>
      <family val="1"/>
      <charset val="2"/>
    </font>
    <font>
      <sz val="10"/>
      <color indexed="21"/>
      <name val="Calibri"/>
      <family val="2"/>
    </font>
    <font>
      <i/>
      <sz val="10"/>
      <color indexed="21"/>
      <name val="Calibri"/>
      <family val="2"/>
    </font>
    <font>
      <sz val="10"/>
      <color indexed="39"/>
      <name val="Calibri"/>
      <family val="2"/>
    </font>
    <font>
      <b/>
      <sz val="10"/>
      <color indexed="28"/>
      <name val="Calibri"/>
      <family val="2"/>
    </font>
    <font>
      <sz val="10"/>
      <color indexed="28"/>
      <name val="Calibri"/>
      <family val="2"/>
    </font>
    <font>
      <b/>
      <sz val="11"/>
      <color rgb="FF002060"/>
      <name val="Calibri"/>
      <family val="2"/>
      <scheme val="minor"/>
    </font>
    <font>
      <sz val="11"/>
      <name val="Times New Roman"/>
      <family val="1"/>
    </font>
    <font>
      <b/>
      <sz val="11"/>
      <color rgb="FF002060"/>
      <name val="Calibri"/>
      <family val="2"/>
    </font>
    <font>
      <sz val="7"/>
      <color theme="0"/>
      <name val="Calibri"/>
      <family val="2"/>
    </font>
  </fonts>
  <fills count="51">
    <fill>
      <patternFill patternType="none"/>
    </fill>
    <fill>
      <patternFill patternType="gray125"/>
    </fill>
    <fill>
      <patternFill patternType="solid">
        <fgColor indexed="65"/>
        <bgColor indexed="64"/>
      </patternFill>
    </fill>
    <fill>
      <patternFill patternType="solid">
        <fgColor indexed="21"/>
        <bgColor indexed="64"/>
      </patternFill>
    </fill>
    <fill>
      <patternFill patternType="solid">
        <fgColor indexed="54"/>
        <bgColor indexed="64"/>
      </patternFill>
    </fill>
    <fill>
      <patternFill patternType="solid">
        <fgColor indexed="26"/>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42"/>
        <bgColor indexed="64"/>
      </patternFill>
    </fill>
    <fill>
      <patternFill patternType="solid">
        <fgColor indexed="22"/>
        <bgColor indexed="64"/>
      </patternFill>
    </fill>
    <fill>
      <patternFill patternType="solid">
        <fgColor indexed="24"/>
        <bgColor indexed="64"/>
      </patternFill>
    </fill>
    <fill>
      <patternFill patternType="solid">
        <fgColor indexed="55"/>
        <bgColor indexed="64"/>
      </patternFill>
    </fill>
    <fill>
      <patternFill patternType="solid">
        <fgColor indexed="19"/>
        <bgColor indexed="64"/>
      </patternFill>
    </fill>
    <fill>
      <patternFill patternType="solid">
        <fgColor indexed="60"/>
        <bgColor indexed="64"/>
      </patternFill>
    </fill>
    <fill>
      <patternFill patternType="solid">
        <fgColor theme="8" tint="0.59999389629810485"/>
        <bgColor indexed="65"/>
      </patternFill>
    </fill>
    <fill>
      <patternFill patternType="solid">
        <fgColor theme="5"/>
      </patternFill>
    </fill>
    <fill>
      <patternFill patternType="solid">
        <fgColor rgb="FF00B05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0070C0"/>
        <bgColor indexed="64"/>
      </patternFill>
    </fill>
    <fill>
      <patternFill patternType="solid">
        <fgColor theme="9" tint="0.79998168889431442"/>
        <bgColor indexed="64"/>
      </patternFill>
    </fill>
    <fill>
      <patternFill patternType="solid">
        <fgColor rgb="FF9999FF"/>
        <bgColor indexed="64"/>
      </patternFill>
    </fill>
    <fill>
      <patternFill patternType="solid">
        <fgColor rgb="FF666699"/>
        <bgColor indexed="64"/>
      </patternFill>
    </fill>
    <fill>
      <patternFill patternType="solid">
        <fgColor theme="4" tint="-0.24994659260841701"/>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FCC00"/>
        <bgColor indexed="64"/>
      </patternFill>
    </fill>
    <fill>
      <patternFill patternType="solid">
        <fgColor theme="2"/>
        <bgColor indexed="64"/>
      </patternFill>
    </fill>
    <fill>
      <patternFill patternType="solid">
        <fgColor rgb="FFC0C0C0"/>
        <bgColor indexed="64"/>
      </patternFill>
    </fill>
    <fill>
      <patternFill patternType="solid">
        <fgColor theme="8" tint="-0.24994659260841701"/>
        <bgColor indexed="64"/>
      </patternFill>
    </fill>
    <fill>
      <patternFill patternType="solid">
        <fgColor theme="5" tint="0.59999389629810485"/>
        <bgColor indexed="6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patternFill>
    </fill>
    <fill>
      <patternFill patternType="solid">
        <fgColor theme="7"/>
      </patternFill>
    </fill>
    <fill>
      <patternFill patternType="solid">
        <fgColor theme="4" tint="0.39997558519241921"/>
        <bgColor indexed="65"/>
      </patternFill>
    </fill>
    <fill>
      <patternFill patternType="solid">
        <fgColor theme="8"/>
      </patternFill>
    </fill>
    <fill>
      <patternFill patternType="solid">
        <fgColor theme="6" tint="0.79998168889431442"/>
        <bgColor indexed="64"/>
      </patternFill>
    </fill>
    <fill>
      <patternFill patternType="solid">
        <fgColor rgb="FF993300"/>
        <bgColor indexed="64"/>
      </patternFill>
    </fill>
    <fill>
      <patternFill patternType="solid">
        <fgColor theme="8"/>
        <bgColor indexed="64"/>
      </patternFill>
    </fill>
    <fill>
      <patternFill patternType="solid">
        <fgColor rgb="FFEAEAEA"/>
        <bgColor indexed="64"/>
      </patternFill>
    </fill>
    <fill>
      <patternFill patternType="solid">
        <fgColor rgb="FF660033"/>
        <bgColor indexed="64"/>
      </patternFill>
    </fill>
    <fill>
      <patternFill patternType="solid">
        <fgColor theme="5"/>
        <bgColor indexed="64"/>
      </patternFill>
    </fill>
    <fill>
      <patternFill patternType="solid">
        <fgColor theme="0" tint="-0.14996795556505021"/>
        <bgColor indexed="64"/>
      </patternFill>
    </fill>
    <fill>
      <patternFill patternType="solid">
        <fgColor rgb="FFEBF9FF"/>
        <bgColor indexed="64"/>
      </patternFill>
    </fill>
    <fill>
      <patternFill patternType="solid">
        <fgColor rgb="FFDAEEF3"/>
        <bgColor indexed="64"/>
      </patternFill>
    </fill>
    <fill>
      <patternFill patternType="solid">
        <fgColor rgb="FF008080"/>
        <bgColor indexed="64"/>
      </patternFill>
    </fill>
    <fill>
      <patternFill patternType="solid">
        <fgColor theme="6" tint="0.59996337778862885"/>
        <bgColor indexed="64"/>
      </patternFill>
    </fill>
  </fills>
  <borders count="380">
    <border>
      <left/>
      <right/>
      <top/>
      <bottom/>
      <diagonal/>
    </border>
    <border>
      <left style="thin">
        <color indexed="64"/>
      </left>
      <right style="thin">
        <color indexed="64"/>
      </right>
      <top/>
      <bottom/>
      <diagonal/>
    </border>
    <border>
      <left style="thin">
        <color indexed="12"/>
      </left>
      <right style="thin">
        <color indexed="12"/>
      </right>
      <top style="thin">
        <color indexed="12"/>
      </top>
      <bottom style="thin">
        <color indexed="12"/>
      </bottom>
      <diagonal/>
    </border>
    <border>
      <left style="thin">
        <color indexed="9"/>
      </left>
      <right/>
      <top/>
      <bottom/>
      <diagonal/>
    </border>
    <border>
      <left/>
      <right/>
      <top/>
      <bottom style="thin">
        <color theme="0"/>
      </bottom>
      <diagonal/>
    </border>
    <border>
      <left/>
      <right/>
      <top style="thin">
        <color theme="0"/>
      </top>
      <bottom/>
      <diagonal/>
    </border>
    <border>
      <left/>
      <right/>
      <top style="double">
        <color theme="0"/>
      </top>
      <bottom/>
      <diagonal/>
    </border>
    <border>
      <left/>
      <right/>
      <top style="thin">
        <color theme="0" tint="-0.24994659260841701"/>
      </top>
      <bottom style="thin">
        <color theme="0" tint="-0.24994659260841701"/>
      </bottom>
      <diagonal/>
    </border>
    <border>
      <left/>
      <right/>
      <top style="thin">
        <color theme="0"/>
      </top>
      <bottom style="thin">
        <color theme="0"/>
      </bottom>
      <diagonal/>
    </border>
    <border>
      <left style="thin">
        <color theme="0" tint="-0.34998626667073579"/>
      </left>
      <right/>
      <top/>
      <bottom/>
      <diagonal/>
    </border>
    <border>
      <left style="thin">
        <color theme="0" tint="-0.34998626667073579"/>
      </left>
      <right style="thin">
        <color theme="0" tint="-0.34998626667073579"/>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style="thin">
        <color theme="0" tint="-0.34998626667073579"/>
      </left>
      <right/>
      <top style="thin">
        <color theme="0" tint="-0.499984740745262"/>
      </top>
      <bottom style="thin">
        <color theme="0" tint="-0.499984740745262"/>
      </bottom>
      <diagonal/>
    </border>
    <border>
      <left style="thin">
        <color theme="0"/>
      </left>
      <right/>
      <top style="thin">
        <color theme="0" tint="-0.499984740745262"/>
      </top>
      <bottom style="thin">
        <color theme="0" tint="-0.499984740745262"/>
      </bottom>
      <diagonal/>
    </border>
    <border>
      <left/>
      <right style="thin">
        <color theme="0" tint="-0.34998626667073579"/>
      </right>
      <top style="thin">
        <color theme="0" tint="-0.499984740745262"/>
      </top>
      <bottom style="thin">
        <color theme="0" tint="-0.499984740745262"/>
      </bottom>
      <diagonal/>
    </border>
    <border>
      <left style="thin">
        <color theme="0"/>
      </left>
      <right/>
      <top style="thin">
        <color theme="0" tint="-0.499984740745262"/>
      </top>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style="thin">
        <color theme="0" tint="-0.34998626667073579"/>
      </left>
      <right style="thin">
        <color theme="0"/>
      </right>
      <top style="thin">
        <color theme="0" tint="-0.499984740745262"/>
      </top>
      <bottom style="thin">
        <color theme="0" tint="-0.499984740745262"/>
      </bottom>
      <diagonal/>
    </border>
    <border>
      <left style="thin">
        <color theme="0"/>
      </left>
      <right style="thin">
        <color theme="0" tint="-0.34998626667073579"/>
      </right>
      <top style="thin">
        <color theme="0" tint="-0.499984740745262"/>
      </top>
      <bottom style="thin">
        <color theme="0" tint="-0.499984740745262"/>
      </bottom>
      <diagonal/>
    </border>
    <border>
      <left style="thin">
        <color theme="0"/>
      </left>
      <right/>
      <top/>
      <bottom/>
      <diagonal/>
    </border>
    <border>
      <left style="thin">
        <color theme="0"/>
      </left>
      <right/>
      <top style="double">
        <color theme="0"/>
      </top>
      <bottom/>
      <diagonal/>
    </border>
    <border>
      <left style="thin">
        <color theme="0"/>
      </left>
      <right style="thin">
        <color theme="0"/>
      </right>
      <top style="double">
        <color theme="0"/>
      </top>
      <bottom/>
      <diagonal/>
    </border>
    <border>
      <left style="thin">
        <color theme="0"/>
      </left>
      <right/>
      <top/>
      <bottom style="thin">
        <color theme="0"/>
      </bottom>
      <diagonal/>
    </border>
    <border>
      <left style="thin">
        <color theme="0"/>
      </left>
      <right style="thin">
        <color theme="0"/>
      </right>
      <top/>
      <bottom style="double">
        <color theme="0"/>
      </bottom>
      <diagonal/>
    </border>
    <border>
      <left style="thin">
        <color theme="0"/>
      </left>
      <right/>
      <top/>
      <bottom style="double">
        <color theme="0"/>
      </bottom>
      <diagonal/>
    </border>
    <border>
      <left/>
      <right style="thin">
        <color theme="0"/>
      </right>
      <top/>
      <bottom style="double">
        <color theme="0"/>
      </bottom>
      <diagonal/>
    </border>
    <border>
      <left/>
      <right style="thin">
        <color theme="0"/>
      </right>
      <top/>
      <bottom style="thin">
        <color theme="0"/>
      </bottom>
      <diagonal/>
    </border>
    <border>
      <left style="thin">
        <color theme="0"/>
      </left>
      <right style="thin">
        <color theme="0"/>
      </right>
      <top style="thin">
        <color theme="0" tint="-0.499984740745262"/>
      </top>
      <bottom/>
      <diagonal/>
    </border>
    <border>
      <left style="thin">
        <color theme="0"/>
      </left>
      <right/>
      <top/>
      <bottom style="thin">
        <color theme="0" tint="-0.499984740745262"/>
      </bottom>
      <diagonal/>
    </border>
    <border>
      <left/>
      <right style="thin">
        <color theme="0"/>
      </right>
      <top/>
      <bottom style="thin">
        <color theme="0" tint="-0.499984740745262"/>
      </bottom>
      <diagonal/>
    </border>
    <border>
      <left style="thin">
        <color theme="0"/>
      </left>
      <right style="thin">
        <color theme="0"/>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right>
      <top/>
      <bottom/>
      <diagonal/>
    </border>
    <border>
      <left style="thin">
        <color theme="0"/>
      </left>
      <right style="thin">
        <color theme="0" tint="-0.499984740745262"/>
      </right>
      <top style="thin">
        <color theme="0" tint="-0.499984740745262"/>
      </top>
      <bottom/>
      <diagonal/>
    </border>
    <border>
      <left style="thin">
        <color theme="0"/>
      </left>
      <right style="thin">
        <color theme="0" tint="-0.499984740745262"/>
      </right>
      <top/>
      <bottom style="thin">
        <color theme="0" tint="-0.499984740745262"/>
      </bottom>
      <diagonal/>
    </border>
    <border>
      <left style="thin">
        <color theme="0" tint="-0.499984740745262"/>
      </left>
      <right style="thin">
        <color theme="0"/>
      </right>
      <top style="thin">
        <color theme="0" tint="-0.499984740745262"/>
      </top>
      <bottom/>
      <diagonal/>
    </border>
    <border>
      <left style="thin">
        <color theme="0" tint="-0.499984740745262"/>
      </left>
      <right style="thin">
        <color theme="0"/>
      </right>
      <top/>
      <bottom style="thin">
        <color theme="0" tint="-0.499984740745262"/>
      </bottom>
      <diagonal/>
    </border>
    <border>
      <left style="thin">
        <color theme="0" tint="-0.34998626667073579"/>
      </left>
      <right style="thin">
        <color theme="0" tint="-0.34998626667073579"/>
      </right>
      <top/>
      <bottom style="thin">
        <color theme="0" tint="-0.499984740745262"/>
      </bottom>
      <diagonal/>
    </border>
    <border>
      <left/>
      <right/>
      <top style="thin">
        <color theme="0" tint="-0.24994659260841701"/>
      </top>
      <bottom/>
      <diagonal/>
    </border>
    <border>
      <left style="thin">
        <color rgb="FF0000FF"/>
      </left>
      <right style="thin">
        <color rgb="FF0000FF"/>
      </right>
      <top style="thin">
        <color rgb="FF0000FF"/>
      </top>
      <bottom style="thin">
        <color rgb="FF0000FF"/>
      </bottom>
      <diagonal/>
    </border>
    <border>
      <left style="thin">
        <color rgb="FFC00000"/>
      </left>
      <right style="thin">
        <color rgb="FFC00000"/>
      </right>
      <top style="thin">
        <color rgb="FFC00000"/>
      </top>
      <bottom style="thin">
        <color rgb="FFC00000"/>
      </bottom>
      <diagonal/>
    </border>
    <border>
      <left/>
      <right/>
      <top style="thin">
        <color theme="0" tint="-0.34998626667073579"/>
      </top>
      <bottom style="thin">
        <color theme="0" tint="-0.34998626667073579"/>
      </bottom>
      <diagonal/>
    </border>
    <border>
      <left/>
      <right/>
      <top style="thin">
        <color theme="0" tint="-0.34998626667073579"/>
      </top>
      <bottom style="thin">
        <color theme="0" tint="-0.499984740745262"/>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top style="thin">
        <color theme="0" tint="-0.499984740745262"/>
      </top>
      <bottom/>
      <diagonal/>
    </border>
    <border>
      <left style="thin">
        <color theme="0" tint="-0.24994659260841701"/>
      </left>
      <right/>
      <top/>
      <bottom/>
      <diagonal/>
    </border>
    <border>
      <left style="thin">
        <color theme="0" tint="-0.24994659260841701"/>
      </left>
      <right/>
      <top/>
      <bottom style="thin">
        <color theme="0" tint="-0.499984740745262"/>
      </bottom>
      <diagonal/>
    </border>
    <border>
      <left style="thin">
        <color rgb="FFFF0000"/>
      </left>
      <right/>
      <top/>
      <bottom style="thin">
        <color theme="0" tint="-0.499984740745262"/>
      </bottom>
      <diagonal/>
    </border>
    <border>
      <left style="thin">
        <color rgb="FFFF0000"/>
      </left>
      <right/>
      <top/>
      <bottom/>
      <diagonal/>
    </border>
    <border>
      <left style="thin">
        <color theme="0"/>
      </left>
      <right/>
      <top style="thin">
        <color theme="0"/>
      </top>
      <bottom/>
      <diagonal/>
    </border>
    <border>
      <left/>
      <right style="thin">
        <color theme="0"/>
      </right>
      <top style="thin">
        <color theme="0" tint="-0.14996795556505021"/>
      </top>
      <bottom style="thin">
        <color theme="0"/>
      </bottom>
      <diagonal/>
    </border>
    <border>
      <left style="thin">
        <color theme="0"/>
      </left>
      <right style="thin">
        <color theme="0"/>
      </right>
      <top style="thin">
        <color theme="0" tint="-0.14996795556505021"/>
      </top>
      <bottom style="thin">
        <color theme="0"/>
      </bottom>
      <diagonal/>
    </border>
    <border>
      <left style="thin">
        <color theme="0"/>
      </left>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bottom style="thin">
        <color theme="0"/>
      </bottom>
      <diagonal/>
    </border>
    <border>
      <left style="thin">
        <color theme="0"/>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bottom style="thin">
        <color theme="0"/>
      </bottom>
      <diagonal/>
    </border>
    <border>
      <left style="thin">
        <color indexed="9"/>
      </left>
      <right style="thin">
        <color indexed="9"/>
      </right>
      <top/>
      <bottom/>
      <diagonal/>
    </border>
    <border>
      <left style="thin">
        <color indexed="9"/>
      </left>
      <right/>
      <top style="thin">
        <color theme="0"/>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top/>
      <bottom/>
      <diagonal/>
    </border>
    <border>
      <left style="thin">
        <color theme="0" tint="-0.499984740745262"/>
      </left>
      <right/>
      <top style="thin">
        <color theme="0" tint="-0.24994659260841701"/>
      </top>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34998626667073579"/>
      </bottom>
      <diagonal/>
    </border>
    <border>
      <left/>
      <right/>
      <top style="thin">
        <color theme="0" tint="-0.14996795556505021"/>
      </top>
      <bottom/>
      <diagonal/>
    </border>
    <border>
      <left/>
      <right/>
      <top/>
      <bottom style="thin">
        <color theme="0" tint="-0.1499679555650502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499984740745262"/>
      </bottom>
      <diagonal/>
    </border>
    <border>
      <left/>
      <right/>
      <top style="thin">
        <color theme="0" tint="-0.499984740745262"/>
      </top>
      <bottom style="thin">
        <color theme="0" tint="-0.14996795556505021"/>
      </bottom>
      <diagonal/>
    </border>
    <border>
      <left/>
      <right style="thin">
        <color theme="0" tint="-0.499984740745262"/>
      </right>
      <top style="thin">
        <color indexed="64"/>
      </top>
      <bottom/>
      <diagonal/>
    </border>
    <border>
      <left style="thin">
        <color theme="0" tint="-0.34998626667073579"/>
      </left>
      <right style="thin">
        <color theme="0" tint="-0.499984740745262"/>
      </right>
      <top/>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499984740745262"/>
      </right>
      <top/>
      <bottom style="thin">
        <color theme="0" tint="-0.499984740745262"/>
      </bottom>
      <diagonal/>
    </border>
    <border>
      <left style="thin">
        <color theme="0" tint="-0.34998626667073579"/>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style="thin">
        <color theme="0" tint="-0.24994659260841701"/>
      </top>
      <bottom style="thin">
        <color theme="0" tint="-0.24994659260841701"/>
      </bottom>
      <diagonal/>
    </border>
    <border>
      <left style="thin">
        <color theme="0" tint="-0.34998626667073579"/>
      </left>
      <right style="thin">
        <color theme="0" tint="-0.499984740745262"/>
      </right>
      <top style="thin">
        <color theme="0" tint="-0.24994659260841701"/>
      </top>
      <bottom style="thin">
        <color theme="0" tint="-0.24994659260841701"/>
      </bottom>
      <diagonal/>
    </border>
    <border>
      <left/>
      <right style="thin">
        <color theme="0" tint="-0.499984740745262"/>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style="thin">
        <color theme="0" tint="-0.499984740745262"/>
      </right>
      <top style="thin">
        <color theme="0" tint="-0.34998626667073579"/>
      </top>
      <bottom/>
      <diagonal/>
    </border>
    <border>
      <left/>
      <right style="thin">
        <color theme="0" tint="-0.499984740745262"/>
      </right>
      <top style="thin">
        <color theme="0" tint="-0.34998626667073579"/>
      </top>
      <bottom/>
      <diagonal/>
    </border>
    <border>
      <left style="thin">
        <color indexed="9"/>
      </left>
      <right style="thin">
        <color theme="0" tint="-0.499984740745262"/>
      </right>
      <top/>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right/>
      <top/>
      <bottom style="thin">
        <color theme="0" tint="-0.24994659260841701"/>
      </bottom>
      <diagonal/>
    </border>
    <border>
      <left/>
      <right/>
      <top/>
      <bottom style="thin">
        <color theme="0" tint="-0.34998626667073579"/>
      </bottom>
      <diagonal/>
    </border>
    <border>
      <left style="thin">
        <color theme="0" tint="-0.34998626667073579"/>
      </left>
      <right style="thin">
        <color theme="0" tint="-0.499984740745262"/>
      </right>
      <top/>
      <bottom style="thin">
        <color theme="0" tint="-0.24994659260841701"/>
      </bottom>
      <diagonal/>
    </border>
    <border>
      <left style="thin">
        <color theme="0" tint="-0.34998626667073579"/>
      </left>
      <right style="thin">
        <color theme="0" tint="-0.499984740745262"/>
      </right>
      <top/>
      <bottom style="thin">
        <color theme="0" tint="-0.34998626667073579"/>
      </bottom>
      <diagonal/>
    </border>
    <border>
      <left/>
      <right style="thin">
        <color theme="0" tint="-0.499984740745262"/>
      </right>
      <top style="thin">
        <color theme="0" tint="-0.24994659260841701"/>
      </top>
      <bottom/>
      <diagonal/>
    </border>
    <border>
      <left/>
      <right style="thin">
        <color theme="0" tint="-0.499984740745262"/>
      </right>
      <top/>
      <bottom style="thin">
        <color theme="0" tint="-0.34998626667073579"/>
      </bottom>
      <diagonal/>
    </border>
    <border>
      <left style="thin">
        <color theme="0" tint="-0.24994659260841701"/>
      </left>
      <right style="thin">
        <color theme="0" tint="-0.499984740745262"/>
      </right>
      <top/>
      <bottom/>
      <diagonal/>
    </border>
    <border>
      <left style="thin">
        <color theme="0" tint="-0.24994659260841701"/>
      </left>
      <right style="thin">
        <color theme="0" tint="-0.499984740745262"/>
      </right>
      <top style="thin">
        <color theme="0" tint="-0.24994659260841701"/>
      </top>
      <bottom style="thin">
        <color theme="0" tint="-0.24994659260841701"/>
      </bottom>
      <diagonal/>
    </border>
    <border>
      <left style="thin">
        <color theme="0" tint="-0.24994659260841701"/>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indexed="9"/>
      </bottom>
      <diagonal/>
    </border>
    <border>
      <left style="thin">
        <color theme="0" tint="-0.34998626667073579"/>
      </left>
      <right style="thin">
        <color theme="0" tint="-0.499984740745262"/>
      </right>
      <top style="thin">
        <color theme="0" tint="-0.24994659260841701"/>
      </top>
      <bottom/>
      <diagonal/>
    </border>
    <border>
      <left/>
      <right/>
      <top style="thin">
        <color theme="0" tint="-0.24994659260841701"/>
      </top>
      <bottom style="thin">
        <color theme="0" tint="-0.34998626667073579"/>
      </bottom>
      <diagonal/>
    </border>
    <border>
      <left style="thin">
        <color theme="0" tint="-0.34998626667073579"/>
      </left>
      <right style="thin">
        <color theme="0" tint="-0.499984740745262"/>
      </right>
      <top style="thin">
        <color theme="0" tint="-0.24994659260841701"/>
      </top>
      <bottom style="thin">
        <color theme="0" tint="-0.34998626667073579"/>
      </bottom>
      <diagonal/>
    </border>
    <border>
      <left/>
      <right style="thin">
        <color indexed="12"/>
      </right>
      <top/>
      <bottom/>
      <diagonal/>
    </border>
    <border>
      <left style="thin">
        <color theme="0" tint="-0.499984740745262"/>
      </left>
      <right style="thin">
        <color theme="0" tint="-0.34998626667073579"/>
      </right>
      <top style="thin">
        <color theme="0" tint="-0.499984740745262"/>
      </top>
      <bottom/>
      <diagonal/>
    </border>
    <border>
      <left style="thin">
        <color theme="0" tint="-0.499984740745262"/>
      </left>
      <right style="thin">
        <color theme="0" tint="-0.34998626667073579"/>
      </right>
      <top/>
      <bottom style="thin">
        <color theme="0" tint="-0.499984740745262"/>
      </bottom>
      <diagonal/>
    </border>
    <border>
      <left style="thin">
        <color theme="0" tint="-0.499984740745262"/>
      </left>
      <right style="thin">
        <color theme="0" tint="-0.499984740745262"/>
      </right>
      <top style="thin">
        <color theme="0" tint="-0.24994659260841701"/>
      </top>
      <bottom style="thin">
        <color theme="0" tint="-0.499984740745262"/>
      </bottom>
      <diagonal/>
    </border>
    <border>
      <left style="thin">
        <color theme="0" tint="-0.34998626667073579"/>
      </left>
      <right/>
      <top/>
      <bottom style="thin">
        <color theme="0" tint="-0.499984740745262"/>
      </bottom>
      <diagonal/>
    </border>
    <border>
      <left style="thin">
        <color theme="0" tint="-0.499984740745262"/>
      </left>
      <right style="thin">
        <color theme="0" tint="-0.499984740745262"/>
      </right>
      <top style="thin">
        <color theme="0" tint="-0.24994659260841701"/>
      </top>
      <bottom style="thin">
        <color theme="0" tint="-0.34998626667073579"/>
      </bottom>
      <diagonal/>
    </border>
    <border>
      <left style="thin">
        <color theme="0" tint="-0.499984740745262"/>
      </left>
      <right style="thin">
        <color theme="0" tint="-0.24994659260841701"/>
      </right>
      <top style="thin">
        <color theme="0" tint="-0.499984740745262"/>
      </top>
      <bottom style="thin">
        <color theme="0" tint="-0.499984740745262"/>
      </bottom>
      <diagonal/>
    </border>
    <border>
      <left style="thin">
        <color theme="0" tint="-0.499984740745262"/>
      </left>
      <right style="thin">
        <color theme="0"/>
      </right>
      <top/>
      <bottom/>
      <diagonal/>
    </border>
    <border>
      <left style="thin">
        <color theme="0" tint="-0.499984740745262"/>
      </left>
      <right style="thin">
        <color theme="0"/>
      </right>
      <top style="thin">
        <color theme="0"/>
      </top>
      <bottom/>
      <diagonal/>
    </border>
    <border>
      <left/>
      <right style="thin">
        <color theme="0" tint="-0.499984740745262"/>
      </right>
      <top style="thin">
        <color theme="0"/>
      </top>
      <bottom/>
      <diagonal/>
    </border>
    <border>
      <left style="thin">
        <color theme="0" tint="-0.499984740745262"/>
      </left>
      <right style="thin">
        <color theme="0"/>
      </right>
      <top/>
      <bottom style="thin">
        <color theme="0"/>
      </bottom>
      <diagonal/>
    </border>
    <border>
      <left/>
      <right style="thin">
        <color theme="0" tint="-0.499984740745262"/>
      </right>
      <top/>
      <bottom style="thin">
        <color theme="0"/>
      </bottom>
      <diagonal/>
    </border>
    <border>
      <left style="thin">
        <color theme="0" tint="-0.499984740745262"/>
      </left>
      <right style="thin">
        <color theme="0"/>
      </right>
      <top style="double">
        <color theme="0"/>
      </top>
      <bottom/>
      <diagonal/>
    </border>
    <border>
      <left/>
      <right style="thin">
        <color theme="0" tint="-0.499984740745262"/>
      </right>
      <top style="double">
        <color theme="0"/>
      </top>
      <bottom/>
      <diagonal/>
    </border>
    <border>
      <left style="thin">
        <color theme="0" tint="-0.499984740745262"/>
      </left>
      <right/>
      <top style="thin">
        <color theme="0"/>
      </top>
      <bottom style="thin">
        <color theme="0"/>
      </bottom>
      <diagonal/>
    </border>
    <border>
      <left/>
      <right style="thin">
        <color theme="0" tint="-0.499984740745262"/>
      </right>
      <top style="thin">
        <color theme="0"/>
      </top>
      <bottom style="thin">
        <color theme="0"/>
      </bottom>
      <diagonal/>
    </border>
    <border>
      <left style="thin">
        <color theme="0" tint="-0.499984740745262"/>
      </left>
      <right style="thin">
        <color theme="0" tint="-0.499984740745262"/>
      </right>
      <top style="thin">
        <color theme="0"/>
      </top>
      <bottom/>
      <diagonal/>
    </border>
    <border>
      <left style="thin">
        <color theme="0" tint="-0.499984740745262"/>
      </left>
      <right style="thin">
        <color theme="0" tint="-0.499984740745262"/>
      </right>
      <top style="double">
        <color theme="0"/>
      </top>
      <bottom/>
      <diagonal/>
    </border>
    <border>
      <left style="thin">
        <color theme="0" tint="-0.499984740745262"/>
      </left>
      <right style="thin">
        <color theme="0" tint="-0.499984740745262"/>
      </right>
      <top style="thin">
        <color theme="0"/>
      </top>
      <bottom style="thin">
        <color theme="0"/>
      </bottom>
      <diagonal/>
    </border>
    <border>
      <left style="thin">
        <color theme="0" tint="-0.499984740745262"/>
      </left>
      <right style="thin">
        <color indexed="9"/>
      </right>
      <top style="thin">
        <color theme="0" tint="-0.499984740745262"/>
      </top>
      <bottom/>
      <diagonal/>
    </border>
    <border>
      <left style="thin">
        <color indexed="9"/>
      </left>
      <right/>
      <top style="thin">
        <color theme="0" tint="-0.499984740745262"/>
      </top>
      <bottom style="thin">
        <color indexed="9"/>
      </bottom>
      <diagonal/>
    </border>
    <border>
      <left style="thin">
        <color theme="0" tint="-0.499984740745262"/>
      </left>
      <right style="thin">
        <color indexed="9"/>
      </right>
      <top/>
      <bottom/>
      <diagonal/>
    </border>
    <border>
      <left style="thin">
        <color theme="0" tint="-0.499984740745262"/>
      </left>
      <right style="thin">
        <color indexed="9"/>
      </right>
      <top/>
      <bottom style="thin">
        <color theme="0" tint="-0.499984740745262"/>
      </bottom>
      <diagonal/>
    </border>
    <border>
      <left style="thin">
        <color indexed="9"/>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indexed="9"/>
      </bottom>
      <diagonal/>
    </border>
    <border>
      <left style="thin">
        <color theme="0" tint="-0.499984740745262"/>
      </left>
      <right style="thin">
        <color theme="0" tint="-0.499984740745262"/>
      </right>
      <top style="thin">
        <color indexed="9"/>
      </top>
      <bottom/>
      <diagonal/>
    </border>
    <border>
      <left style="thin">
        <color indexed="9"/>
      </left>
      <right style="thin">
        <color indexed="9"/>
      </right>
      <top/>
      <bottom style="thin">
        <color theme="0" tint="-0.499984740745262"/>
      </bottom>
      <diagonal/>
    </border>
    <border>
      <left style="thin">
        <color indexed="9"/>
      </left>
      <right style="thin">
        <color theme="0" tint="-0.499984740745262"/>
      </right>
      <top/>
      <bottom style="thin">
        <color theme="0" tint="-0.499984740745262"/>
      </bottom>
      <diagonal/>
    </border>
    <border>
      <left style="thin">
        <color indexed="9"/>
      </left>
      <right/>
      <top style="thin">
        <color theme="0" tint="-0.499984740745262"/>
      </top>
      <bottom style="thin">
        <color theme="0"/>
      </bottom>
      <diagonal/>
    </border>
    <border>
      <left/>
      <right style="thin">
        <color theme="0" tint="-0.499984740745262"/>
      </right>
      <top style="thin">
        <color theme="0" tint="-0.499984740745262"/>
      </top>
      <bottom style="thin">
        <color theme="0"/>
      </bottom>
      <diagonal/>
    </border>
    <border>
      <left style="thin">
        <color theme="0" tint="-0.499984740745262"/>
      </left>
      <right style="thin">
        <color theme="0" tint="-0.499984740745262"/>
      </right>
      <top style="thin">
        <color theme="0" tint="-0.499984740745262"/>
      </top>
      <bottom style="thin">
        <color theme="0"/>
      </bottom>
      <diagonal/>
    </border>
    <border>
      <left style="thin">
        <color theme="0" tint="-0.499984740745262"/>
      </left>
      <right/>
      <top style="thin">
        <color theme="0" tint="-0.499984740745262"/>
      </top>
      <bottom style="thin">
        <color theme="0"/>
      </bottom>
      <diagonal/>
    </border>
    <border>
      <left/>
      <right/>
      <top style="thin">
        <color theme="0" tint="-0.499984740745262"/>
      </top>
      <bottom style="thin">
        <color indexed="9"/>
      </bottom>
      <diagonal/>
    </border>
    <border>
      <left style="thin">
        <color theme="0" tint="-0.499984740745262"/>
      </left>
      <right/>
      <top style="thin">
        <color indexed="9"/>
      </top>
      <bottom/>
      <diagonal/>
    </border>
    <border>
      <left/>
      <right/>
      <top style="thin">
        <color indexed="9"/>
      </top>
      <bottom/>
      <diagonal/>
    </border>
    <border>
      <left/>
      <right style="thin">
        <color theme="0" tint="-0.499984740745262"/>
      </right>
      <top style="thin">
        <color indexed="9"/>
      </top>
      <bottom/>
      <diagonal/>
    </border>
    <border>
      <left style="thin">
        <color theme="0"/>
      </left>
      <right/>
      <top style="thin">
        <color theme="0" tint="-0.499984740745262"/>
      </top>
      <bottom style="thin">
        <color indexed="9"/>
      </bottom>
      <diagonal/>
    </border>
    <border>
      <left style="thin">
        <color theme="0" tint="-0.499984740745262"/>
      </left>
      <right style="thin">
        <color theme="0"/>
      </right>
      <top/>
      <bottom style="thin">
        <color indexed="9"/>
      </bottom>
      <diagonal/>
    </border>
    <border>
      <left style="thin">
        <color theme="0"/>
      </left>
      <right/>
      <top style="thin">
        <color indexed="9"/>
      </top>
      <bottom style="thin">
        <color indexed="9"/>
      </bottom>
      <diagonal/>
    </border>
    <border>
      <left/>
      <right style="thin">
        <color theme="0" tint="-0.499984740745262"/>
      </right>
      <top style="thin">
        <color indexed="9"/>
      </top>
      <bottom style="thin">
        <color indexed="9"/>
      </bottom>
      <diagonal/>
    </border>
    <border>
      <left style="thin">
        <color theme="0" tint="-0.499984740745262"/>
      </left>
      <right style="thin">
        <color theme="0" tint="-0.499984740745262"/>
      </right>
      <top style="thin">
        <color theme="0"/>
      </top>
      <bottom style="thin">
        <color indexed="9"/>
      </bottom>
      <diagonal/>
    </border>
    <border>
      <left/>
      <right/>
      <top style="thin">
        <color theme="0" tint="-0.499984740745262"/>
      </top>
      <bottom style="thin">
        <color theme="0"/>
      </bottom>
      <diagonal/>
    </border>
    <border>
      <left style="thin">
        <color theme="0" tint="-0.499984740745262"/>
      </left>
      <right/>
      <top style="thin">
        <color theme="0" tint="-0.34998626667073579"/>
      </top>
      <bottom style="thin">
        <color theme="0" tint="-0.499984740745262"/>
      </bottom>
      <diagonal/>
    </border>
    <border>
      <left/>
      <right style="thin">
        <color theme="0" tint="-0.499984740745262"/>
      </right>
      <top style="thin">
        <color theme="0" tint="-0.34998626667073579"/>
      </top>
      <bottom style="thin">
        <color theme="0" tint="-0.499984740745262"/>
      </bottom>
      <diagonal/>
    </border>
    <border>
      <left style="thin">
        <color theme="0" tint="-0.499984740745262"/>
      </left>
      <right/>
      <top style="thin">
        <color theme="0"/>
      </top>
      <bottom style="thin">
        <color theme="0" tint="-0.499984740745262"/>
      </bottom>
      <diagonal/>
    </border>
    <border>
      <left/>
      <right/>
      <top style="thin">
        <color theme="0"/>
      </top>
      <bottom style="thin">
        <color theme="0" tint="-0.499984740745262"/>
      </bottom>
      <diagonal/>
    </border>
    <border>
      <left/>
      <right style="thin">
        <color theme="0" tint="-0.499984740745262"/>
      </right>
      <top style="thin">
        <color theme="0"/>
      </top>
      <bottom style="thin">
        <color theme="0" tint="-0.499984740745262"/>
      </bottom>
      <diagonal/>
    </border>
    <border>
      <left style="thin">
        <color theme="0" tint="-0.499984740745262"/>
      </left>
      <right style="thin">
        <color theme="0" tint="-0.499984740745262"/>
      </right>
      <top style="thin">
        <color theme="0"/>
      </top>
      <bottom style="thin">
        <color theme="0" tint="-0.499984740745262"/>
      </bottom>
      <diagonal/>
    </border>
    <border>
      <left style="thin">
        <color indexed="9"/>
      </left>
      <right/>
      <top style="thin">
        <color theme="0" tint="-0.499984740745262"/>
      </top>
      <bottom/>
      <diagonal/>
    </border>
    <border>
      <left style="thin">
        <color theme="0" tint="-0.499984740745262"/>
      </left>
      <right/>
      <top style="thin">
        <color theme="0"/>
      </top>
      <bottom/>
      <diagonal/>
    </border>
    <border>
      <left style="thin">
        <color theme="0" tint="-0.499984740745262"/>
      </left>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style="thin">
        <color theme="0" tint="-0.499984740745262"/>
      </left>
      <right style="thin">
        <color theme="0"/>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tint="-0.499984740745262"/>
      </bottom>
      <diagonal/>
    </border>
    <border>
      <left/>
      <right/>
      <top style="double">
        <color theme="0" tint="-0.499984740745262"/>
      </top>
      <bottom/>
      <diagonal/>
    </border>
    <border>
      <left/>
      <right/>
      <top/>
      <bottom style="double">
        <color theme="0" tint="-0.499984740745262"/>
      </bottom>
      <diagonal/>
    </border>
    <border>
      <left style="thin">
        <color theme="0"/>
      </left>
      <right style="thin">
        <color theme="0" tint="-0.24994659260841701"/>
      </right>
      <top style="thin">
        <color theme="0" tint="-0.499984740745262"/>
      </top>
      <bottom/>
      <diagonal/>
    </border>
    <border>
      <left style="thin">
        <color theme="0" tint="-0.24994659260841701"/>
      </left>
      <right style="thin">
        <color theme="0"/>
      </right>
      <top style="thin">
        <color theme="0" tint="-0.499984740745262"/>
      </top>
      <bottom/>
      <diagonal/>
    </border>
    <border>
      <left style="thin">
        <color theme="0" tint="-0.24994659260841701"/>
      </left>
      <right style="thin">
        <color theme="0" tint="-0.499984740745262"/>
      </right>
      <top/>
      <bottom style="thin">
        <color theme="0"/>
      </bottom>
      <diagonal/>
    </border>
    <border>
      <left style="thin">
        <color theme="0"/>
      </left>
      <right/>
      <top style="thin">
        <color theme="0"/>
      </top>
      <bottom style="thin">
        <color theme="0" tint="-0.499984740745262"/>
      </bottom>
      <diagonal/>
    </border>
    <border>
      <left style="thin">
        <color theme="0"/>
      </left>
      <right style="thin">
        <color theme="0" tint="-0.24994659260841701"/>
      </right>
      <top style="thin">
        <color theme="0"/>
      </top>
      <bottom style="thin">
        <color theme="0" tint="-0.499984740745262"/>
      </bottom>
      <diagonal/>
    </border>
    <border>
      <left style="thin">
        <color theme="0" tint="-0.24994659260841701"/>
      </left>
      <right style="thin">
        <color theme="0"/>
      </right>
      <top style="thin">
        <color theme="0"/>
      </top>
      <bottom style="thin">
        <color theme="0" tint="-0.499984740745262"/>
      </bottom>
      <diagonal/>
    </border>
    <border>
      <left style="thin">
        <color theme="0" tint="-0.24994659260841701"/>
      </left>
      <right style="thin">
        <color theme="0" tint="-0.499984740745262"/>
      </right>
      <top style="thin">
        <color theme="0"/>
      </top>
      <bottom style="thin">
        <color theme="0" tint="-0.499984740745262"/>
      </bottom>
      <diagonal/>
    </border>
    <border>
      <left style="thin">
        <color theme="0" tint="-0.24994659260841701"/>
      </left>
      <right style="thin">
        <color theme="0" tint="-0.499984740745262"/>
      </right>
      <top/>
      <bottom style="thin">
        <color theme="0" tint="-0.499984740745262"/>
      </bottom>
      <diagonal/>
    </border>
    <border>
      <left style="thin">
        <color theme="0" tint="-0.24994659260841701"/>
      </left>
      <right style="thin">
        <color theme="0" tint="-0.499984740745262"/>
      </right>
      <top style="thin">
        <color theme="0" tint="-0.34998626667073579"/>
      </top>
      <bottom style="thin">
        <color theme="0" tint="-0.499984740745262"/>
      </bottom>
      <diagonal/>
    </border>
    <border>
      <left style="thin">
        <color theme="0" tint="-0.499984740745262"/>
      </left>
      <right style="thin">
        <color theme="0" tint="-0.34998626667073579"/>
      </right>
      <top/>
      <bottom/>
      <diagonal/>
    </border>
    <border>
      <left style="thin">
        <color theme="0" tint="-0.34998626667073579"/>
      </left>
      <right/>
      <top style="thin">
        <color theme="0" tint="-0.34998626667073579"/>
      </top>
      <bottom style="thin">
        <color theme="0" tint="-0.499984740745262"/>
      </bottom>
      <diagonal/>
    </border>
    <border>
      <left style="thin">
        <color theme="0" tint="-0.499984740745262"/>
      </left>
      <right/>
      <top style="thin">
        <color theme="0" tint="-0.499984740745262"/>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style="thin">
        <color theme="0" tint="-0.24994659260841701"/>
      </left>
      <right style="thin">
        <color theme="0" tint="-0.499984740745262"/>
      </right>
      <top style="thin">
        <color theme="0" tint="-0.499984740745262"/>
      </top>
      <bottom style="thin">
        <color theme="0" tint="-0.34998626667073579"/>
      </bottom>
      <diagonal/>
    </border>
    <border>
      <left/>
      <right style="thin">
        <color theme="0" tint="-0.24994659260841701"/>
      </right>
      <top style="thin">
        <color theme="0" tint="-0.499984740745262"/>
      </top>
      <bottom style="thin">
        <color theme="0" tint="-0.34998626667073579"/>
      </bottom>
      <diagonal/>
    </border>
    <border>
      <left/>
      <right style="thin">
        <color theme="0" tint="-0.24994659260841701"/>
      </right>
      <top style="thin">
        <color theme="0" tint="-0.34998626667073579"/>
      </top>
      <bottom style="thin">
        <color theme="0" tint="-0.499984740745262"/>
      </bottom>
      <diagonal/>
    </border>
    <border>
      <left style="thin">
        <color theme="0"/>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right>
      <top style="thin">
        <color theme="0" tint="-0.499984740745262"/>
      </top>
      <bottom style="thin">
        <color theme="0" tint="-0.499984740745262"/>
      </bottom>
      <diagonal/>
    </border>
    <border>
      <left/>
      <right style="thin">
        <color theme="0"/>
      </right>
      <top style="thin">
        <color theme="0" tint="-0.499984740745262"/>
      </top>
      <bottom style="thin">
        <color theme="0" tint="-0.499984740745262"/>
      </bottom>
      <diagonal/>
    </border>
    <border>
      <left style="thin">
        <color theme="0"/>
      </left>
      <right style="thin">
        <color theme="0" tint="-0.24994659260841701"/>
      </right>
      <top style="thin">
        <color theme="0" tint="-0.499984740745262"/>
      </top>
      <bottom style="thin">
        <color indexed="9"/>
      </bottom>
      <diagonal/>
    </border>
    <border>
      <left style="thin">
        <color theme="0" tint="-0.24994659260841701"/>
      </left>
      <right style="thin">
        <color theme="0"/>
      </right>
      <top style="thin">
        <color theme="0" tint="-0.499984740745262"/>
      </top>
      <bottom style="thin">
        <color indexed="9"/>
      </bottom>
      <diagonal/>
    </border>
    <border>
      <left/>
      <right style="thin">
        <color theme="0" tint="-0.24994659260841701"/>
      </right>
      <top style="thin">
        <color theme="0" tint="-0.499984740745262"/>
      </top>
      <bottom style="thin">
        <color indexed="9"/>
      </bottom>
      <diagonal/>
    </border>
    <border>
      <left style="thin">
        <color theme="0" tint="-0.24994659260841701"/>
      </left>
      <right/>
      <top style="thin">
        <color theme="0" tint="-0.499984740745262"/>
      </top>
      <bottom style="thin">
        <color indexed="9"/>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style="thin">
        <color indexed="64"/>
      </right>
      <top/>
      <bottom/>
      <diagonal/>
    </border>
    <border>
      <left style="thin">
        <color theme="0" tint="-0.499984740745262"/>
      </left>
      <right/>
      <top style="thin">
        <color theme="0" tint="-0.34998626667073579"/>
      </top>
      <bottom/>
      <diagonal/>
    </border>
    <border>
      <left style="thin">
        <color theme="0" tint="-0.499984740745262"/>
      </left>
      <right/>
      <top/>
      <bottom style="thin">
        <color theme="0" tint="-0.24994659260841701"/>
      </bottom>
      <diagonal/>
    </border>
    <border>
      <left style="thin">
        <color theme="0"/>
      </left>
      <right style="thin">
        <color theme="0" tint="-0.499984740745262"/>
      </right>
      <top/>
      <bottom style="thin">
        <color theme="0"/>
      </bottom>
      <diagonal/>
    </border>
    <border>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bottom style="thin">
        <color theme="0" tint="-0.34998626667073579"/>
      </bottom>
      <diagonal/>
    </border>
    <border>
      <left style="thin">
        <color theme="0" tint="-0.499984740745262"/>
      </left>
      <right/>
      <top/>
      <bottom style="thin">
        <color theme="0" tint="-0.34998626667073579"/>
      </bottom>
      <diagonal/>
    </border>
    <border>
      <left style="thin">
        <color theme="0" tint="-0.499984740745262"/>
      </left>
      <right style="thin">
        <color theme="0" tint="-0.34998626667073579"/>
      </right>
      <top/>
      <bottom style="thin">
        <color theme="0" tint="-0.34998626667073579"/>
      </bottom>
      <diagonal/>
    </border>
    <border>
      <left style="thin">
        <color theme="0" tint="-0.499984740745262"/>
      </left>
      <right/>
      <top style="thin">
        <color theme="0" tint="-0.24994659260841701"/>
      </top>
      <bottom style="thin">
        <color theme="0" tint="-0.34998626667073579"/>
      </bottom>
      <diagonal/>
    </border>
    <border>
      <left style="thin">
        <color indexed="9"/>
      </left>
      <right/>
      <top style="thin">
        <color theme="0" tint="-0.499984740745262"/>
      </top>
      <bottom style="thin">
        <color theme="0" tint="-0.499984740745262"/>
      </bottom>
      <diagonal/>
    </border>
    <border>
      <left style="thin">
        <color theme="0" tint="-0.499984740745262"/>
      </left>
      <right/>
      <top style="thin">
        <color theme="0" tint="-0.14996795556505021"/>
      </top>
      <bottom style="thin">
        <color theme="0" tint="-0.14996795556505021"/>
      </bottom>
      <diagonal/>
    </border>
    <border>
      <left/>
      <right style="thin">
        <color theme="0" tint="-0.499984740745262"/>
      </right>
      <top style="thin">
        <color theme="0" tint="-0.14996795556505021"/>
      </top>
      <bottom style="thin">
        <color theme="0" tint="-0.14996795556505021"/>
      </bottom>
      <diagonal/>
    </border>
    <border>
      <left/>
      <right style="thin">
        <color theme="0" tint="-0.499984740745262"/>
      </right>
      <top/>
      <bottom style="double">
        <color theme="0"/>
      </bottom>
      <diagonal/>
    </border>
    <border>
      <left style="thin">
        <color theme="0" tint="-0.499984740745262"/>
      </left>
      <right/>
      <top style="thin">
        <color theme="0" tint="-0.14996795556505021"/>
      </top>
      <bottom/>
      <diagonal/>
    </border>
    <border>
      <left/>
      <right style="thin">
        <color theme="0" tint="-0.499984740745262"/>
      </right>
      <top style="thin">
        <color theme="0" tint="-0.14996795556505021"/>
      </top>
      <bottom/>
      <diagonal/>
    </border>
    <border>
      <left style="thin">
        <color theme="0" tint="-0.499984740745262"/>
      </left>
      <right/>
      <top/>
      <bottom style="thin">
        <color theme="0" tint="-0.14996795556505021"/>
      </bottom>
      <diagonal/>
    </border>
    <border>
      <left/>
      <right style="thin">
        <color theme="0" tint="-0.499984740745262"/>
      </right>
      <top/>
      <bottom style="thin">
        <color theme="0" tint="-0.14996795556505021"/>
      </bottom>
      <diagonal/>
    </border>
    <border>
      <left style="thin">
        <color theme="0" tint="-0.499984740745262"/>
      </left>
      <right/>
      <top/>
      <bottom style="thin">
        <color theme="0"/>
      </bottom>
      <diagonal/>
    </border>
    <border>
      <left/>
      <right style="thin">
        <color theme="0" tint="-0.499984740745262"/>
      </right>
      <top style="thin">
        <color theme="0" tint="-0.14996795556505021"/>
      </top>
      <bottom style="thin">
        <color theme="0"/>
      </bottom>
      <diagonal/>
    </border>
    <border>
      <left style="thin">
        <color theme="0" tint="-0.499984740745262"/>
      </left>
      <right style="thin">
        <color theme="0"/>
      </right>
      <top style="thin">
        <color indexed="64"/>
      </top>
      <bottom/>
      <diagonal/>
    </border>
    <border>
      <left style="thin">
        <color theme="0" tint="-0.499984740745262"/>
      </left>
      <right style="thin">
        <color theme="0"/>
      </right>
      <top/>
      <bottom style="double">
        <color theme="0"/>
      </bottom>
      <diagonal/>
    </border>
    <border>
      <left/>
      <right style="thin">
        <color theme="0" tint="-0.499984740745262"/>
      </right>
      <top style="thin">
        <color theme="0" tint="-0.499984740745262"/>
      </top>
      <bottom style="thin">
        <color theme="0" tint="-0.14996795556505021"/>
      </bottom>
      <diagonal/>
    </border>
    <border>
      <left style="thin">
        <color theme="0" tint="-0.499984740745262"/>
      </left>
      <right style="thin">
        <color theme="0"/>
      </right>
      <top style="thin">
        <color theme="0" tint="-0.14996795556505021"/>
      </top>
      <bottom style="thin">
        <color theme="0"/>
      </bottom>
      <diagonal/>
    </border>
    <border>
      <left style="thin">
        <color theme="0"/>
      </left>
      <right style="thin">
        <color theme="0"/>
      </right>
      <top style="thin">
        <color indexed="64"/>
      </top>
      <bottom/>
      <diagonal/>
    </border>
    <border>
      <left style="thin">
        <color theme="0" tint="-0.499984740745262"/>
      </left>
      <right/>
      <top style="thin">
        <color theme="0" tint="-0.499984740745262"/>
      </top>
      <bottom style="thin">
        <color theme="0" tint="-0.14996795556505021"/>
      </bottom>
      <diagonal/>
    </border>
    <border>
      <left style="thin">
        <color theme="0"/>
      </left>
      <right style="thin">
        <color theme="0" tint="-0.499984740745262"/>
      </right>
      <top style="thin">
        <color theme="0"/>
      </top>
      <bottom/>
      <diagonal/>
    </border>
    <border>
      <left style="thin">
        <color theme="0" tint="-0.499984740745262"/>
      </left>
      <right style="thin">
        <color theme="0" tint="-0.24994659260841701"/>
      </right>
      <top style="thin">
        <color theme="0" tint="-0.499984740745262"/>
      </top>
      <bottom/>
      <diagonal/>
    </border>
    <border>
      <left style="thin">
        <color theme="0" tint="-0.499984740745262"/>
      </left>
      <right style="thin">
        <color theme="0" tint="-0.24994659260841701"/>
      </right>
      <top/>
      <bottom/>
      <diagonal/>
    </border>
    <border>
      <left style="thin">
        <color rgb="FFFF0000"/>
      </left>
      <right/>
      <top style="thin">
        <color theme="0" tint="-0.34998626667073579"/>
      </top>
      <bottom/>
      <diagonal/>
    </border>
    <border>
      <left style="thin">
        <color theme="0" tint="-0.499984740745262"/>
      </left>
      <right style="thin">
        <color theme="0" tint="-0.499984740745262"/>
      </right>
      <top style="thin">
        <color theme="0" tint="-0.34998626667073579"/>
      </top>
      <bottom/>
      <diagonal/>
    </border>
    <border>
      <left style="thin">
        <color rgb="FFFF0000"/>
      </left>
      <right/>
      <top/>
      <bottom style="thin">
        <color theme="0" tint="-0.34998626667073579"/>
      </bottom>
      <diagonal/>
    </border>
    <border>
      <left style="thin">
        <color theme="0"/>
      </left>
      <right style="thin">
        <color theme="0" tint="-0.499984740745262"/>
      </right>
      <top/>
      <bottom/>
      <diagonal/>
    </border>
    <border>
      <left/>
      <right style="thin">
        <color theme="0" tint="-0.499984740745262"/>
      </right>
      <top style="thin">
        <color theme="0" tint="-0.34998626667073579"/>
      </top>
      <bottom style="thin">
        <color theme="0" tint="-0.14996795556505021"/>
      </bottom>
      <diagonal/>
    </border>
    <border>
      <left style="thin">
        <color indexed="9"/>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indexed="64"/>
      </left>
      <right style="thin">
        <color theme="0" tint="-0.499984740745262"/>
      </right>
      <top/>
      <bottom/>
      <diagonal/>
    </border>
    <border>
      <left style="thin">
        <color indexed="64"/>
      </left>
      <right style="thin">
        <color theme="0" tint="-0.499984740745262"/>
      </right>
      <top style="thin">
        <color theme="0" tint="-0.499984740745262"/>
      </top>
      <bottom/>
      <diagonal/>
    </border>
    <border>
      <left style="thin">
        <color theme="0" tint="-0.34998626667073579"/>
      </left>
      <right style="thin">
        <color theme="0" tint="-0.24994659260841701"/>
      </right>
      <top style="thin">
        <color theme="0" tint="-0.34998626667073579"/>
      </top>
      <bottom style="thin">
        <color theme="0" tint="-0.499984740745262"/>
      </bottom>
      <diagonal/>
    </border>
    <border>
      <left style="thin">
        <color theme="0" tint="-0.34998626667073579"/>
      </left>
      <right style="thin">
        <color theme="0" tint="-0.24994659260841701"/>
      </right>
      <top/>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24994659260841701"/>
      </right>
      <top/>
      <bottom style="thin">
        <color theme="0" tint="-0.499984740745262"/>
      </bottom>
      <diagonal/>
    </border>
    <border>
      <left style="thin">
        <color theme="0" tint="-0.34998626667073579"/>
      </left>
      <right style="thin">
        <color auto="1"/>
      </right>
      <top style="thin">
        <color theme="0" tint="-0.499984740745262"/>
      </top>
      <bottom/>
      <diagonal/>
    </border>
    <border>
      <left/>
      <right style="thin">
        <color theme="0"/>
      </right>
      <top style="thin">
        <color theme="0" tint="-0.499984740745262"/>
      </top>
      <bottom/>
      <diagonal/>
    </border>
    <border>
      <left style="thin">
        <color theme="0" tint="-0.34998626667073579"/>
      </left>
      <right style="thin">
        <color theme="0" tint="-0.34998626667073579"/>
      </right>
      <top style="thin">
        <color theme="0"/>
      </top>
      <bottom style="thin">
        <color theme="0" tint="-0.499984740745262"/>
      </bottom>
      <diagonal/>
    </border>
    <border>
      <left style="thin">
        <color theme="0" tint="-0.34998626667073579"/>
      </left>
      <right style="thin">
        <color theme="0"/>
      </right>
      <top style="thin">
        <color theme="0"/>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right style="thin">
        <color theme="0" tint="-0.34998626667073579"/>
      </right>
      <top style="thin">
        <color theme="0" tint="-0.34998626667073579"/>
      </top>
      <bottom style="thin">
        <color theme="0" tint="-0.499984740745262"/>
      </bottom>
      <diagonal/>
    </border>
    <border>
      <left style="thin">
        <color theme="0" tint="-0.499984740745262"/>
      </left>
      <right style="thin">
        <color theme="0" tint="-0.34998626667073579"/>
      </right>
      <top style="thin">
        <color theme="0" tint="-0.34998626667073579"/>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24994659260841701"/>
      </bottom>
      <diagonal/>
    </border>
    <border>
      <left/>
      <right style="thin">
        <color theme="0" tint="-0.34998626667073579"/>
      </right>
      <top/>
      <bottom style="thin">
        <color theme="0" tint="-0.499984740745262"/>
      </bottom>
      <diagonal/>
    </border>
    <border>
      <left/>
      <right style="thin">
        <color theme="0" tint="-0.34998626667073579"/>
      </right>
      <top/>
      <bottom/>
      <diagonal/>
    </border>
    <border>
      <left style="thin">
        <color theme="0" tint="-0.499984740745262"/>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style="thin">
        <color theme="0" tint="-0.24994659260841701"/>
      </top>
      <bottom style="thin">
        <color theme="0" tint="-0.24994659260841701"/>
      </bottom>
      <diagonal/>
    </border>
    <border>
      <left style="thin">
        <color theme="0" tint="-0.499984740745262"/>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style="thin">
        <color theme="0" tint="-0.499984740745262"/>
      </right>
      <top style="thin">
        <color theme="0" tint="-0.34998626667073579"/>
      </top>
      <bottom style="thin">
        <color theme="0" tint="-0.24994659260841701"/>
      </bottom>
      <diagonal/>
    </border>
    <border>
      <left style="thin">
        <color theme="0" tint="-0.34998626667073579"/>
      </left>
      <right/>
      <top style="thin">
        <color theme="0" tint="-0.24994659260841701"/>
      </top>
      <bottom/>
      <diagonal/>
    </border>
    <border>
      <left/>
      <right style="thin">
        <color theme="0" tint="-0.34998626667073579"/>
      </right>
      <top style="thin">
        <color theme="0" tint="-0.24994659260841701"/>
      </top>
      <bottom/>
      <diagonal/>
    </border>
    <border>
      <left style="thin">
        <color theme="0" tint="-0.34998626667073579"/>
      </left>
      <right/>
      <top/>
      <bottom style="thin">
        <color theme="0" tint="-0.34998626667073579"/>
      </bottom>
      <diagonal/>
    </border>
    <border>
      <left style="thin">
        <color theme="0" tint="-0.34998626667073579"/>
      </left>
      <right/>
      <top style="thin">
        <color theme="0" tint="-0.499984740745262"/>
      </top>
      <bottom style="thin">
        <color theme="0" tint="-0.34998626667073579"/>
      </bottom>
      <diagonal/>
    </border>
    <border>
      <left/>
      <right style="thin">
        <color theme="0" tint="-0.34998626667073579"/>
      </right>
      <top style="thin">
        <color theme="0" tint="-0.499984740745262"/>
      </top>
      <bottom style="thin">
        <color theme="0" tint="-0.34998626667073579"/>
      </bottom>
      <diagonal/>
    </border>
    <border>
      <left style="thin">
        <color theme="0" tint="-0.34998626667073579"/>
      </left>
      <right style="thin">
        <color indexed="9"/>
      </right>
      <top style="thin">
        <color indexed="9"/>
      </top>
      <bottom/>
      <diagonal/>
    </border>
    <border>
      <left style="thin">
        <color indexed="9"/>
      </left>
      <right style="thin">
        <color theme="0" tint="-0.34998626667073579"/>
      </right>
      <top style="thin">
        <color indexed="9"/>
      </top>
      <bottom/>
      <diagonal/>
    </border>
    <border>
      <left style="thin">
        <color theme="0" tint="-0.499984740745262"/>
      </left>
      <right/>
      <top style="thin">
        <color theme="0" tint="-0.24994659260841701"/>
      </top>
      <bottom style="thin">
        <color theme="0" tint="-0.499984740745262"/>
      </bottom>
      <diagonal/>
    </border>
    <border>
      <left/>
      <right/>
      <top style="thin">
        <color theme="0" tint="-0.24994659260841701"/>
      </top>
      <bottom style="thin">
        <color theme="0" tint="-0.499984740745262"/>
      </bottom>
      <diagonal/>
    </border>
    <border>
      <left style="thin">
        <color theme="0" tint="-0.499984740745262"/>
      </left>
      <right/>
      <top style="thin">
        <color theme="0" tint="-0.499984740745262"/>
      </top>
      <bottom style="thin">
        <color theme="0" tint="-0.24994659260841701"/>
      </bottom>
      <diagonal/>
    </border>
    <border>
      <left/>
      <right/>
      <top style="thin">
        <color theme="0" tint="-0.499984740745262"/>
      </top>
      <bottom style="thin">
        <color theme="0" tint="-0.24994659260841701"/>
      </bottom>
      <diagonal/>
    </border>
    <border>
      <left/>
      <right style="thin">
        <color theme="0" tint="-0.499984740745262"/>
      </right>
      <top style="thin">
        <color theme="0" tint="-0.499984740745262"/>
      </top>
      <bottom style="thin">
        <color theme="0" tint="-0.24994659260841701"/>
      </bottom>
      <diagonal/>
    </border>
    <border>
      <left/>
      <right style="thin">
        <color theme="0" tint="-0.499984740745262"/>
      </right>
      <top style="thin">
        <color theme="0" tint="-0.24994659260841701"/>
      </top>
      <bottom style="thin">
        <color theme="0" tint="-0.499984740745262"/>
      </bottom>
      <diagonal/>
    </border>
    <border>
      <left/>
      <right/>
      <top style="thin">
        <color theme="0" tint="-0.14996795556505021"/>
      </top>
      <bottom style="thin">
        <color theme="0" tint="-0.499984740745262"/>
      </bottom>
      <diagonal/>
    </border>
    <border>
      <left style="thin">
        <color theme="0" tint="-0.34998626667073579"/>
      </left>
      <right/>
      <top style="thin">
        <color theme="0" tint="-0.24994659260841701"/>
      </top>
      <bottom style="thin">
        <color theme="0" tint="-0.499984740745262"/>
      </bottom>
      <diagonal/>
    </border>
    <border>
      <left style="thin">
        <color theme="0" tint="-0.24994659260841701"/>
      </left>
      <right/>
      <top style="thin">
        <color theme="0" tint="-0.499984740745262"/>
      </top>
      <bottom style="thin">
        <color theme="0" tint="-0.499984740745262"/>
      </bottom>
      <diagonal/>
    </border>
    <border>
      <left style="thin">
        <color theme="0" tint="-0.24994659260841701"/>
      </left>
      <right style="thin">
        <color theme="0" tint="-0.34998626667073579"/>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34998626667073579"/>
      </right>
      <top style="thin">
        <color theme="0" tint="-0.24994659260841701"/>
      </top>
      <bottom style="thin">
        <color theme="0" tint="-0.499984740745262"/>
      </bottom>
      <diagonal/>
    </border>
    <border>
      <left style="thin">
        <color theme="0" tint="-0.24994659260841701"/>
      </left>
      <right style="thin">
        <color theme="0" tint="-0.34998626667073579"/>
      </right>
      <top/>
      <bottom style="thin">
        <color theme="0" tint="-0.499984740745262"/>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499984740745262"/>
      </bottom>
      <diagonal/>
    </border>
    <border>
      <left style="thin">
        <color theme="0" tint="-0.24994659260841701"/>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theme="0" tint="-0.34998626667073579"/>
      </top>
      <bottom style="thin">
        <color theme="0" tint="-0.34998626667073579"/>
      </bottom>
      <diagonal/>
    </border>
    <border>
      <left style="thin">
        <color theme="0" tint="-0.24994659260841701"/>
      </left>
      <right style="thin">
        <color theme="0" tint="-0.499984740745262"/>
      </right>
      <top style="thin">
        <color theme="0" tint="-0.24994659260841701"/>
      </top>
      <bottom style="thin">
        <color theme="0" tint="-0.499984740745262"/>
      </bottom>
      <diagonal/>
    </border>
    <border>
      <left style="thin">
        <color theme="0" tint="-0.24994659260841701"/>
      </left>
      <right style="thin">
        <color theme="0" tint="-0.34998626667073579"/>
      </right>
      <top style="thin">
        <color theme="0" tint="-0.499984740745262"/>
      </top>
      <bottom style="thin">
        <color theme="0" tint="-0.34998626667073579"/>
      </bottom>
      <diagonal/>
    </border>
    <border>
      <left style="thin">
        <color theme="0" tint="-0.34998626667073579"/>
      </left>
      <right style="thin">
        <color theme="0" tint="-0.24994659260841701"/>
      </right>
      <top style="thin">
        <color theme="0" tint="-0.499984740745262"/>
      </top>
      <bottom/>
      <diagonal/>
    </border>
    <border>
      <left style="thin">
        <color theme="0"/>
      </left>
      <right style="thin">
        <color theme="0" tint="-0.24994659260841701"/>
      </right>
      <top/>
      <bottom style="thin">
        <color theme="0" tint="-0.34998626667073579"/>
      </bottom>
      <diagonal/>
    </border>
    <border>
      <left style="thin">
        <color theme="0" tint="-0.24994659260841701"/>
      </left>
      <right style="thin">
        <color theme="0"/>
      </right>
      <top style="thin">
        <color indexed="9"/>
      </top>
      <bottom style="thin">
        <color theme="0" tint="-0.34998626667073579"/>
      </bottom>
      <diagonal/>
    </border>
    <border>
      <left/>
      <right style="thin">
        <color theme="0" tint="-0.24994659260841701"/>
      </right>
      <top style="thin">
        <color indexed="9"/>
      </top>
      <bottom style="thin">
        <color theme="0" tint="-0.34998626667073579"/>
      </bottom>
      <diagonal/>
    </border>
    <border>
      <left style="thin">
        <color theme="0" tint="-0.24994659260841701"/>
      </left>
      <right/>
      <top style="thin">
        <color indexed="9"/>
      </top>
      <bottom style="thin">
        <color theme="0" tint="-0.34998626667073579"/>
      </bottom>
      <diagonal/>
    </border>
    <border>
      <left/>
      <right style="thin">
        <color theme="0" tint="-0.24994659260841701"/>
      </right>
      <top/>
      <bottom style="thin">
        <color theme="0" tint="-0.34998626667073579"/>
      </bottom>
      <diagonal/>
    </border>
    <border>
      <left style="thin">
        <color theme="0"/>
      </left>
      <right style="thin">
        <color theme="0" tint="-0.24994659260841701"/>
      </right>
      <top style="thin">
        <color indexed="9"/>
      </top>
      <bottom style="thin">
        <color theme="0" tint="-0.34998626667073579"/>
      </bottom>
      <diagonal/>
    </border>
    <border>
      <left/>
      <right style="thin">
        <color theme="0" tint="-0.499984740745262"/>
      </right>
      <top style="thin">
        <color indexed="9"/>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499984740745262"/>
      </bottom>
      <diagonal/>
    </border>
    <border>
      <left style="thin">
        <color theme="0" tint="-0.24994659260841701"/>
      </left>
      <right/>
      <top style="thin">
        <color theme="0" tint="-0.34998626667073579"/>
      </top>
      <bottom style="thin">
        <color theme="0" tint="-0.499984740745262"/>
      </bottom>
      <diagonal/>
    </border>
    <border>
      <left style="thin">
        <color theme="0"/>
      </left>
      <right style="thin">
        <color theme="0" tint="-0.24994659260841701"/>
      </right>
      <top style="thin">
        <color theme="0" tint="-0.34998626667073579"/>
      </top>
      <bottom style="thin">
        <color theme="0" tint="-0.499984740745262"/>
      </bottom>
      <diagonal/>
    </border>
    <border>
      <left style="thin">
        <color theme="0" tint="-0.24994659260841701"/>
      </left>
      <right style="thin">
        <color theme="0"/>
      </right>
      <top style="thin">
        <color theme="0" tint="-0.34998626667073579"/>
      </top>
      <bottom style="thin">
        <color theme="0" tint="-0.499984740745262"/>
      </bottom>
      <diagonal/>
    </border>
    <border>
      <left style="thin">
        <color theme="0" tint="-0.34998626667073579"/>
      </left>
      <right style="thin">
        <color theme="0" tint="-0.34998626667073579"/>
      </right>
      <top style="thin">
        <color theme="0" tint="-0.499984740745262"/>
      </top>
      <bottom/>
      <diagonal/>
    </border>
    <border>
      <left style="thin">
        <color theme="0" tint="-0.34998626667073579"/>
      </left>
      <right style="thin">
        <color theme="0" tint="-0.34998626667073579"/>
      </right>
      <top style="thin">
        <color theme="0" tint="-0.14996795556505021"/>
      </top>
      <bottom style="thin">
        <color theme="0" tint="-0.14996795556505021"/>
      </bottom>
      <diagonal/>
    </border>
    <border>
      <left style="thin">
        <color theme="0" tint="-0.34998626667073579"/>
      </left>
      <right style="thin">
        <color theme="0" tint="-0.34998626667073579"/>
      </right>
      <top style="thin">
        <color theme="0" tint="-0.14996795556505021"/>
      </top>
      <bottom/>
      <diagonal/>
    </border>
    <border>
      <left style="thin">
        <color theme="0" tint="-0.34998626667073579"/>
      </left>
      <right style="thin">
        <color theme="0" tint="-0.34998626667073579"/>
      </right>
      <top/>
      <bottom style="thin">
        <color theme="0" tint="-0.14996795556505021"/>
      </bottom>
      <diagonal/>
    </border>
    <border>
      <left style="thin">
        <color theme="0" tint="-0.34998626667073579"/>
      </left>
      <right style="thin">
        <color theme="0" tint="-0.34998626667073579"/>
      </right>
      <top/>
      <bottom style="thin">
        <color theme="0"/>
      </bottom>
      <diagonal/>
    </border>
    <border>
      <left style="thin">
        <color theme="0" tint="-0.34998626667073579"/>
      </left>
      <right/>
      <top style="thin">
        <color theme="0" tint="-0.14996795556505021"/>
      </top>
      <bottom style="thin">
        <color theme="0" tint="-0.499984740745262"/>
      </bottom>
      <diagonal/>
    </border>
    <border>
      <left style="thin">
        <color theme="0" tint="-0.34998626667073579"/>
      </left>
      <right/>
      <top style="thin">
        <color theme="0" tint="-0.14996795556505021"/>
      </top>
      <bottom style="thin">
        <color theme="0" tint="-0.14996795556505021"/>
      </bottom>
      <diagonal/>
    </border>
    <border>
      <left style="thin">
        <color theme="0" tint="-0.34998626667073579"/>
      </left>
      <right/>
      <top/>
      <bottom style="double">
        <color theme="0"/>
      </bottom>
      <diagonal/>
    </border>
    <border>
      <left style="thin">
        <color theme="0" tint="-0.34998626667073579"/>
      </left>
      <right/>
      <top style="double">
        <color theme="0"/>
      </top>
      <bottom/>
      <diagonal/>
    </border>
    <border>
      <left style="thin">
        <color theme="0" tint="-0.34998626667073579"/>
      </left>
      <right/>
      <top style="thin">
        <color theme="0" tint="-0.34998626667073579"/>
      </top>
      <bottom/>
      <diagonal/>
    </border>
    <border>
      <left style="thin">
        <color theme="0" tint="-0.34998626667073579"/>
      </left>
      <right/>
      <top style="thin">
        <color theme="0" tint="-0.14996795556505021"/>
      </top>
      <bottom style="thin">
        <color theme="0"/>
      </bottom>
      <diagonal/>
    </border>
    <border>
      <left style="thin">
        <color theme="0" tint="-0.34998626667073579"/>
      </left>
      <right/>
      <top style="thin">
        <color theme="0" tint="-0.14996795556505021"/>
      </top>
      <bottom/>
      <diagonal/>
    </border>
    <border>
      <left style="thin">
        <color theme="0" tint="-0.34998626667073579"/>
      </left>
      <right/>
      <top/>
      <bottom style="thin">
        <color theme="0" tint="-0.14996795556505021"/>
      </bottom>
      <diagonal/>
    </border>
    <border>
      <left/>
      <right/>
      <top style="thin">
        <color theme="0" tint="-0.14996795556505021"/>
      </top>
      <bottom style="thin">
        <color theme="0"/>
      </bottom>
      <diagonal/>
    </border>
    <border>
      <left style="thin">
        <color theme="0" tint="-0.34998626667073579"/>
      </left>
      <right/>
      <top style="thin">
        <color theme="0" tint="-0.499984740745262"/>
      </top>
      <bottom style="thin">
        <color theme="0" tint="-0.14996795556505021"/>
      </bottom>
      <diagonal/>
    </border>
    <border>
      <left style="thin">
        <color theme="0" tint="-0.34998626667073579"/>
      </left>
      <right style="thin">
        <color theme="0" tint="-0.34998626667073579"/>
      </right>
      <top style="thin">
        <color theme="0" tint="-0.499984740745262"/>
      </top>
      <bottom style="thin">
        <color theme="0" tint="-0.14996795556505021"/>
      </bottom>
      <diagonal/>
    </border>
    <border>
      <left style="thin">
        <color theme="0" tint="-0.34998626667073579"/>
      </left>
      <right style="thin">
        <color theme="0" tint="-0.34998626667073579"/>
      </right>
      <top style="thin">
        <color theme="0" tint="-0.24994659260841701"/>
      </top>
      <bottom style="thin">
        <color theme="0" tint="-0.499984740745262"/>
      </bottom>
      <diagonal/>
    </border>
    <border>
      <left style="thin">
        <color theme="0" tint="-0.34998626667073579"/>
      </left>
      <right style="thin">
        <color theme="0" tint="-0.34998626667073579"/>
      </right>
      <top style="thin">
        <color theme="0"/>
      </top>
      <bottom/>
      <diagonal/>
    </border>
    <border>
      <left style="thin">
        <color theme="0" tint="-0.34998626667073579"/>
      </left>
      <right style="thin">
        <color theme="0" tint="-0.34998626667073579"/>
      </right>
      <top style="thin">
        <color theme="0" tint="-0.14996795556505021"/>
      </top>
      <bottom style="thin">
        <color theme="0"/>
      </bottom>
      <diagonal/>
    </border>
    <border>
      <left style="thin">
        <color theme="0" tint="-0.34998626667073579"/>
      </left>
      <right style="thin">
        <color theme="0" tint="-0.34998626667073579"/>
      </right>
      <top style="thin">
        <color theme="0" tint="-0.499984740745262"/>
      </top>
      <bottom style="thin">
        <color theme="0" tint="-0.34998626667073579"/>
      </bottom>
      <diagonal/>
    </border>
    <border>
      <left style="thin">
        <color theme="0" tint="-0.34998626667073579"/>
      </left>
      <right style="thin">
        <color theme="0" tint="-0.34998626667073579"/>
      </right>
      <top style="thin">
        <color theme="0" tint="-0.24994659260841701"/>
      </top>
      <bottom/>
      <diagonal/>
    </border>
    <border>
      <left style="thin">
        <color theme="0"/>
      </left>
      <right style="thin">
        <color theme="0"/>
      </right>
      <top/>
      <bottom style="thin">
        <color indexed="9"/>
      </bottom>
      <diagonal/>
    </border>
    <border>
      <left/>
      <right style="thin">
        <color theme="0" tint="-0.499984740745262"/>
      </right>
      <top/>
      <bottom style="thin">
        <color indexed="9"/>
      </bottom>
      <diagonal/>
    </border>
    <border>
      <left/>
      <right style="thin">
        <color theme="0"/>
      </right>
      <top style="thin">
        <color theme="0"/>
      </top>
      <bottom/>
      <diagonal/>
    </border>
    <border>
      <left style="thin">
        <color theme="0"/>
      </left>
      <right/>
      <top style="thin">
        <color theme="0" tint="-0.14996795556505021"/>
      </top>
      <bottom style="thin">
        <color theme="0"/>
      </bottom>
      <diagonal/>
    </border>
    <border>
      <left style="thin">
        <color theme="0" tint="-0.499984740745262"/>
      </left>
      <right style="thin">
        <color theme="0"/>
      </right>
      <top style="thin">
        <color theme="0" tint="-0.34998626667073579"/>
      </top>
      <bottom/>
      <diagonal/>
    </border>
    <border>
      <left style="thin">
        <color theme="0"/>
      </left>
      <right style="thin">
        <color theme="0"/>
      </right>
      <top style="thin">
        <color theme="0" tint="-0.34998626667073579"/>
      </top>
      <bottom/>
      <diagonal/>
    </border>
    <border>
      <left style="thin">
        <color theme="0" tint="-0.34998626667073579"/>
      </left>
      <right/>
      <top/>
      <bottom style="thin">
        <color theme="0" tint="-0.24994659260841701"/>
      </bottom>
      <diagonal/>
    </border>
    <border>
      <left style="thin">
        <color theme="0" tint="-0.34998626667073579"/>
      </left>
      <right/>
      <top style="thin">
        <color theme="0" tint="-0.24994659260841701"/>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24994659260841701"/>
      </bottom>
      <diagonal/>
    </border>
    <border>
      <left style="thin">
        <color theme="0" tint="-0.24994659260841701"/>
      </left>
      <right/>
      <top style="thin">
        <color indexed="9"/>
      </top>
      <bottom style="thin">
        <color theme="0" tint="-0.499984740745262"/>
      </bottom>
      <diagonal/>
    </border>
    <border>
      <left style="thin">
        <color theme="0" tint="-0.24994659260841701"/>
      </left>
      <right style="thin">
        <color theme="0" tint="-0.34998626667073579"/>
      </right>
      <top style="thin">
        <color theme="0" tint="-0.34998626667073579"/>
      </top>
      <bottom/>
      <diagonal/>
    </border>
    <border>
      <left style="thin">
        <color theme="0" tint="-0.24994659260841701"/>
      </left>
      <right style="thin">
        <color theme="0" tint="-0.34998626667073579"/>
      </right>
      <top style="thin">
        <color theme="0" tint="-0.24994659260841701"/>
      </top>
      <bottom/>
      <diagonal/>
    </border>
    <border>
      <left style="thin">
        <color theme="0" tint="-0.24994659260841701"/>
      </left>
      <right style="thin">
        <color theme="0" tint="-0.34998626667073579"/>
      </right>
      <top style="thin">
        <color theme="0" tint="-0.499984740745262"/>
      </top>
      <bottom/>
      <diagonal/>
    </border>
    <border>
      <left style="thin">
        <color theme="0" tint="-0.24994659260841701"/>
      </left>
      <right style="thin">
        <color theme="0" tint="-0.34998626667073579"/>
      </right>
      <top/>
      <bottom style="thin">
        <color theme="0" tint="-0.24994659260841701"/>
      </bottom>
      <diagonal/>
    </border>
    <border>
      <left style="thin">
        <color theme="0" tint="-0.24994659260841701"/>
      </left>
      <right style="thin">
        <color theme="0" tint="-0.34998626667073579"/>
      </right>
      <top/>
      <bottom style="thin">
        <color theme="0" tint="-0.34998626667073579"/>
      </bottom>
      <diagonal/>
    </border>
    <border>
      <left style="thin">
        <color theme="0" tint="-0.24994659260841701"/>
      </left>
      <right style="thin">
        <color theme="0" tint="-0.34998626667073579"/>
      </right>
      <top style="thin">
        <color theme="0" tint="-0.499984740745262"/>
      </top>
      <bottom style="thin">
        <color theme="0" tint="-0.499984740745262"/>
      </bottom>
      <diagonal/>
    </border>
    <border>
      <left style="thin">
        <color theme="0" tint="-0.24994659260841701"/>
      </left>
      <right style="thin">
        <color theme="0" tint="-0.34998626667073579"/>
      </right>
      <top style="thin">
        <color theme="0" tint="-0.24994659260841701"/>
      </top>
      <bottom style="thin">
        <color theme="0" tint="-0.34998626667073579"/>
      </bottom>
      <diagonal/>
    </border>
    <border>
      <left style="thin">
        <color theme="0" tint="-0.24994659260841701"/>
      </left>
      <right style="thin">
        <color theme="0" tint="-0.34998626667073579"/>
      </right>
      <top style="thin">
        <color theme="0"/>
      </top>
      <bottom style="thin">
        <color theme="0" tint="-0.499984740745262"/>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bottom style="thin">
        <color theme="0" tint="-0.34998626667073579"/>
      </bottom>
      <diagonal/>
    </border>
    <border>
      <left style="thin">
        <color theme="0" tint="-0.34998626667073579"/>
      </left>
      <right style="thin">
        <color theme="0" tint="-0.24994659260841701"/>
      </right>
      <top style="thin">
        <color theme="0" tint="-0.24994659260841701"/>
      </top>
      <bottom/>
      <diagonal/>
    </border>
    <border>
      <left style="thin">
        <color theme="0" tint="-0.34998626667073579"/>
      </left>
      <right style="thin">
        <color theme="0" tint="-0.24994659260841701"/>
      </right>
      <top style="thin">
        <color theme="0" tint="-0.24994659260841701"/>
      </top>
      <bottom style="thin">
        <color theme="0" tint="-0.34998626667073579"/>
      </bottom>
      <diagonal/>
    </border>
    <border>
      <left/>
      <right style="thin">
        <color theme="0" tint="-0.34998626667073579"/>
      </right>
      <top style="thin">
        <color theme="0" tint="-0.24994659260841701"/>
      </top>
      <bottom style="thin">
        <color theme="0" tint="-0.34998626667073579"/>
      </bottom>
      <diagonal/>
    </border>
    <border>
      <left/>
      <right style="thin">
        <color theme="0" tint="-0.34998626667073579"/>
      </right>
      <top/>
      <bottom style="thin">
        <color theme="0" tint="-0.24994659260841701"/>
      </bottom>
      <diagonal/>
    </border>
    <border>
      <left style="thin">
        <color indexed="9"/>
      </left>
      <right style="thin">
        <color theme="0" tint="-0.34998626667073579"/>
      </right>
      <top/>
      <bottom style="thin">
        <color theme="0" tint="-0.34998626667073579"/>
      </bottom>
      <diagonal/>
    </border>
    <border>
      <left/>
      <right/>
      <top/>
      <bottom style="thin">
        <color indexed="9"/>
      </bottom>
      <diagonal/>
    </border>
    <border>
      <left style="thin">
        <color indexed="9"/>
      </left>
      <right/>
      <top style="thin">
        <color indexed="9"/>
      </top>
      <bottom style="thin">
        <color theme="0" tint="-0.499984740745262"/>
      </bottom>
      <diagonal/>
    </border>
    <border>
      <left/>
      <right style="thin">
        <color theme="0"/>
      </right>
      <top style="thin">
        <color indexed="9"/>
      </top>
      <bottom style="thin">
        <color theme="0" tint="-0.499984740745262"/>
      </bottom>
      <diagonal/>
    </border>
    <border>
      <left/>
      <right/>
      <top style="thin">
        <color indexed="9"/>
      </top>
      <bottom style="thin">
        <color theme="0" tint="-0.499984740745262"/>
      </bottom>
      <diagonal/>
    </border>
    <border>
      <left style="thin">
        <color theme="0"/>
      </left>
      <right style="thin">
        <color theme="0" tint="-0.24994659260841701"/>
      </right>
      <top style="thin">
        <color indexed="9"/>
      </top>
      <bottom style="thin">
        <color theme="0" tint="-0.499984740745262"/>
      </bottom>
      <diagonal/>
    </border>
    <border>
      <left style="thin">
        <color theme="0" tint="-0.24994659260841701"/>
      </left>
      <right style="thin">
        <color theme="0"/>
      </right>
      <top style="thin">
        <color indexed="9"/>
      </top>
      <bottom style="thin">
        <color theme="0" tint="-0.499984740745262"/>
      </bottom>
      <diagonal/>
    </border>
    <border>
      <left style="thin">
        <color theme="0"/>
      </left>
      <right style="thin">
        <color theme="0" tint="-0.34998626667073579"/>
      </right>
      <top style="thin">
        <color indexed="9"/>
      </top>
      <bottom style="thin">
        <color theme="0" tint="-0.499984740745262"/>
      </bottom>
      <diagonal/>
    </border>
    <border>
      <left style="thin">
        <color theme="0" tint="-0.34998626667073579"/>
      </left>
      <right style="thin">
        <color theme="0" tint="-0.499984740745262"/>
      </right>
      <top style="thin">
        <color indexed="9"/>
      </top>
      <bottom style="thin">
        <color theme="0" tint="-0.499984740745262"/>
      </bottom>
      <diagonal/>
    </border>
    <border>
      <left/>
      <right style="thin">
        <color theme="0" tint="-0.24994659260841701"/>
      </right>
      <top style="thin">
        <color indexed="9"/>
      </top>
      <bottom style="thin">
        <color theme="0" tint="-0.499984740745262"/>
      </bottom>
      <diagonal/>
    </border>
    <border>
      <left style="thin">
        <color theme="0" tint="-0.34998626667073579"/>
      </left>
      <right style="thin">
        <color theme="0"/>
      </right>
      <top/>
      <bottom style="thin">
        <color theme="0" tint="-0.499984740745262"/>
      </bottom>
      <diagonal/>
    </border>
    <border>
      <left style="thin">
        <color theme="0" tint="-0.24994659260841701"/>
      </left>
      <right style="thin">
        <color theme="0" tint="-0.499984740745262"/>
      </right>
      <top/>
      <bottom style="thin">
        <color theme="0" tint="-0.24994659260841701"/>
      </bottom>
      <diagonal/>
    </border>
    <border>
      <left style="thin">
        <color theme="0" tint="-0.24994659260841701"/>
      </left>
      <right style="thin">
        <color theme="0" tint="-0.499984740745262"/>
      </right>
      <top style="thin">
        <color theme="0" tint="-0.24994659260841701"/>
      </top>
      <bottom/>
      <diagonal/>
    </border>
    <border>
      <left style="thin">
        <color theme="0" tint="-0.24994659260841701"/>
      </left>
      <right style="thin">
        <color theme="0" tint="-0.499984740745262"/>
      </right>
      <top/>
      <bottom style="thin">
        <color theme="0" tint="-0.34998626667073579"/>
      </bottom>
      <diagonal/>
    </border>
    <border>
      <left style="thin">
        <color theme="0" tint="-0.24994659260841701"/>
      </left>
      <right style="thin">
        <color theme="0" tint="-0.499984740745262"/>
      </right>
      <top style="thin">
        <color theme="0" tint="-0.34998626667073579"/>
      </top>
      <bottom/>
      <diagonal/>
    </border>
    <border>
      <left/>
      <right style="thin">
        <color theme="0" tint="-0.34998626667073579"/>
      </right>
      <top/>
      <bottom style="thin">
        <color indexed="9"/>
      </bottom>
      <diagonal/>
    </border>
    <border>
      <left style="thin">
        <color theme="0" tint="-0.34998626667073579"/>
      </left>
      <right style="thin">
        <color indexed="9"/>
      </right>
      <top style="thin">
        <color indexed="9"/>
      </top>
      <bottom style="thin">
        <color theme="0" tint="-0.34998626667073579"/>
      </bottom>
      <diagonal/>
    </border>
    <border>
      <left style="thin">
        <color indexed="9"/>
      </left>
      <right style="thin">
        <color theme="0" tint="-0.34998626667073579"/>
      </right>
      <top style="thin">
        <color indexed="9"/>
      </top>
      <bottom style="thin">
        <color theme="0" tint="-0.34998626667073579"/>
      </bottom>
      <diagonal/>
    </border>
    <border>
      <left style="thin">
        <color theme="0" tint="-0.499984740745262"/>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499984740745262"/>
      </right>
      <top style="thin">
        <color theme="0" tint="-0.34998626667073579"/>
      </top>
      <bottom style="thin">
        <color theme="0" tint="-0.24994659260841701"/>
      </bottom>
      <diagonal/>
    </border>
    <border>
      <left style="thin">
        <color theme="0" tint="-0.499984740745262"/>
      </left>
      <right/>
      <top style="thin">
        <color theme="0" tint="-0.34998626667073579"/>
      </top>
      <bottom style="thin">
        <color theme="0" tint="-0.14996795556505021"/>
      </bottom>
      <diagonal/>
    </border>
    <border>
      <left style="thin">
        <color theme="0" tint="-0.34998626667073579"/>
      </left>
      <right/>
      <top style="thin">
        <color theme="0" tint="-0.34998626667073579"/>
      </top>
      <bottom style="thin">
        <color theme="0" tint="-0.14996795556505021"/>
      </bottom>
      <diagonal/>
    </border>
    <border>
      <left/>
      <right/>
      <top style="thin">
        <color theme="0" tint="-0.34998626667073579"/>
      </top>
      <bottom style="thin">
        <color theme="0" tint="-0.14996795556505021"/>
      </bottom>
      <diagonal/>
    </border>
    <border>
      <left style="thin">
        <color theme="0" tint="-0.34998626667073579"/>
      </left>
      <right style="thin">
        <color theme="0" tint="-0.34998626667073579"/>
      </right>
      <top style="thin">
        <color theme="0" tint="-0.34998626667073579"/>
      </top>
      <bottom style="thin">
        <color theme="0" tint="-0.14996795556505021"/>
      </bottom>
      <diagonal/>
    </border>
    <border>
      <left style="thin">
        <color theme="0" tint="-0.499984740745262"/>
      </left>
      <right/>
      <top style="thin">
        <color theme="0" tint="-0.24994659260841701"/>
      </top>
      <bottom style="thin">
        <color theme="0" tint="-0.14996795556505021"/>
      </bottom>
      <diagonal/>
    </border>
    <border>
      <left style="thin">
        <color theme="0" tint="-0.34998626667073579"/>
      </left>
      <right/>
      <top style="thin">
        <color theme="0" tint="-0.24994659260841701"/>
      </top>
      <bottom style="thin">
        <color theme="0" tint="-0.14996795556505021"/>
      </bottom>
      <diagonal/>
    </border>
    <border>
      <left/>
      <right/>
      <top style="thin">
        <color theme="0" tint="-0.24994659260841701"/>
      </top>
      <bottom style="thin">
        <color theme="0" tint="-0.14996795556505021"/>
      </bottom>
      <diagonal/>
    </border>
    <border>
      <left style="thin">
        <color theme="0" tint="-0.34998626667073579"/>
      </left>
      <right style="thin">
        <color theme="0" tint="-0.34998626667073579"/>
      </right>
      <top style="thin">
        <color theme="0" tint="-0.24994659260841701"/>
      </top>
      <bottom style="thin">
        <color theme="0" tint="-0.14996795556505021"/>
      </bottom>
      <diagonal/>
    </border>
    <border>
      <left/>
      <right style="thin">
        <color theme="0" tint="-0.499984740745262"/>
      </right>
      <top style="thin">
        <color theme="0" tint="-0.24994659260841701"/>
      </top>
      <bottom style="thin">
        <color theme="0" tint="-0.14996795556505021"/>
      </bottom>
      <diagonal/>
    </border>
    <border>
      <left style="thin">
        <color theme="0" tint="-0.34998626667073579"/>
      </left>
      <right style="thin">
        <color theme="0" tint="-0.24994659260841701"/>
      </right>
      <top style="thin">
        <color theme="0" tint="-0.14996795556505021"/>
      </top>
      <bottom style="thin">
        <color theme="0" tint="-0.14996795556505021"/>
      </bottom>
      <diagonal/>
    </border>
    <border>
      <left style="thin">
        <color theme="0" tint="-0.34998626667073579"/>
      </left>
      <right/>
      <top style="thin">
        <color theme="0" tint="-0.499984740745262"/>
      </top>
      <bottom style="thin">
        <color theme="0" tint="-0.24994659260841701"/>
      </bottom>
      <diagonal/>
    </border>
    <border>
      <left style="thin">
        <color theme="0" tint="-0.34998626667073579"/>
      </left>
      <right style="thin">
        <color theme="0" tint="-0.24994659260841701"/>
      </right>
      <top style="thin">
        <color theme="0" tint="-0.499984740745262"/>
      </top>
      <bottom style="thin">
        <color theme="0" tint="-0.24994659260841701"/>
      </bottom>
      <diagonal/>
    </border>
  </borders>
  <cellStyleXfs count="14">
    <xf numFmtId="0" fontId="0" fillId="0" borderId="0"/>
    <xf numFmtId="0" fontId="125" fillId="15" borderId="0" applyNumberFormat="0" applyBorder="0" applyAlignment="0" applyProtection="0"/>
    <xf numFmtId="0" fontId="126" fillId="16" borderId="0" applyNumberFormat="0" applyBorder="0" applyAlignment="0" applyProtection="0"/>
    <xf numFmtId="0" fontId="7" fillId="0" borderId="0" applyNumberFormat="0" applyFill="0" applyBorder="0" applyAlignment="0" applyProtection="0">
      <alignment vertical="top"/>
      <protection locked="0"/>
    </xf>
    <xf numFmtId="0" fontId="3"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29" fillId="36" borderId="0" applyNumberFormat="0" applyBorder="0" applyAlignment="0" applyProtection="0"/>
    <xf numFmtId="0" fontId="129" fillId="37" borderId="0" applyNumberFormat="0" applyBorder="0" applyAlignment="0" applyProtection="0"/>
    <xf numFmtId="0" fontId="158" fillId="38" borderId="0" applyNumberFormat="0" applyBorder="0" applyAlignment="0" applyProtection="0"/>
    <xf numFmtId="0" fontId="129" fillId="39" borderId="0" applyNumberFormat="0" applyBorder="0" applyAlignment="0" applyProtection="0"/>
    <xf numFmtId="0" fontId="4" fillId="0" borderId="0"/>
    <xf numFmtId="0" fontId="1" fillId="15" borderId="0" applyNumberFormat="0" applyBorder="0" applyAlignment="0" applyProtection="0"/>
    <xf numFmtId="0" fontId="2" fillId="33" borderId="0" applyNumberFormat="0" applyBorder="0" applyAlignment="0" applyProtection="0"/>
  </cellStyleXfs>
  <cellXfs count="2582">
    <xf numFmtId="0" fontId="0" fillId="0" borderId="0" xfId="0"/>
    <xf numFmtId="0" fontId="12" fillId="0" borderId="0" xfId="0" applyFont="1"/>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Protection="1">
      <protection locked="0"/>
    </xf>
    <xf numFmtId="164" fontId="12" fillId="0" borderId="0" xfId="0" applyNumberFormat="1" applyFont="1" applyFill="1" applyBorder="1" applyAlignment="1" applyProtection="1">
      <alignment horizontal="centerContinuous"/>
      <protection locked="0"/>
    </xf>
    <xf numFmtId="0" fontId="12" fillId="2" borderId="0" xfId="0" applyFont="1" applyFill="1" applyProtection="1">
      <protection locked="0"/>
    </xf>
    <xf numFmtId="0" fontId="12" fillId="0" borderId="0" xfId="0" applyFont="1" applyFill="1" applyBorder="1" applyProtection="1">
      <protection locked="0"/>
    </xf>
    <xf numFmtId="0" fontId="12" fillId="0" borderId="0" xfId="0" applyFont="1" applyBorder="1" applyProtection="1">
      <protection locked="0"/>
    </xf>
    <xf numFmtId="0" fontId="16" fillId="0" borderId="0" xfId="0" applyFont="1" applyBorder="1" applyAlignment="1" applyProtection="1">
      <alignment horizontal="center"/>
      <protection locked="0"/>
    </xf>
    <xf numFmtId="0" fontId="12" fillId="0" borderId="0" xfId="0" applyFont="1" applyFill="1" applyBorder="1" applyAlignment="1">
      <alignment horizontal="left" vertical="center" indent="1"/>
    </xf>
    <xf numFmtId="164" fontId="12" fillId="0" borderId="0" xfId="0" applyNumberFormat="1" applyFont="1" applyFill="1" applyBorder="1" applyProtection="1">
      <protection locked="0"/>
    </xf>
    <xf numFmtId="0" fontId="12" fillId="0" borderId="0" xfId="0" applyFont="1" applyFill="1" applyBorder="1" applyAlignment="1" applyProtection="1">
      <alignment horizontal="left" vertical="center" indent="1"/>
      <protection locked="0"/>
    </xf>
    <xf numFmtId="0" fontId="13" fillId="0" borderId="0" xfId="0" applyFont="1" applyBorder="1" applyProtection="1">
      <protection locked="0"/>
    </xf>
    <xf numFmtId="164" fontId="12" fillId="0" borderId="0" xfId="0" applyNumberFormat="1" applyFont="1" applyBorder="1" applyProtection="1">
      <protection locked="0"/>
    </xf>
    <xf numFmtId="0" fontId="25" fillId="0" borderId="0" xfId="0" applyFont="1" applyAlignment="1" applyProtection="1">
      <alignment vertical="center"/>
      <protection locked="0"/>
    </xf>
    <xf numFmtId="0" fontId="15" fillId="0" borderId="0" xfId="0" applyFont="1" applyFill="1" applyBorder="1" applyAlignment="1" applyProtection="1">
      <alignment horizontal="right" vertical="center"/>
      <protection locked="0"/>
    </xf>
    <xf numFmtId="164" fontId="15" fillId="0" borderId="0" xfId="0" applyNumberFormat="1"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15" fillId="0" borderId="0" xfId="0" applyFont="1" applyBorder="1" applyAlignment="1" applyProtection="1">
      <alignment horizontal="right"/>
      <protection locked="0"/>
    </xf>
    <xf numFmtId="0" fontId="15" fillId="0" borderId="0" xfId="0" applyFont="1" applyFill="1" applyBorder="1" applyAlignment="1" applyProtection="1">
      <alignment horizontal="right"/>
      <protection locked="0"/>
    </xf>
    <xf numFmtId="164" fontId="12" fillId="0" borderId="0" xfId="0" applyNumberFormat="1" applyFont="1" applyProtection="1">
      <protection locked="0"/>
    </xf>
    <xf numFmtId="0" fontId="12" fillId="0" borderId="0" xfId="0" applyFont="1" applyFill="1" applyProtection="1">
      <protection locked="0"/>
    </xf>
    <xf numFmtId="164" fontId="15" fillId="0" borderId="0" xfId="0" applyNumberFormat="1" applyFont="1" applyBorder="1" applyProtection="1">
      <protection locked="0"/>
    </xf>
    <xf numFmtId="164" fontId="15" fillId="0" borderId="0" xfId="0" applyNumberFormat="1" applyFont="1" applyFill="1" applyBorder="1" applyProtection="1">
      <protection locked="0"/>
    </xf>
    <xf numFmtId="0" fontId="12" fillId="0" borderId="0" xfId="0" applyFont="1" applyBorder="1" applyAlignment="1" applyProtection="1">
      <protection locked="0"/>
    </xf>
    <xf numFmtId="0" fontId="12" fillId="0" borderId="0" xfId="0" applyFont="1" applyAlignment="1" applyProtection="1">
      <alignment vertical="center"/>
      <protection locked="0"/>
    </xf>
    <xf numFmtId="0" fontId="12" fillId="0" borderId="0" xfId="0" applyFont="1" applyBorder="1" applyAlignment="1" applyProtection="1">
      <alignment horizontal="right"/>
      <protection locked="0"/>
    </xf>
    <xf numFmtId="164" fontId="15" fillId="0" borderId="0" xfId="0" applyNumberFormat="1" applyFont="1" applyProtection="1">
      <protection locked="0"/>
    </xf>
    <xf numFmtId="0" fontId="15" fillId="0" borderId="0" xfId="0" applyFont="1" applyFill="1" applyBorder="1" applyAlignment="1" applyProtection="1">
      <alignment horizontal="left" indent="1"/>
      <protection locked="0"/>
    </xf>
    <xf numFmtId="0" fontId="12" fillId="0" borderId="0" xfId="0" applyFont="1" applyFill="1" applyBorder="1" applyAlignment="1" applyProtection="1">
      <alignment horizontal="left" indent="1"/>
      <protection locked="0"/>
    </xf>
    <xf numFmtId="0" fontId="16" fillId="0" borderId="0" xfId="0" applyFont="1" applyFill="1" applyBorder="1" applyAlignment="1" applyProtection="1">
      <alignment horizontal="centerContinuous"/>
      <protection locked="0"/>
    </xf>
    <xf numFmtId="0" fontId="13" fillId="0" borderId="0" xfId="0" applyFont="1" applyProtection="1">
      <protection locked="0"/>
    </xf>
    <xf numFmtId="0" fontId="13" fillId="0" borderId="0" xfId="0" applyFont="1" applyAlignment="1" applyProtection="1">
      <alignment vertical="center"/>
      <protection locked="0"/>
    </xf>
    <xf numFmtId="0" fontId="12" fillId="0" borderId="0" xfId="0" applyFont="1" applyAlignment="1" applyProtection="1">
      <alignment horizontal="center"/>
      <protection locked="0"/>
    </xf>
    <xf numFmtId="0" fontId="12" fillId="0" borderId="0" xfId="0" applyFont="1" applyBorder="1" applyAlignment="1" applyProtection="1">
      <alignment horizontal="center"/>
      <protection locked="0"/>
    </xf>
    <xf numFmtId="0" fontId="12" fillId="0" borderId="0" xfId="0" applyFont="1" applyAlignment="1" applyProtection="1">
      <alignment horizontal="left" indent="1"/>
      <protection locked="0"/>
    </xf>
    <xf numFmtId="164" fontId="42" fillId="0" borderId="0" xfId="0" applyNumberFormat="1" applyFont="1" applyFill="1" applyBorder="1" applyAlignment="1" applyProtection="1">
      <alignment vertical="center"/>
      <protection locked="0"/>
    </xf>
    <xf numFmtId="0" fontId="43" fillId="0" borderId="0" xfId="0" applyFont="1" applyBorder="1" applyAlignment="1" applyProtection="1">
      <alignment horizontal="right" indent="1"/>
      <protection locked="0"/>
    </xf>
    <xf numFmtId="0" fontId="13" fillId="0" borderId="0" xfId="0" applyFont="1" applyBorder="1" applyAlignment="1" applyProtection="1">
      <alignment horizontal="left" indent="1"/>
      <protection locked="0"/>
    </xf>
    <xf numFmtId="0" fontId="17" fillId="0" borderId="0" xfId="0" applyFont="1" applyBorder="1" applyAlignment="1" applyProtection="1">
      <alignment horizontal="left" vertical="center" indent="1"/>
      <protection locked="0"/>
    </xf>
    <xf numFmtId="164" fontId="12" fillId="0" borderId="0" xfId="0" applyNumberFormat="1" applyFont="1" applyBorder="1" applyAlignment="1" applyProtection="1">
      <alignment vertical="center"/>
      <protection locked="0"/>
    </xf>
    <xf numFmtId="0" fontId="38" fillId="0" borderId="0" xfId="0" applyFont="1" applyBorder="1" applyAlignment="1" applyProtection="1">
      <alignment horizontal="left" indent="1"/>
      <protection locked="0"/>
    </xf>
    <xf numFmtId="164" fontId="12" fillId="0" borderId="0" xfId="0" applyNumberFormat="1" applyFont="1" applyFill="1" applyBorder="1" applyAlignment="1" applyProtection="1">
      <alignment vertical="center"/>
      <protection locked="0"/>
    </xf>
    <xf numFmtId="164" fontId="15" fillId="0" borderId="0" xfId="0" applyNumberFormat="1" applyFont="1" applyFill="1" applyBorder="1" applyAlignment="1" applyProtection="1">
      <alignment horizontal="center" vertical="center"/>
      <protection locked="0"/>
    </xf>
    <xf numFmtId="0" fontId="37" fillId="0" borderId="0" xfId="0" applyFont="1" applyBorder="1" applyAlignment="1" applyProtection="1">
      <alignment horizontal="right" vertical="center" indent="1"/>
      <protection locked="0"/>
    </xf>
    <xf numFmtId="0" fontId="44" fillId="0" borderId="0" xfId="0" applyFont="1" applyBorder="1" applyAlignment="1" applyProtection="1">
      <alignment horizontal="right" vertical="center"/>
      <protection locked="0"/>
    </xf>
    <xf numFmtId="164" fontId="15" fillId="0" borderId="0" xfId="0" applyNumberFormat="1" applyFont="1" applyBorder="1" applyAlignment="1" applyProtection="1">
      <alignment vertical="center"/>
      <protection locked="0"/>
    </xf>
    <xf numFmtId="0" fontId="45" fillId="0" borderId="0" xfId="0" applyFont="1" applyBorder="1" applyAlignment="1" applyProtection="1">
      <alignment horizontal="right" indent="1"/>
      <protection locked="0"/>
    </xf>
    <xf numFmtId="0" fontId="46" fillId="0" borderId="0" xfId="0" applyFont="1" applyBorder="1" applyAlignment="1" applyProtection="1">
      <alignment horizontal="right" indent="1"/>
      <protection locked="0"/>
    </xf>
    <xf numFmtId="164" fontId="12" fillId="0" borderId="0" xfId="0" applyNumberFormat="1" applyFont="1" applyAlignment="1" applyProtection="1">
      <alignment vertical="center"/>
      <protection locked="0"/>
    </xf>
    <xf numFmtId="164" fontId="40" fillId="0" borderId="0" xfId="0" applyNumberFormat="1" applyFont="1" applyBorder="1" applyAlignment="1" applyProtection="1">
      <alignment vertical="center"/>
      <protection hidden="1"/>
    </xf>
    <xf numFmtId="164" fontId="40" fillId="0" borderId="0" xfId="0" applyNumberFormat="1" applyFont="1" applyFill="1" applyBorder="1" applyAlignment="1" applyProtection="1">
      <alignment vertical="center"/>
      <protection locked="0"/>
    </xf>
    <xf numFmtId="164" fontId="12" fillId="0" borderId="0" xfId="0" applyNumberFormat="1" applyFont="1" applyBorder="1" applyProtection="1">
      <protection hidden="1"/>
    </xf>
    <xf numFmtId="10" fontId="12" fillId="0" borderId="0" xfId="0" applyNumberFormat="1" applyFont="1" applyBorder="1" applyProtection="1">
      <protection hidden="1"/>
    </xf>
    <xf numFmtId="0" fontId="15" fillId="0" borderId="0" xfId="0" applyFont="1" applyBorder="1" applyAlignment="1" applyProtection="1">
      <alignment horizontal="left"/>
      <protection locked="0"/>
    </xf>
    <xf numFmtId="0" fontId="12" fillId="0" borderId="0" xfId="0" applyFont="1" applyProtection="1">
      <protection hidden="1"/>
    </xf>
    <xf numFmtId="0" fontId="42" fillId="0" borderId="0" xfId="0" applyFont="1" applyBorder="1" applyAlignment="1" applyProtection="1">
      <alignment horizontal="right" indent="1"/>
      <protection hidden="1"/>
    </xf>
    <xf numFmtId="0" fontId="12" fillId="0" borderId="0" xfId="0" applyFont="1" applyBorder="1" applyProtection="1">
      <protection hidden="1"/>
    </xf>
    <xf numFmtId="164" fontId="42" fillId="0" borderId="0" xfId="0" applyNumberFormat="1" applyFont="1" applyProtection="1">
      <protection hidden="1"/>
    </xf>
    <xf numFmtId="164" fontId="42" fillId="0" borderId="0" xfId="0" applyNumberFormat="1" applyFont="1" applyFill="1" applyBorder="1" applyProtection="1">
      <protection hidden="1"/>
    </xf>
    <xf numFmtId="0" fontId="12" fillId="0" borderId="0" xfId="0" applyFont="1" applyFill="1" applyAlignment="1" applyProtection="1">
      <alignment horizontal="center"/>
      <protection hidden="1"/>
    </xf>
    <xf numFmtId="0" fontId="12" fillId="0" borderId="0" xfId="0" applyFont="1" applyFill="1" applyProtection="1">
      <protection hidden="1"/>
    </xf>
    <xf numFmtId="0" fontId="12" fillId="0" borderId="0" xfId="0" applyFont="1" applyFill="1" applyBorder="1" applyProtection="1">
      <protection hidden="1"/>
    </xf>
    <xf numFmtId="1" fontId="22" fillId="0" borderId="0" xfId="0" applyNumberFormat="1" applyFont="1" applyFill="1" applyBorder="1" applyAlignment="1" applyProtection="1">
      <alignment horizontal="center" vertical="center"/>
      <protection hidden="1"/>
    </xf>
    <xf numFmtId="167" fontId="50" fillId="0" borderId="0" xfId="0" applyNumberFormat="1" applyFont="1" applyBorder="1" applyAlignment="1" applyProtection="1">
      <alignment horizontal="center" vertical="center"/>
      <protection hidden="1"/>
    </xf>
    <xf numFmtId="167" fontId="50" fillId="0" borderId="0" xfId="0" applyNumberFormat="1" applyFont="1" applyFill="1" applyBorder="1" applyAlignment="1" applyProtection="1">
      <alignment horizontal="left" vertical="center" indent="1"/>
      <protection hidden="1"/>
    </xf>
    <xf numFmtId="0" fontId="15" fillId="0" borderId="0" xfId="0" applyFont="1" applyFill="1" applyAlignment="1" applyProtection="1">
      <alignment vertical="center"/>
      <protection hidden="1"/>
    </xf>
    <xf numFmtId="0" fontId="12" fillId="0" borderId="0" xfId="0" applyFont="1" applyFill="1" applyBorder="1" applyAlignment="1" applyProtection="1">
      <alignment horizontal="center"/>
      <protection hidden="1"/>
    </xf>
    <xf numFmtId="165" fontId="51" fillId="0" borderId="0" xfId="0" applyNumberFormat="1" applyFont="1" applyFill="1" applyBorder="1" applyAlignment="1" applyProtection="1">
      <alignment horizontal="center" vertical="center"/>
      <protection hidden="1"/>
    </xf>
    <xf numFmtId="0" fontId="26" fillId="0" borderId="0" xfId="0" applyFont="1" applyFill="1" applyBorder="1" applyAlignment="1" applyProtection="1">
      <alignment vertical="center"/>
      <protection hidden="1"/>
    </xf>
    <xf numFmtId="0" fontId="26" fillId="0" borderId="0" xfId="0" applyFont="1" applyFill="1" applyAlignment="1" applyProtection="1">
      <alignment vertical="center"/>
      <protection hidden="1"/>
    </xf>
    <xf numFmtId="172" fontId="53" fillId="0" borderId="0" xfId="0" applyNumberFormat="1" applyFont="1" applyFill="1" applyBorder="1" applyAlignment="1" applyProtection="1">
      <alignment horizontal="center" vertical="center"/>
      <protection hidden="1"/>
    </xf>
    <xf numFmtId="0" fontId="12" fillId="0" borderId="0" xfId="0" applyFont="1" applyAlignment="1" applyProtection="1">
      <alignment horizontal="center"/>
      <protection hidden="1"/>
    </xf>
    <xf numFmtId="0" fontId="54" fillId="0" borderId="0" xfId="0" applyFont="1" applyFill="1" applyBorder="1" applyProtection="1">
      <protection hidden="1"/>
    </xf>
    <xf numFmtId="166" fontId="55" fillId="0" borderId="0" xfId="0" applyNumberFormat="1" applyFont="1" applyFill="1" applyBorder="1" applyAlignment="1" applyProtection="1">
      <alignment horizontal="center" vertical="center"/>
      <protection hidden="1"/>
    </xf>
    <xf numFmtId="166" fontId="52" fillId="6" borderId="0" xfId="0" applyNumberFormat="1" applyFont="1" applyFill="1" applyBorder="1" applyAlignment="1" applyProtection="1">
      <alignment horizontal="center" vertical="center" wrapText="1"/>
      <protection hidden="1"/>
    </xf>
    <xf numFmtId="0" fontId="56" fillId="0" borderId="0" xfId="0" applyFont="1" applyFill="1" applyBorder="1" applyProtection="1">
      <protection hidden="1"/>
    </xf>
    <xf numFmtId="165" fontId="57" fillId="0" borderId="0" xfId="0" applyNumberFormat="1" applyFont="1" applyFill="1" applyBorder="1" applyAlignment="1" applyProtection="1">
      <alignment horizontal="center" vertical="center"/>
      <protection hidden="1"/>
    </xf>
    <xf numFmtId="10" fontId="12" fillId="0" borderId="0" xfId="0" applyNumberFormat="1" applyFont="1" applyProtection="1">
      <protection hidden="1"/>
    </xf>
    <xf numFmtId="0" fontId="13" fillId="0" borderId="0" xfId="0" applyFont="1" applyAlignment="1" applyProtection="1">
      <alignment horizontal="center"/>
      <protection hidden="1"/>
    </xf>
    <xf numFmtId="165" fontId="53" fillId="0" borderId="0" xfId="0" applyNumberFormat="1" applyFont="1" applyFill="1" applyBorder="1" applyAlignment="1" applyProtection="1">
      <alignment horizontal="center" vertical="center"/>
      <protection hidden="1"/>
    </xf>
    <xf numFmtId="0" fontId="26" fillId="0" borderId="0" xfId="0" applyFont="1" applyFill="1" applyProtection="1">
      <protection hidden="1"/>
    </xf>
    <xf numFmtId="0" fontId="26" fillId="0" borderId="0" xfId="0" applyFont="1" applyFill="1" applyBorder="1" applyProtection="1">
      <protection hidden="1"/>
    </xf>
    <xf numFmtId="9" fontId="58" fillId="0" borderId="0" xfId="0" applyNumberFormat="1" applyFont="1" applyFill="1" applyBorder="1" applyAlignment="1" applyProtection="1">
      <alignment horizontal="center" vertical="center" wrapText="1"/>
      <protection hidden="1"/>
    </xf>
    <xf numFmtId="0" fontId="26" fillId="0" borderId="0" xfId="0" applyFont="1" applyFill="1" applyBorder="1" applyAlignment="1" applyProtection="1">
      <alignment horizontal="center" vertical="center"/>
      <protection hidden="1"/>
    </xf>
    <xf numFmtId="0" fontId="26" fillId="0" borderId="0" xfId="0" applyFont="1" applyProtection="1">
      <protection hidden="1"/>
    </xf>
    <xf numFmtId="0" fontId="26" fillId="0" borderId="0" xfId="0" applyFont="1" applyAlignment="1" applyProtection="1">
      <alignment horizontal="center"/>
      <protection hidden="1"/>
    </xf>
    <xf numFmtId="9" fontId="53" fillId="0" borderId="0" xfId="0" applyNumberFormat="1" applyFont="1" applyFill="1" applyBorder="1" applyAlignment="1" applyProtection="1">
      <alignment horizontal="center" vertical="center"/>
      <protection hidden="1"/>
    </xf>
    <xf numFmtId="0" fontId="20" fillId="0" borderId="0" xfId="0" applyFont="1" applyFill="1" applyBorder="1" applyAlignment="1" applyProtection="1">
      <alignment horizontal="left" vertical="center" indent="1"/>
      <protection hidden="1"/>
    </xf>
    <xf numFmtId="166" fontId="59" fillId="0" borderId="0" xfId="0" applyNumberFormat="1" applyFont="1" applyFill="1" applyBorder="1" applyAlignment="1" applyProtection="1">
      <alignment horizontal="center" vertical="center"/>
      <protection hidden="1"/>
    </xf>
    <xf numFmtId="166" fontId="19" fillId="0" borderId="0" xfId="0" applyNumberFormat="1" applyFont="1" applyFill="1" applyBorder="1" applyAlignment="1" applyProtection="1">
      <alignment horizontal="center" vertical="center" wrapText="1"/>
      <protection hidden="1"/>
    </xf>
    <xf numFmtId="9" fontId="12" fillId="0" borderId="0" xfId="0" applyNumberFormat="1" applyFont="1" applyProtection="1">
      <protection hidden="1"/>
    </xf>
    <xf numFmtId="3" fontId="60" fillId="0" borderId="0" xfId="0" applyNumberFormat="1" applyFont="1" applyFill="1" applyBorder="1" applyAlignment="1" applyProtection="1">
      <alignment horizontal="center" vertical="center"/>
      <protection hidden="1"/>
    </xf>
    <xf numFmtId="164" fontId="12" fillId="0" borderId="0" xfId="0" applyNumberFormat="1" applyFont="1" applyFill="1" applyBorder="1" applyProtection="1">
      <protection hidden="1"/>
    </xf>
    <xf numFmtId="0" fontId="12" fillId="0" borderId="0" xfId="0" applyFont="1" applyBorder="1" applyAlignment="1" applyProtection="1">
      <alignment horizontal="right" vertical="center" indent="1"/>
      <protection hidden="1"/>
    </xf>
    <xf numFmtId="164" fontId="12" fillId="0" borderId="0" xfId="0" applyNumberFormat="1" applyFont="1" applyBorder="1" applyAlignment="1" applyProtection="1">
      <alignment vertical="center"/>
      <protection hidden="1"/>
    </xf>
    <xf numFmtId="0" fontId="15" fillId="0" borderId="0" xfId="0" applyFont="1" applyBorder="1" applyAlignment="1" applyProtection="1">
      <alignment horizontal="right" indent="1"/>
      <protection hidden="1"/>
    </xf>
    <xf numFmtId="164" fontId="15" fillId="0" borderId="0" xfId="0" applyNumberFormat="1" applyFont="1" applyBorder="1" applyAlignment="1" applyProtection="1">
      <alignment vertical="center"/>
      <protection hidden="1"/>
    </xf>
    <xf numFmtId="0" fontId="62" fillId="0" borderId="0" xfId="0" applyFont="1" applyBorder="1" applyAlignment="1" applyProtection="1">
      <alignment horizontal="right" indent="1"/>
      <protection hidden="1"/>
    </xf>
    <xf numFmtId="10" fontId="63" fillId="0" borderId="0" xfId="0" applyNumberFormat="1" applyFont="1" applyBorder="1" applyAlignment="1" applyProtection="1">
      <alignment horizontal="center" vertical="center"/>
      <protection hidden="1"/>
    </xf>
    <xf numFmtId="0" fontId="12" fillId="0" borderId="0" xfId="0" applyFont="1" applyBorder="1" applyAlignment="1" applyProtection="1">
      <alignment vertical="center"/>
      <protection hidden="1"/>
    </xf>
    <xf numFmtId="0" fontId="21" fillId="0" borderId="0" xfId="0" applyFont="1" applyBorder="1" applyProtection="1">
      <protection hidden="1"/>
    </xf>
    <xf numFmtId="164" fontId="21" fillId="0" borderId="0" xfId="0" applyNumberFormat="1" applyFont="1" applyBorder="1" applyAlignment="1" applyProtection="1">
      <alignment vertical="center"/>
      <protection hidden="1"/>
    </xf>
    <xf numFmtId="164" fontId="35" fillId="0" borderId="0" xfId="0" applyNumberFormat="1" applyFont="1" applyBorder="1" applyAlignment="1" applyProtection="1">
      <alignment vertical="center"/>
      <protection hidden="1"/>
    </xf>
    <xf numFmtId="0" fontId="12" fillId="0" borderId="0" xfId="0" applyFont="1" applyBorder="1" applyAlignment="1" applyProtection="1">
      <alignment horizontal="right" indent="1"/>
      <protection hidden="1"/>
    </xf>
    <xf numFmtId="0" fontId="65" fillId="0" borderId="0" xfId="0" applyFont="1" applyFill="1" applyBorder="1" applyAlignment="1" applyProtection="1">
      <alignment vertical="center"/>
      <protection hidden="1"/>
    </xf>
    <xf numFmtId="164" fontId="13" fillId="0" borderId="0" xfId="0" applyNumberFormat="1" applyFont="1" applyBorder="1" applyAlignment="1" applyProtection="1">
      <alignment vertical="center"/>
      <protection hidden="1"/>
    </xf>
    <xf numFmtId="0" fontId="24" fillId="8" borderId="0" xfId="0" applyFont="1" applyFill="1" applyBorder="1" applyAlignment="1" applyProtection="1">
      <alignment horizontal="left" vertical="center" indent="1"/>
      <protection hidden="1"/>
    </xf>
    <xf numFmtId="165" fontId="24" fillId="8" borderId="0" xfId="0" applyNumberFormat="1" applyFont="1" applyFill="1" applyBorder="1" applyAlignment="1" applyProtection="1">
      <alignment horizontal="center" vertical="center"/>
      <protection hidden="1"/>
    </xf>
    <xf numFmtId="165" fontId="66" fillId="0" borderId="0" xfId="0" applyNumberFormat="1" applyFont="1" applyFill="1" applyBorder="1" applyAlignment="1" applyProtection="1">
      <alignment horizontal="center" vertical="center"/>
      <protection hidden="1"/>
    </xf>
    <xf numFmtId="0" fontId="30" fillId="0" borderId="0" xfId="0" applyFont="1" applyFill="1" applyBorder="1" applyAlignment="1" applyProtection="1">
      <alignment horizontal="right" vertical="center" indent="1"/>
      <protection hidden="1"/>
    </xf>
    <xf numFmtId="165" fontId="39" fillId="0" borderId="0" xfId="0" applyNumberFormat="1" applyFont="1" applyFill="1" applyBorder="1" applyAlignment="1" applyProtection="1">
      <alignment horizontal="center" vertical="center"/>
      <protection hidden="1"/>
    </xf>
    <xf numFmtId="165" fontId="27" fillId="0" borderId="0" xfId="0" applyNumberFormat="1" applyFont="1" applyFill="1" applyBorder="1" applyAlignment="1" applyProtection="1">
      <alignment horizontal="center" vertical="center"/>
      <protection hidden="1"/>
    </xf>
    <xf numFmtId="0" fontId="21" fillId="0" borderId="0" xfId="0" applyFont="1" applyAlignment="1">
      <alignment vertical="center"/>
    </xf>
    <xf numFmtId="164" fontId="12" fillId="0" borderId="0" xfId="0" applyNumberFormat="1" applyFont="1" applyProtection="1">
      <protection hidden="1"/>
    </xf>
    <xf numFmtId="0" fontId="12" fillId="0" borderId="0" xfId="0" applyFont="1" applyAlignment="1" applyProtection="1">
      <alignment horizontal="left" vertical="center"/>
      <protection locked="0"/>
    </xf>
    <xf numFmtId="0" fontId="46" fillId="0" borderId="0" xfId="0" applyFont="1" applyBorder="1" applyAlignment="1" applyProtection="1">
      <alignment horizontal="left" vertical="center"/>
      <protection locked="0"/>
    </xf>
    <xf numFmtId="0" fontId="47" fillId="0" borderId="0" xfId="0" applyFont="1" applyBorder="1" applyAlignment="1" applyProtection="1">
      <alignment horizontal="left"/>
      <protection locked="0"/>
    </xf>
    <xf numFmtId="0" fontId="12" fillId="0" borderId="0" xfId="0" applyFont="1" applyBorder="1" applyAlignment="1" applyProtection="1">
      <alignment horizontal="left" indent="2"/>
      <protection locked="0"/>
    </xf>
    <xf numFmtId="165" fontId="24" fillId="4" borderId="0" xfId="0" applyNumberFormat="1" applyFont="1" applyFill="1" applyBorder="1" applyAlignment="1" applyProtection="1">
      <alignment horizontal="center" vertical="center"/>
      <protection hidden="1"/>
    </xf>
    <xf numFmtId="0" fontId="12" fillId="0" borderId="0" xfId="0" applyFont="1" applyBorder="1" applyAlignment="1" applyProtection="1">
      <alignment horizontal="left" vertical="center" indent="1"/>
      <protection hidden="1"/>
    </xf>
    <xf numFmtId="165" fontId="30" fillId="0" borderId="0" xfId="0" applyNumberFormat="1" applyFont="1" applyFill="1" applyBorder="1" applyAlignment="1" applyProtection="1">
      <alignment horizontal="center" vertical="center"/>
      <protection locked="0"/>
    </xf>
    <xf numFmtId="0" fontId="70" fillId="0" borderId="0" xfId="0" applyFont="1" applyFill="1" applyBorder="1" applyAlignment="1" applyProtection="1">
      <alignment vertical="center"/>
      <protection hidden="1"/>
    </xf>
    <xf numFmtId="0" fontId="70" fillId="0" borderId="0" xfId="0" applyFont="1" applyFill="1" applyAlignment="1" applyProtection="1">
      <alignment vertical="center"/>
      <protection hidden="1"/>
    </xf>
    <xf numFmtId="0" fontId="71" fillId="0" borderId="0" xfId="0" applyFont="1" applyAlignment="1">
      <alignment vertical="center"/>
    </xf>
    <xf numFmtId="0" fontId="71" fillId="0" borderId="0" xfId="0" applyFont="1"/>
    <xf numFmtId="0" fontId="71" fillId="0" borderId="0" xfId="0" applyFont="1" applyAlignment="1">
      <alignment horizontal="left" vertical="center" indent="1"/>
    </xf>
    <xf numFmtId="0" fontId="71" fillId="0" borderId="0" xfId="0" applyFont="1" applyFill="1" applyAlignment="1">
      <alignment vertical="center"/>
    </xf>
    <xf numFmtId="165" fontId="73" fillId="0" borderId="0" xfId="0" applyNumberFormat="1" applyFont="1" applyAlignment="1">
      <alignment horizontal="center" vertical="center"/>
    </xf>
    <xf numFmtId="0" fontId="42" fillId="0" borderId="0" xfId="0" applyFont="1" applyFill="1" applyBorder="1" applyAlignment="1" applyProtection="1">
      <alignment horizontal="right" vertical="center"/>
      <protection hidden="1"/>
    </xf>
    <xf numFmtId="165" fontId="73" fillId="0" borderId="0" xfId="0" applyNumberFormat="1" applyFont="1" applyBorder="1" applyAlignment="1">
      <alignment horizontal="center" vertical="center"/>
    </xf>
    <xf numFmtId="0" fontId="27" fillId="0" borderId="0" xfId="0" applyFont="1" applyAlignment="1">
      <alignment horizontal="center" vertical="center"/>
    </xf>
    <xf numFmtId="0" fontId="25" fillId="0" borderId="0" xfId="0" applyFont="1" applyAlignment="1">
      <alignment vertical="center"/>
    </xf>
    <xf numFmtId="0" fontId="75" fillId="0" borderId="0" xfId="0" applyFont="1" applyAlignment="1">
      <alignment horizontal="left" vertical="center" indent="1"/>
    </xf>
    <xf numFmtId="165" fontId="27" fillId="2" borderId="0" xfId="0" applyNumberFormat="1" applyFont="1" applyFill="1" applyBorder="1" applyAlignment="1" applyProtection="1">
      <alignment horizontal="center"/>
      <protection locked="0"/>
    </xf>
    <xf numFmtId="165" fontId="27" fillId="0" borderId="0" xfId="0" applyNumberFormat="1" applyFont="1" applyBorder="1" applyAlignment="1" applyProtection="1">
      <alignment horizontal="center"/>
      <protection locked="0"/>
    </xf>
    <xf numFmtId="165" fontId="27" fillId="0" borderId="0" xfId="0" applyNumberFormat="1" applyFont="1" applyAlignment="1" applyProtection="1">
      <alignment horizontal="center"/>
      <protection locked="0"/>
    </xf>
    <xf numFmtId="165" fontId="29" fillId="0" borderId="0" xfId="0" applyNumberFormat="1" applyFont="1" applyAlignment="1" applyProtection="1">
      <alignment horizontal="center"/>
      <protection locked="0"/>
    </xf>
    <xf numFmtId="164" fontId="42" fillId="0" borderId="2" xfId="0" applyNumberFormat="1" applyFont="1" applyBorder="1" applyAlignment="1" applyProtection="1">
      <alignment vertical="center"/>
      <protection hidden="1"/>
    </xf>
    <xf numFmtId="1" fontId="77" fillId="0" borderId="0" xfId="0" applyNumberFormat="1" applyFont="1" applyFill="1" applyBorder="1" applyAlignment="1" applyProtection="1">
      <alignment horizontal="center" vertical="center"/>
      <protection hidden="1"/>
    </xf>
    <xf numFmtId="0" fontId="12" fillId="0" borderId="0" xfId="0" applyFont="1" applyAlignment="1">
      <alignment horizontal="left" vertical="center" indent="1"/>
    </xf>
    <xf numFmtId="0" fontId="79" fillId="0" borderId="0" xfId="0" applyFont="1" applyFill="1" applyBorder="1" applyAlignment="1" applyProtection="1">
      <alignment horizontal="left" vertical="center"/>
      <protection locked="0"/>
    </xf>
    <xf numFmtId="164" fontId="22" fillId="12" borderId="0" xfId="0" applyNumberFormat="1" applyFont="1" applyFill="1" applyBorder="1" applyAlignment="1" applyProtection="1">
      <alignment vertical="center"/>
      <protection hidden="1"/>
    </xf>
    <xf numFmtId="165" fontId="24" fillId="3" borderId="0" xfId="0" applyNumberFormat="1" applyFont="1" applyFill="1" applyBorder="1" applyAlignment="1" applyProtection="1">
      <alignment horizontal="center" vertical="center"/>
      <protection hidden="1"/>
    </xf>
    <xf numFmtId="0" fontId="35" fillId="0" borderId="0" xfId="0" applyFont="1" applyBorder="1" applyAlignment="1" applyProtection="1">
      <alignment horizontal="left" indent="1"/>
      <protection locked="0"/>
    </xf>
    <xf numFmtId="164" fontId="12" fillId="2" borderId="0" xfId="0" applyNumberFormat="1" applyFont="1" applyFill="1" applyBorder="1" applyAlignment="1" applyProtection="1">
      <alignment horizontal="centerContinuous" vertical="center"/>
      <protection locked="0"/>
    </xf>
    <xf numFmtId="0" fontId="15" fillId="0" borderId="0" xfId="0" applyFont="1" applyAlignment="1" applyProtection="1">
      <alignment vertical="center"/>
      <protection locked="0"/>
    </xf>
    <xf numFmtId="0" fontId="81" fillId="0" borderId="0" xfId="0" applyFont="1" applyAlignment="1">
      <alignment vertical="center"/>
    </xf>
    <xf numFmtId="0" fontId="83" fillId="0" borderId="0" xfId="0" applyFont="1" applyAlignment="1">
      <alignment vertical="center"/>
    </xf>
    <xf numFmtId="165" fontId="84" fillId="0" borderId="0" xfId="0" applyNumberFormat="1" applyFont="1" applyFill="1" applyBorder="1" applyAlignment="1" applyProtection="1">
      <alignment horizontal="center" vertical="center"/>
      <protection hidden="1"/>
    </xf>
    <xf numFmtId="165" fontId="73" fillId="0" borderId="0" xfId="0" applyNumberFormat="1" applyFont="1" applyFill="1" applyBorder="1" applyAlignment="1" applyProtection="1">
      <alignment horizontal="center" vertical="center"/>
      <protection hidden="1"/>
    </xf>
    <xf numFmtId="0" fontId="22" fillId="0" borderId="0" xfId="0" applyFont="1" applyFill="1" applyAlignment="1" applyProtection="1">
      <alignment vertical="center"/>
      <protection hidden="1"/>
    </xf>
    <xf numFmtId="164" fontId="26" fillId="0" borderId="0" xfId="0" applyNumberFormat="1" applyFont="1" applyFill="1" applyBorder="1" applyAlignment="1" applyProtection="1">
      <alignment horizontal="right" vertical="center"/>
      <protection hidden="1"/>
    </xf>
    <xf numFmtId="165" fontId="26" fillId="0" borderId="0" xfId="0" applyNumberFormat="1" applyFont="1" applyFill="1" applyAlignment="1" applyProtection="1">
      <alignment horizontal="center" vertical="center"/>
      <protection hidden="1"/>
    </xf>
    <xf numFmtId="165" fontId="26" fillId="0" borderId="0" xfId="0" applyNumberFormat="1" applyFont="1" applyAlignment="1" applyProtection="1">
      <alignment horizontal="center" vertical="center"/>
      <protection hidden="1"/>
    </xf>
    <xf numFmtId="165" fontId="26" fillId="0" borderId="0" xfId="0" applyNumberFormat="1" applyFont="1" applyFill="1" applyBorder="1" applyAlignment="1" applyProtection="1">
      <alignment horizontal="center" vertical="center"/>
      <protection hidden="1"/>
    </xf>
    <xf numFmtId="0" fontId="27" fillId="0" borderId="0" xfId="0" applyFont="1" applyProtection="1">
      <protection hidden="1"/>
    </xf>
    <xf numFmtId="0" fontId="27" fillId="0" borderId="0" xfId="0" applyFont="1" applyBorder="1" applyProtection="1">
      <protection hidden="1"/>
    </xf>
    <xf numFmtId="0" fontId="27" fillId="0" borderId="0" xfId="0" applyFont="1" applyProtection="1">
      <protection locked="0"/>
    </xf>
    <xf numFmtId="0" fontId="26" fillId="0" borderId="0" xfId="0" applyFont="1" applyFill="1" applyBorder="1" applyAlignment="1">
      <alignment horizontal="left" vertical="center" indent="1"/>
    </xf>
    <xf numFmtId="174" fontId="87" fillId="0" borderId="0" xfId="0" applyNumberFormat="1" applyFont="1" applyFill="1" applyBorder="1" applyAlignment="1" applyProtection="1">
      <alignment horizontal="center" vertical="center"/>
      <protection locked="0"/>
    </xf>
    <xf numFmtId="0" fontId="88" fillId="0" borderId="0" xfId="0" applyFont="1" applyAlignment="1">
      <alignment vertical="center"/>
    </xf>
    <xf numFmtId="164" fontId="12" fillId="0" borderId="0" xfId="0" applyNumberFormat="1" applyFont="1" applyFill="1" applyBorder="1" applyAlignment="1" applyProtection="1">
      <alignment horizontal="right" vertical="center"/>
      <protection hidden="1"/>
    </xf>
    <xf numFmtId="165" fontId="29" fillId="0" borderId="0" xfId="0" applyNumberFormat="1" applyFont="1" applyFill="1" applyBorder="1" applyAlignment="1" applyProtection="1">
      <alignment horizontal="center" vertical="center"/>
      <protection hidden="1"/>
    </xf>
    <xf numFmtId="9" fontId="58" fillId="0" borderId="0" xfId="0" applyNumberFormat="1" applyFont="1" applyFill="1" applyBorder="1" applyAlignment="1" applyProtection="1">
      <alignment vertical="center" wrapText="1"/>
      <protection hidden="1"/>
    </xf>
    <xf numFmtId="0" fontId="58" fillId="0" borderId="0" xfId="0" applyFont="1" applyFill="1" applyAlignment="1" applyProtection="1">
      <alignment horizontal="center" vertical="center" wrapText="1"/>
      <protection hidden="1"/>
    </xf>
    <xf numFmtId="0" fontId="58" fillId="0" borderId="0" xfId="0" applyFont="1" applyFill="1" applyAlignment="1" applyProtection="1">
      <alignment vertical="center" wrapText="1"/>
      <protection hidden="1"/>
    </xf>
    <xf numFmtId="1" fontId="20" fillId="0" borderId="0" xfId="0" applyNumberFormat="1" applyFont="1" applyFill="1" applyBorder="1" applyAlignment="1" applyProtection="1">
      <alignment horizontal="center" vertical="center"/>
      <protection hidden="1"/>
    </xf>
    <xf numFmtId="1" fontId="20" fillId="0" borderId="0" xfId="0" applyNumberFormat="1" applyFont="1" applyFill="1" applyAlignment="1" applyProtection="1">
      <alignment horizontal="center" vertical="center"/>
      <protection hidden="1"/>
    </xf>
    <xf numFmtId="0" fontId="26" fillId="0" borderId="0" xfId="0" applyFont="1" applyFill="1" applyBorder="1" applyAlignment="1" applyProtection="1">
      <alignment horizontal="center"/>
      <protection hidden="1"/>
    </xf>
    <xf numFmtId="3" fontId="26" fillId="0" borderId="0" xfId="0" applyNumberFormat="1" applyFont="1" applyFill="1" applyBorder="1" applyAlignment="1" applyProtection="1">
      <alignment vertical="center"/>
      <protection hidden="1"/>
    </xf>
    <xf numFmtId="3" fontId="26" fillId="0" borderId="0" xfId="0" applyNumberFormat="1" applyFont="1" applyFill="1" applyAlignment="1" applyProtection="1">
      <alignment vertical="center"/>
      <protection hidden="1"/>
    </xf>
    <xf numFmtId="0" fontId="15" fillId="0" borderId="0" xfId="0" applyFont="1" applyFill="1" applyAlignment="1" applyProtection="1">
      <alignment vertical="center" wrapText="1"/>
      <protection hidden="1"/>
    </xf>
    <xf numFmtId="0" fontId="12" fillId="2" borderId="0" xfId="0" applyFont="1" applyFill="1" applyAlignment="1" applyProtection="1">
      <alignment vertical="center"/>
      <protection locked="0"/>
    </xf>
    <xf numFmtId="164"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10" fontId="12" fillId="2" borderId="0" xfId="0" applyNumberFormat="1" applyFont="1" applyFill="1" applyBorder="1" applyAlignment="1" applyProtection="1">
      <alignment horizontal="left" vertical="center"/>
      <protection locked="0"/>
    </xf>
    <xf numFmtId="164" fontId="34" fillId="0" borderId="0" xfId="3" applyNumberFormat="1" applyFont="1" applyAlignment="1" applyProtection="1">
      <alignment vertical="center"/>
      <protection locked="0"/>
    </xf>
    <xf numFmtId="164" fontId="15" fillId="0" borderId="0" xfId="0" applyNumberFormat="1" applyFont="1" applyAlignment="1" applyProtection="1">
      <alignment vertical="center"/>
      <protection locked="0"/>
    </xf>
    <xf numFmtId="0" fontId="71" fillId="0" borderId="0" xfId="0" applyFont="1" applyFill="1" applyBorder="1" applyProtection="1">
      <protection hidden="1"/>
    </xf>
    <xf numFmtId="0" fontId="71" fillId="0" borderId="0" xfId="0" applyFont="1" applyFill="1" applyProtection="1">
      <protection hidden="1"/>
    </xf>
    <xf numFmtId="0" fontId="71" fillId="0" borderId="0" xfId="0" applyFont="1" applyProtection="1">
      <protection hidden="1"/>
    </xf>
    <xf numFmtId="0" fontId="61" fillId="0" borderId="0" xfId="0" applyFont="1" applyFill="1" applyAlignment="1" applyProtection="1">
      <alignment vertical="center" wrapText="1"/>
      <protection hidden="1"/>
    </xf>
    <xf numFmtId="0" fontId="15" fillId="0" borderId="0" xfId="0" applyFont="1" applyFill="1" applyAlignment="1" applyProtection="1">
      <alignment horizontal="center" vertical="center"/>
      <protection hidden="1"/>
    </xf>
    <xf numFmtId="0" fontId="63" fillId="0" borderId="0" xfId="0" applyFont="1" applyBorder="1" applyAlignment="1" applyProtection="1">
      <alignment horizontal="left" vertical="center" indent="1"/>
      <protection hidden="1"/>
    </xf>
    <xf numFmtId="164" fontId="12" fillId="0" borderId="0" xfId="0" applyNumberFormat="1" applyFont="1" applyFill="1" applyProtection="1">
      <protection hidden="1"/>
    </xf>
    <xf numFmtId="0" fontId="127" fillId="17" borderId="0" xfId="0" applyFont="1" applyFill="1" applyBorder="1" applyAlignment="1" applyProtection="1">
      <alignment horizontal="center" vertical="center" wrapText="1"/>
      <protection hidden="1"/>
    </xf>
    <xf numFmtId="0" fontId="129" fillId="0" borderId="0" xfId="0" applyFont="1" applyProtection="1">
      <protection hidden="1"/>
    </xf>
    <xf numFmtId="0" fontId="129" fillId="0" borderId="0" xfId="0" applyFont="1" applyAlignment="1" applyProtection="1">
      <alignment horizontal="center"/>
      <protection hidden="1"/>
    </xf>
    <xf numFmtId="0" fontId="129" fillId="0" borderId="0" xfId="0" applyFont="1" applyFill="1" applyBorder="1" applyProtection="1">
      <protection hidden="1"/>
    </xf>
    <xf numFmtId="0" fontId="129" fillId="0" borderId="0" xfId="0" applyFont="1" applyFill="1" applyProtection="1">
      <protection hidden="1"/>
    </xf>
    <xf numFmtId="0" fontId="130" fillId="0" borderId="0" xfId="0" applyFont="1" applyProtection="1">
      <protection hidden="1"/>
    </xf>
    <xf numFmtId="0" fontId="130" fillId="0" borderId="0" xfId="0" applyFont="1" applyAlignment="1" applyProtection="1">
      <alignment horizontal="center"/>
      <protection hidden="1"/>
    </xf>
    <xf numFmtId="0" fontId="130" fillId="0" borderId="0" xfId="0" applyFont="1" applyFill="1" applyBorder="1" applyProtection="1">
      <protection hidden="1"/>
    </xf>
    <xf numFmtId="0" fontId="130" fillId="0" borderId="0" xfId="0" applyFont="1" applyFill="1" applyProtection="1">
      <protection hidden="1"/>
    </xf>
    <xf numFmtId="0" fontId="129" fillId="0" borderId="0" xfId="0" applyFont="1" applyFill="1" applyBorder="1" applyAlignment="1" applyProtection="1">
      <alignment horizontal="center"/>
      <protection hidden="1"/>
    </xf>
    <xf numFmtId="9" fontId="127" fillId="0" borderId="0" xfId="0" applyNumberFormat="1" applyFont="1" applyFill="1" applyBorder="1" applyAlignment="1" applyProtection="1">
      <alignment horizontal="center" vertical="center" wrapText="1"/>
      <protection hidden="1"/>
    </xf>
    <xf numFmtId="9" fontId="127" fillId="0" borderId="0" xfId="0" applyNumberFormat="1" applyFont="1" applyFill="1" applyBorder="1" applyAlignment="1" applyProtection="1">
      <alignment vertical="center" wrapText="1"/>
      <protection hidden="1"/>
    </xf>
    <xf numFmtId="0" fontId="131" fillId="0" borderId="0" xfId="0" applyFont="1" applyFill="1" applyBorder="1" applyProtection="1">
      <protection hidden="1"/>
    </xf>
    <xf numFmtId="0" fontId="131" fillId="0" borderId="0" xfId="0" applyFont="1" applyFill="1" applyProtection="1">
      <protection hidden="1"/>
    </xf>
    <xf numFmtId="165" fontId="26" fillId="0" borderId="0" xfId="0" applyNumberFormat="1" applyFont="1" applyFill="1" applyBorder="1" applyAlignment="1" applyProtection="1">
      <alignment horizontal="right" vertical="center" indent="1"/>
      <protection hidden="1"/>
    </xf>
    <xf numFmtId="165" fontId="26" fillId="18" borderId="4" xfId="0" applyNumberFormat="1" applyFont="1" applyFill="1" applyBorder="1" applyAlignment="1" applyProtection="1">
      <alignment horizontal="center" vertical="center"/>
      <protection hidden="1"/>
    </xf>
    <xf numFmtId="165" fontId="26" fillId="18" borderId="0" xfId="0" applyNumberFormat="1" applyFont="1" applyFill="1" applyBorder="1" applyAlignment="1" applyProtection="1">
      <alignment horizontal="center" vertical="center"/>
      <protection hidden="1"/>
    </xf>
    <xf numFmtId="164" fontId="26" fillId="0" borderId="0" xfId="0" applyNumberFormat="1" applyFont="1" applyFill="1" applyAlignment="1" applyProtection="1">
      <alignment horizontal="right" vertical="center"/>
      <protection hidden="1"/>
    </xf>
    <xf numFmtId="165" fontId="22" fillId="0" borderId="0" xfId="0" applyNumberFormat="1" applyFont="1" applyAlignment="1" applyProtection="1">
      <alignment horizontal="center" vertical="center"/>
      <protection hidden="1"/>
    </xf>
    <xf numFmtId="165" fontId="22" fillId="0" borderId="0" xfId="0" applyNumberFormat="1" applyFont="1" applyFill="1" applyBorder="1" applyAlignment="1" applyProtection="1">
      <alignment horizontal="center" vertical="center"/>
      <protection hidden="1"/>
    </xf>
    <xf numFmtId="164" fontId="22" fillId="0" borderId="0" xfId="0" applyNumberFormat="1" applyFont="1" applyFill="1" applyBorder="1" applyAlignment="1" applyProtection="1">
      <alignment horizontal="right" vertical="center"/>
      <protection hidden="1"/>
    </xf>
    <xf numFmtId="164" fontId="22" fillId="0" borderId="0" xfId="0" applyNumberFormat="1" applyFont="1" applyFill="1" applyAlignment="1" applyProtection="1">
      <alignment horizontal="right" vertical="center"/>
      <protection hidden="1"/>
    </xf>
    <xf numFmtId="165" fontId="22" fillId="0" borderId="0" xfId="0" applyNumberFormat="1" applyFont="1" applyFill="1" applyAlignment="1" applyProtection="1">
      <alignment horizontal="center" vertical="center"/>
      <protection hidden="1"/>
    </xf>
    <xf numFmtId="165" fontId="129" fillId="0" borderId="0" xfId="0" applyNumberFormat="1" applyFont="1" applyAlignment="1" applyProtection="1">
      <alignment horizontal="center" vertical="center"/>
      <protection hidden="1"/>
    </xf>
    <xf numFmtId="165" fontId="129" fillId="0" borderId="0" xfId="0" applyNumberFormat="1" applyFont="1" applyFill="1" applyBorder="1" applyAlignment="1" applyProtection="1">
      <alignment horizontal="center" vertical="center"/>
      <protection hidden="1"/>
    </xf>
    <xf numFmtId="0" fontId="0" fillId="0" borderId="0" xfId="0" applyAlignment="1"/>
    <xf numFmtId="0" fontId="16" fillId="0" borderId="0" xfId="0" applyFont="1" applyFill="1" applyBorder="1" applyAlignment="1" applyProtection="1">
      <alignment horizontal="center" vertical="center" wrapText="1"/>
      <protection hidden="1"/>
    </xf>
    <xf numFmtId="0" fontId="16" fillId="0" borderId="0" xfId="0" applyFont="1" applyFill="1" applyBorder="1" applyAlignment="1" applyProtection="1">
      <alignment horizontal="left"/>
      <protection hidden="1"/>
    </xf>
    <xf numFmtId="0" fontId="16" fillId="0" borderId="0" xfId="0" applyFont="1" applyBorder="1" applyAlignment="1" applyProtection="1">
      <alignment horizontal="left" vertical="center" wrapText="1" indent="1"/>
      <protection locked="0"/>
    </xf>
    <xf numFmtId="0" fontId="16" fillId="0" borderId="0" xfId="0" applyFont="1" applyFill="1" applyBorder="1" applyAlignment="1" applyProtection="1">
      <alignment horizontal="left" vertical="center" wrapText="1" indent="1"/>
      <protection hidden="1"/>
    </xf>
    <xf numFmtId="0" fontId="26" fillId="0" borderId="0" xfId="0" applyFont="1" applyFill="1" applyBorder="1" applyAlignment="1" applyProtection="1">
      <alignment vertical="center"/>
      <protection locked="0"/>
    </xf>
    <xf numFmtId="164" fontId="129" fillId="0" borderId="0" xfId="0" applyNumberFormat="1" applyFont="1" applyFill="1" applyBorder="1" applyAlignment="1" applyProtection="1">
      <alignment horizontal="right" vertical="center"/>
      <protection hidden="1"/>
    </xf>
    <xf numFmtId="0" fontId="128" fillId="0" borderId="0" xfId="0" applyFont="1" applyFill="1" applyAlignment="1" applyProtection="1">
      <alignment vertical="center"/>
      <protection hidden="1"/>
    </xf>
    <xf numFmtId="1" fontId="26" fillId="0" borderId="0" xfId="0" applyNumberFormat="1" applyFont="1" applyFill="1" applyBorder="1" applyAlignment="1" applyProtection="1">
      <alignment horizontal="center" vertical="center"/>
      <protection hidden="1"/>
    </xf>
    <xf numFmtId="0" fontId="97" fillId="0" borderId="0" xfId="0" applyFont="1" applyFill="1" applyBorder="1" applyAlignment="1" applyProtection="1">
      <alignment vertical="center"/>
      <protection hidden="1"/>
    </xf>
    <xf numFmtId="0" fontId="98" fillId="0" borderId="0" xfId="0" applyFont="1" applyFill="1" applyBorder="1" applyAlignment="1" applyProtection="1">
      <alignment horizontal="right" vertical="center"/>
      <protection hidden="1"/>
    </xf>
    <xf numFmtId="0" fontId="99" fillId="0" borderId="0" xfId="0" applyFont="1" applyBorder="1" applyAlignment="1" applyProtection="1">
      <alignment horizontal="right" vertical="center"/>
      <protection hidden="1"/>
    </xf>
    <xf numFmtId="0" fontId="69" fillId="0" borderId="0" xfId="0" applyFont="1" applyFill="1" applyBorder="1" applyAlignment="1" applyProtection="1">
      <alignment horizontal="center"/>
      <protection hidden="1"/>
    </xf>
    <xf numFmtId="0" fontId="27" fillId="0" borderId="0" xfId="0" applyFont="1" applyFill="1" applyBorder="1" applyAlignment="1" applyProtection="1">
      <alignment vertical="center"/>
      <protection hidden="1"/>
    </xf>
    <xf numFmtId="0" fontId="33" fillId="0" borderId="0" xfId="0" applyFont="1" applyFill="1" applyBorder="1" applyAlignment="1" applyProtection="1">
      <alignment vertical="center"/>
      <protection hidden="1"/>
    </xf>
    <xf numFmtId="0" fontId="21" fillId="0" borderId="0" xfId="0" applyFont="1" applyFill="1" applyBorder="1" applyAlignment="1" applyProtection="1">
      <alignment horizontal="left" vertical="center" indent="1"/>
      <protection hidden="1"/>
    </xf>
    <xf numFmtId="0" fontId="86" fillId="0" borderId="0" xfId="0" applyFont="1" applyFill="1" applyBorder="1" applyProtection="1">
      <protection hidden="1"/>
    </xf>
    <xf numFmtId="0" fontId="86" fillId="0" borderId="0" xfId="0" applyFont="1" applyFill="1" applyProtection="1">
      <protection hidden="1"/>
    </xf>
    <xf numFmtId="9" fontId="13" fillId="0" borderId="0" xfId="0" applyNumberFormat="1" applyFont="1" applyFill="1" applyBorder="1" applyAlignment="1" applyProtection="1">
      <alignment horizontal="center" vertical="center"/>
      <protection hidden="1"/>
    </xf>
    <xf numFmtId="1" fontId="13" fillId="0" borderId="0" xfId="0" applyNumberFormat="1" applyFont="1" applyFill="1" applyBorder="1" applyAlignment="1" applyProtection="1">
      <alignment horizontal="center" vertical="center"/>
      <protection hidden="1"/>
    </xf>
    <xf numFmtId="9" fontId="13" fillId="0" borderId="0" xfId="0" applyNumberFormat="1" applyFont="1" applyAlignment="1" applyProtection="1">
      <alignment horizontal="center" vertical="center"/>
      <protection hidden="1"/>
    </xf>
    <xf numFmtId="0" fontId="13" fillId="0" borderId="0" xfId="0" applyFont="1" applyProtection="1">
      <protection hidden="1"/>
    </xf>
    <xf numFmtId="0" fontId="13" fillId="0" borderId="0" xfId="0" applyFont="1" applyFill="1" applyBorder="1" applyProtection="1">
      <protection hidden="1"/>
    </xf>
    <xf numFmtId="0" fontId="132" fillId="0" borderId="0" xfId="0" applyFont="1" applyAlignment="1">
      <alignment horizontal="left" vertical="center" wrapText="1" indent="1"/>
    </xf>
    <xf numFmtId="0" fontId="14" fillId="0" borderId="0" xfId="0" applyFont="1" applyProtection="1">
      <protection locked="0"/>
    </xf>
    <xf numFmtId="0" fontId="105" fillId="0" borderId="0" xfId="0" applyFont="1" applyProtection="1">
      <protection locked="0"/>
    </xf>
    <xf numFmtId="0" fontId="105" fillId="0" borderId="0" xfId="0" applyFont="1"/>
    <xf numFmtId="0" fontId="127" fillId="0" borderId="0" xfId="0" applyFont="1" applyFill="1" applyAlignment="1" applyProtection="1">
      <alignment horizontal="center" vertical="center" wrapText="1"/>
      <protection hidden="1"/>
    </xf>
    <xf numFmtId="172" fontId="133" fillId="0" borderId="0" xfId="0" applyNumberFormat="1" applyFont="1" applyFill="1" applyBorder="1" applyAlignment="1" applyProtection="1">
      <alignment horizontal="center" vertical="center"/>
      <protection hidden="1"/>
    </xf>
    <xf numFmtId="0" fontId="134" fillId="0" borderId="0" xfId="0" applyFont="1" applyFill="1" applyBorder="1" applyProtection="1">
      <protection hidden="1"/>
    </xf>
    <xf numFmtId="0" fontId="134" fillId="0" borderId="0" xfId="0" applyFont="1" applyFill="1" applyProtection="1">
      <protection hidden="1"/>
    </xf>
    <xf numFmtId="172" fontId="135" fillId="0" borderId="0" xfId="0" applyNumberFormat="1" applyFont="1" applyFill="1" applyBorder="1" applyAlignment="1" applyProtection="1">
      <alignment horizontal="center" vertical="center"/>
      <protection hidden="1"/>
    </xf>
    <xf numFmtId="0" fontId="28" fillId="0" borderId="0" xfId="0" applyFont="1" applyBorder="1" applyAlignment="1" applyProtection="1">
      <alignment vertical="center"/>
      <protection locked="0"/>
    </xf>
    <xf numFmtId="0" fontId="36" fillId="0" borderId="0" xfId="0" applyFont="1" applyAlignment="1" applyProtection="1">
      <alignment vertical="center"/>
      <protection locked="0"/>
    </xf>
    <xf numFmtId="0" fontId="106" fillId="0" borderId="0" xfId="0" applyFont="1" applyProtection="1">
      <protection hidden="1"/>
    </xf>
    <xf numFmtId="9" fontId="12" fillId="0" borderId="0" xfId="0" applyNumberFormat="1" applyFont="1" applyAlignment="1" applyProtection="1">
      <alignment horizontal="center"/>
      <protection hidden="1"/>
    </xf>
    <xf numFmtId="9" fontId="136" fillId="0" borderId="0" xfId="0" applyNumberFormat="1" applyFont="1" applyAlignment="1" applyProtection="1">
      <alignment horizontal="center" vertical="center"/>
      <protection hidden="1"/>
    </xf>
    <xf numFmtId="9" fontId="136" fillId="0" borderId="0" xfId="0" applyNumberFormat="1" applyFont="1" applyFill="1" applyBorder="1" applyAlignment="1" applyProtection="1">
      <alignment horizontal="center" vertical="center"/>
      <protection hidden="1"/>
    </xf>
    <xf numFmtId="9" fontId="136" fillId="0" borderId="0" xfId="0" applyNumberFormat="1" applyFont="1" applyFill="1" applyAlignment="1" applyProtection="1">
      <alignment horizontal="center" vertical="center"/>
      <protection hidden="1"/>
    </xf>
    <xf numFmtId="0" fontId="137" fillId="0" borderId="0" xfId="3" applyFont="1" applyAlignment="1" applyProtection="1">
      <alignment vertical="center"/>
      <protection hidden="1"/>
    </xf>
    <xf numFmtId="176" fontId="12" fillId="0" borderId="0" xfId="0" applyNumberFormat="1" applyFont="1" applyProtection="1">
      <protection hidden="1"/>
    </xf>
    <xf numFmtId="3" fontId="12" fillId="0" borderId="0" xfId="0" applyNumberFormat="1" applyFont="1" applyFill="1" applyBorder="1" applyProtection="1">
      <protection hidden="1"/>
    </xf>
    <xf numFmtId="0" fontId="15" fillId="0" borderId="0" xfId="0" applyFont="1" applyProtection="1">
      <protection locked="0"/>
    </xf>
    <xf numFmtId="0" fontId="12" fillId="0" borderId="0" xfId="0" applyFont="1" applyBorder="1" applyAlignment="1">
      <alignment horizontal="left" vertical="center" indent="1"/>
    </xf>
    <xf numFmtId="164" fontId="12" fillId="0" borderId="0" xfId="0" applyNumberFormat="1" applyFont="1" applyAlignment="1">
      <alignment vertical="center"/>
    </xf>
    <xf numFmtId="0" fontId="12" fillId="0" borderId="0" xfId="0" applyFont="1" applyFill="1" applyAlignment="1">
      <alignment vertical="center"/>
    </xf>
    <xf numFmtId="0" fontId="15" fillId="0" borderId="0" xfId="0" applyFont="1"/>
    <xf numFmtId="2" fontId="15" fillId="0" borderId="0" xfId="0" applyNumberFormat="1" applyFont="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164" fontId="106" fillId="0" borderId="0" xfId="0" applyNumberFormat="1" applyFont="1" applyProtection="1">
      <protection locked="0"/>
    </xf>
    <xf numFmtId="0" fontId="106" fillId="0" borderId="0" xfId="0" applyFont="1" applyProtection="1">
      <protection locked="0"/>
    </xf>
    <xf numFmtId="0" fontId="115" fillId="0" borderId="0" xfId="0" applyFont="1" applyProtection="1">
      <protection locked="0"/>
    </xf>
    <xf numFmtId="0" fontId="4" fillId="0" borderId="0" xfId="0" applyFont="1" applyAlignment="1"/>
    <xf numFmtId="0" fontId="117" fillId="0" borderId="0" xfId="0" applyFont="1" applyAlignment="1" applyProtection="1">
      <alignment vertical="center"/>
      <protection locked="0"/>
    </xf>
    <xf numFmtId="0" fontId="12" fillId="0" borderId="0" xfId="0" applyFont="1" applyAlignment="1" applyProtection="1">
      <alignment horizontal="left"/>
      <protection locked="0"/>
    </xf>
    <xf numFmtId="0" fontId="12" fillId="0" borderId="0" xfId="0" applyFont="1" applyBorder="1" applyAlignment="1">
      <alignment vertical="center"/>
    </xf>
    <xf numFmtId="0" fontId="15" fillId="0" borderId="0" xfId="0" applyFont="1" applyBorder="1" applyAlignment="1">
      <alignment vertical="center"/>
    </xf>
    <xf numFmtId="164" fontId="12" fillId="0" borderId="0" xfId="0" applyNumberFormat="1" applyFont="1" applyBorder="1" applyAlignment="1">
      <alignment vertical="center"/>
    </xf>
    <xf numFmtId="2"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76" fillId="0" borderId="0" xfId="0" applyFont="1" applyAlignment="1">
      <alignment vertical="center"/>
    </xf>
    <xf numFmtId="0" fontId="25" fillId="0" borderId="0" xfId="0" applyFont="1" applyAlignment="1">
      <alignment horizontal="left" vertical="center" indent="1"/>
    </xf>
    <xf numFmtId="0" fontId="119" fillId="0" borderId="0" xfId="0" applyFont="1" applyAlignment="1">
      <alignment vertical="center"/>
    </xf>
    <xf numFmtId="164" fontId="142" fillId="0" borderId="0" xfId="0" applyNumberFormat="1" applyFont="1" applyFill="1" applyBorder="1" applyAlignment="1" applyProtection="1">
      <alignment horizontal="center" vertical="center"/>
      <protection hidden="1"/>
    </xf>
    <xf numFmtId="3" fontId="129" fillId="0" borderId="0" xfId="0" applyNumberFormat="1" applyFont="1" applyFill="1" applyBorder="1" applyAlignment="1" applyProtection="1">
      <alignment horizontal="right"/>
      <protection hidden="1"/>
    </xf>
    <xf numFmtId="3" fontId="131" fillId="0" borderId="0" xfId="0" applyNumberFormat="1" applyFont="1" applyFill="1" applyBorder="1" applyAlignment="1" applyProtection="1">
      <alignment horizontal="center" vertical="center" wrapText="1"/>
      <protection hidden="1"/>
    </xf>
    <xf numFmtId="3" fontId="129" fillId="0" borderId="0" xfId="0" applyNumberFormat="1" applyFont="1" applyFill="1" applyBorder="1" applyProtection="1">
      <protection hidden="1"/>
    </xf>
    <xf numFmtId="3" fontId="129" fillId="0" borderId="0" xfId="0" applyNumberFormat="1" applyFont="1" applyFill="1" applyProtection="1">
      <protection hidden="1"/>
    </xf>
    <xf numFmtId="166" fontId="131" fillId="0" borderId="0" xfId="0" applyNumberFormat="1" applyFont="1" applyFill="1" applyBorder="1" applyAlignment="1" applyProtection="1">
      <alignment horizontal="center" vertical="center" wrapText="1"/>
      <protection hidden="1"/>
    </xf>
    <xf numFmtId="14" fontId="143" fillId="2" borderId="0" xfId="0" applyNumberFormat="1" applyFont="1" applyFill="1" applyBorder="1" applyAlignment="1" applyProtection="1">
      <alignment horizontal="right" vertical="center"/>
    </xf>
    <xf numFmtId="0" fontId="12" fillId="0" borderId="0" xfId="0" applyFont="1" applyBorder="1" applyAlignment="1" applyProtection="1">
      <alignment horizontal="right"/>
      <protection hidden="1"/>
    </xf>
    <xf numFmtId="164" fontId="12" fillId="0" borderId="0" xfId="0" applyNumberFormat="1" applyFont="1" applyBorder="1" applyAlignment="1" applyProtection="1">
      <alignment horizontal="right"/>
      <protection locked="0"/>
    </xf>
    <xf numFmtId="2" fontId="15" fillId="0" borderId="0" xfId="0" applyNumberFormat="1" applyFont="1" applyBorder="1" applyAlignment="1" applyProtection="1">
      <alignment horizontal="center" vertical="center"/>
      <protection hidden="1"/>
    </xf>
    <xf numFmtId="0" fontId="15" fillId="0" borderId="0" xfId="0" applyFont="1" applyBorder="1" applyAlignment="1" applyProtection="1">
      <alignment horizontal="center" vertical="center"/>
      <protection hidden="1"/>
    </xf>
    <xf numFmtId="164" fontId="129" fillId="0" borderId="0" xfId="0" applyNumberFormat="1" applyFont="1" applyBorder="1" applyAlignment="1" applyProtection="1">
      <alignment vertical="center"/>
      <protection hidden="1"/>
    </xf>
    <xf numFmtId="164" fontId="15" fillId="0" borderId="0" xfId="0" applyNumberFormat="1" applyFont="1" applyFill="1" applyBorder="1" applyAlignment="1" applyProtection="1">
      <alignment horizontal="center" vertical="center"/>
      <protection hidden="1"/>
    </xf>
    <xf numFmtId="0" fontId="40" fillId="0" borderId="0"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12" fillId="0" borderId="0" xfId="0" applyFont="1" applyBorder="1" applyAlignment="1" applyProtection="1">
      <alignment horizontal="left" vertical="center" wrapText="1" indent="1"/>
      <protection locked="0"/>
    </xf>
    <xf numFmtId="0" fontId="156" fillId="0" borderId="0" xfId="0" applyFont="1" applyBorder="1" applyAlignment="1" applyProtection="1">
      <alignment horizontal="left" vertical="center" indent="1"/>
      <protection hidden="1"/>
    </xf>
    <xf numFmtId="0" fontId="156" fillId="0" borderId="0" xfId="0" applyFont="1" applyBorder="1" applyProtection="1">
      <protection hidden="1"/>
    </xf>
    <xf numFmtId="164" fontId="156" fillId="0" borderId="0" xfId="0" applyNumberFormat="1" applyFont="1" applyBorder="1" applyAlignment="1" applyProtection="1">
      <alignment vertical="center"/>
      <protection hidden="1"/>
    </xf>
    <xf numFmtId="0" fontId="129" fillId="0" borderId="0" xfId="0" applyFont="1" applyBorder="1" applyAlignment="1" applyProtection="1">
      <alignment vertical="center"/>
      <protection hidden="1"/>
    </xf>
    <xf numFmtId="10" fontId="12" fillId="0" borderId="0" xfId="0" applyNumberFormat="1" applyFont="1" applyAlignment="1">
      <alignment horizontal="center" vertical="center"/>
    </xf>
    <xf numFmtId="10" fontId="12" fillId="0" borderId="0" xfId="0" applyNumberFormat="1" applyFont="1" applyAlignment="1">
      <alignment vertical="center"/>
    </xf>
    <xf numFmtId="165" fontId="12" fillId="0" borderId="0" xfId="0" applyNumberFormat="1" applyFont="1" applyAlignment="1">
      <alignment vertical="center"/>
    </xf>
    <xf numFmtId="9" fontId="12" fillId="0" borderId="0" xfId="0" applyNumberFormat="1" applyFont="1" applyAlignment="1">
      <alignment horizontal="center" vertical="center"/>
    </xf>
    <xf numFmtId="165" fontId="12" fillId="0" borderId="0" xfId="0" applyNumberFormat="1" applyFont="1" applyAlignment="1">
      <alignment horizontal="center" vertical="center"/>
    </xf>
    <xf numFmtId="9" fontId="12" fillId="0" borderId="0" xfId="0" applyNumberFormat="1" applyFont="1" applyAlignment="1">
      <alignment vertical="center"/>
    </xf>
    <xf numFmtId="165" fontId="22" fillId="18" borderId="0" xfId="0" applyNumberFormat="1" applyFont="1" applyFill="1" applyBorder="1" applyAlignment="1" applyProtection="1">
      <alignment horizontal="center" vertical="center"/>
      <protection hidden="1"/>
    </xf>
    <xf numFmtId="0" fontId="15" fillId="0" borderId="5" xfId="0" applyFont="1" applyFill="1" applyBorder="1" applyAlignment="1" applyProtection="1">
      <alignment vertical="center"/>
      <protection hidden="1"/>
    </xf>
    <xf numFmtId="165" fontId="12" fillId="0" borderId="0" xfId="0" applyNumberFormat="1" applyFont="1" applyAlignment="1" applyProtection="1">
      <alignment horizontal="center"/>
      <protection locked="0"/>
    </xf>
    <xf numFmtId="165" fontId="133" fillId="0" borderId="0" xfId="0" applyNumberFormat="1" applyFont="1" applyFill="1" applyBorder="1" applyAlignment="1" applyProtection="1">
      <alignment horizontal="center" vertical="center"/>
      <protection hidden="1"/>
    </xf>
    <xf numFmtId="165" fontId="133" fillId="0" borderId="0" xfId="0" applyNumberFormat="1" applyFont="1" applyFill="1" applyAlignment="1" applyProtection="1">
      <alignment horizontal="center" vertical="center"/>
      <protection hidden="1"/>
    </xf>
    <xf numFmtId="9" fontId="160" fillId="0" borderId="0" xfId="0" applyNumberFormat="1" applyFont="1" applyFill="1" applyBorder="1" applyAlignment="1" applyProtection="1">
      <alignment horizontal="center" vertical="center" wrapText="1"/>
      <protection hidden="1"/>
    </xf>
    <xf numFmtId="9" fontId="129" fillId="0" borderId="0" xfId="0" applyNumberFormat="1" applyFont="1" applyFill="1" applyBorder="1" applyAlignment="1" applyProtection="1">
      <alignment horizontal="center" vertical="center"/>
      <protection hidden="1"/>
    </xf>
    <xf numFmtId="9" fontId="129" fillId="0" borderId="0" xfId="0" applyNumberFormat="1" applyFont="1" applyFill="1" applyAlignment="1" applyProtection="1">
      <alignment horizontal="center" vertical="center"/>
      <protection hidden="1"/>
    </xf>
    <xf numFmtId="164" fontId="15" fillId="0" borderId="0" xfId="0" applyNumberFormat="1" applyFont="1" applyFill="1" applyBorder="1" applyAlignment="1" applyProtection="1">
      <alignment horizontal="right" vertical="center"/>
      <protection hidden="1"/>
    </xf>
    <xf numFmtId="0" fontId="12" fillId="0" borderId="0" xfId="0" applyFont="1" applyAlignment="1">
      <alignment horizontal="right" vertical="center"/>
    </xf>
    <xf numFmtId="177" fontId="12" fillId="0" borderId="0" xfId="0" applyNumberFormat="1" applyFont="1" applyAlignment="1">
      <alignment vertical="center"/>
    </xf>
    <xf numFmtId="0" fontId="162" fillId="0" borderId="0" xfId="0" applyFont="1"/>
    <xf numFmtId="3" fontId="162" fillId="0" borderId="0" xfId="0" applyNumberFormat="1" applyFont="1"/>
    <xf numFmtId="165" fontId="162" fillId="0" borderId="0" xfId="0" applyNumberFormat="1" applyFont="1"/>
    <xf numFmtId="10" fontId="12" fillId="0" borderId="0" xfId="0" applyNumberFormat="1" applyFont="1" applyProtection="1">
      <protection locked="0"/>
    </xf>
    <xf numFmtId="0" fontId="156" fillId="0" borderId="0" xfId="0" applyFont="1" applyAlignment="1">
      <alignment horizontal="left" vertical="center" wrapText="1" indent="1"/>
    </xf>
    <xf numFmtId="0" fontId="12" fillId="0" borderId="0" xfId="0" applyFont="1" applyFill="1" applyBorder="1" applyAlignment="1" applyProtection="1">
      <protection hidden="1"/>
    </xf>
    <xf numFmtId="0" fontId="71" fillId="0" borderId="0" xfId="0" applyFont="1" applyFill="1" applyBorder="1" applyAlignment="1" applyProtection="1">
      <protection hidden="1"/>
    </xf>
    <xf numFmtId="0" fontId="12" fillId="0" borderId="0" xfId="0" applyFont="1" applyFill="1" applyAlignment="1" applyProtection="1">
      <protection hidden="1"/>
    </xf>
    <xf numFmtId="0" fontId="71" fillId="0" borderId="0" xfId="0" applyFont="1" applyFill="1" applyAlignment="1" applyProtection="1">
      <protection hidden="1"/>
    </xf>
    <xf numFmtId="0" fontId="106" fillId="0" borderId="0" xfId="0" applyFont="1" applyFill="1" applyBorder="1" applyAlignment="1" applyProtection="1">
      <alignment vertical="top"/>
      <protection hidden="1"/>
    </xf>
    <xf numFmtId="0" fontId="106" fillId="0" borderId="0" xfId="0" applyFont="1" applyFill="1" applyAlignment="1" applyProtection="1">
      <alignment vertical="top"/>
      <protection hidden="1"/>
    </xf>
    <xf numFmtId="0" fontId="110" fillId="0" borderId="0" xfId="0" applyFont="1" applyFill="1" applyBorder="1" applyProtection="1">
      <protection hidden="1"/>
    </xf>
    <xf numFmtId="0" fontId="110" fillId="0" borderId="0" xfId="0" applyFont="1" applyFill="1" applyProtection="1">
      <protection hidden="1"/>
    </xf>
    <xf numFmtId="2" fontId="129" fillId="0" borderId="0" xfId="0" applyNumberFormat="1" applyFont="1" applyBorder="1" applyAlignment="1" applyProtection="1">
      <alignment horizontal="center" vertical="center"/>
      <protection locked="0"/>
    </xf>
    <xf numFmtId="164" fontId="106" fillId="0" borderId="0" xfId="0" applyNumberFormat="1" applyFont="1" applyFill="1" applyBorder="1" applyAlignment="1" applyProtection="1">
      <alignment vertical="center"/>
      <protection locked="0"/>
    </xf>
    <xf numFmtId="164" fontId="22" fillId="19" borderId="21" xfId="0" applyNumberFormat="1" applyFont="1" applyFill="1" applyBorder="1" applyAlignment="1" applyProtection="1">
      <alignment vertical="center"/>
      <protection hidden="1"/>
    </xf>
    <xf numFmtId="165" fontId="22" fillId="19" borderId="26" xfId="0" applyNumberFormat="1" applyFont="1" applyFill="1" applyBorder="1" applyAlignment="1" applyProtection="1">
      <alignment horizontal="center" vertical="center"/>
      <protection hidden="1"/>
    </xf>
    <xf numFmtId="164" fontId="22" fillId="19" borderId="16" xfId="0" applyNumberFormat="1" applyFont="1" applyFill="1" applyBorder="1" applyAlignment="1" applyProtection="1">
      <alignment vertical="center"/>
      <protection hidden="1"/>
    </xf>
    <xf numFmtId="0" fontId="25" fillId="0" borderId="0" xfId="0" applyFont="1" applyFill="1" applyBorder="1" applyAlignment="1" applyProtection="1">
      <alignment vertical="center"/>
      <protection locked="0"/>
    </xf>
    <xf numFmtId="0" fontId="15" fillId="0" borderId="0" xfId="0" applyFont="1" applyAlignment="1" applyProtection="1">
      <alignment horizontal="right" vertical="center"/>
      <protection locked="0"/>
    </xf>
    <xf numFmtId="0" fontId="15" fillId="0" borderId="0" xfId="0" applyFont="1" applyAlignment="1" applyProtection="1">
      <alignment horizontal="right" vertical="center" indent="1"/>
      <protection locked="0"/>
    </xf>
    <xf numFmtId="164" fontId="128" fillId="19" borderId="16" xfId="0" applyNumberFormat="1" applyFont="1" applyFill="1" applyBorder="1" applyAlignment="1" applyProtection="1">
      <alignment vertical="center"/>
      <protection hidden="1"/>
    </xf>
    <xf numFmtId="164" fontId="128" fillId="19" borderId="21" xfId="0" applyNumberFormat="1" applyFont="1" applyFill="1" applyBorder="1" applyAlignment="1" applyProtection="1">
      <alignment vertical="center"/>
      <protection hidden="1"/>
    </xf>
    <xf numFmtId="164" fontId="15" fillId="0" borderId="0" xfId="0" applyNumberFormat="1" applyFont="1" applyBorder="1" applyAlignment="1" applyProtection="1">
      <alignment vertical="top"/>
      <protection locked="0"/>
    </xf>
    <xf numFmtId="165" fontId="29" fillId="0" borderId="0" xfId="0" applyNumberFormat="1" applyFont="1" applyBorder="1" applyAlignment="1" applyProtection="1">
      <alignment horizontal="center" vertical="top"/>
      <protection locked="0"/>
    </xf>
    <xf numFmtId="0" fontId="12" fillId="0" borderId="0" xfId="0" applyFont="1" applyAlignment="1" applyProtection="1">
      <alignment vertical="top"/>
      <protection locked="0"/>
    </xf>
    <xf numFmtId="0" fontId="15" fillId="0" borderId="0" xfId="0" applyFont="1" applyBorder="1" applyAlignment="1" applyProtection="1">
      <alignment horizontal="right" vertical="center"/>
      <protection locked="0"/>
    </xf>
    <xf numFmtId="0" fontId="168" fillId="0" borderId="0" xfId="0" applyFont="1" applyBorder="1" applyAlignment="1" applyProtection="1">
      <alignment horizontal="left" vertical="center"/>
      <protection locked="0"/>
    </xf>
    <xf numFmtId="0" fontId="15" fillId="0" borderId="0" xfId="0" applyFont="1" applyAlignment="1">
      <alignment horizontal="right" vertical="center" indent="1"/>
    </xf>
    <xf numFmtId="165" fontId="24" fillId="19" borderId="12" xfId="0" applyNumberFormat="1" applyFont="1" applyFill="1" applyBorder="1" applyAlignment="1" applyProtection="1">
      <alignment horizontal="center" vertical="top"/>
      <protection hidden="1"/>
    </xf>
    <xf numFmtId="0" fontId="12" fillId="0" borderId="0" xfId="0" applyFont="1" applyBorder="1" applyAlignment="1" applyProtection="1">
      <alignment horizontal="right" vertical="center"/>
      <protection locked="0"/>
    </xf>
    <xf numFmtId="10" fontId="12" fillId="2" borderId="0" xfId="0" applyNumberFormat="1" applyFont="1" applyFill="1" applyBorder="1" applyAlignment="1" applyProtection="1">
      <alignment vertical="center"/>
      <protection locked="0"/>
    </xf>
    <xf numFmtId="0" fontId="15" fillId="0" borderId="0" xfId="0" applyFont="1" applyFill="1" applyBorder="1" applyAlignment="1" applyProtection="1">
      <alignment vertical="center"/>
      <protection locked="0"/>
    </xf>
    <xf numFmtId="0" fontId="15" fillId="0" borderId="0" xfId="0" applyFont="1" applyBorder="1" applyAlignment="1" applyProtection="1">
      <alignment vertical="center"/>
      <protection locked="0"/>
    </xf>
    <xf numFmtId="0" fontId="22" fillId="0" borderId="0"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15" fillId="0" borderId="0" xfId="0" applyFont="1" applyBorder="1" applyAlignment="1" applyProtection="1">
      <protection hidden="1"/>
    </xf>
    <xf numFmtId="0" fontId="12" fillId="0" borderId="0" xfId="0" applyFont="1" applyBorder="1" applyAlignment="1" applyProtection="1">
      <alignment vertical="center"/>
      <protection locked="0"/>
    </xf>
    <xf numFmtId="0" fontId="15" fillId="2" borderId="0" xfId="0" applyFont="1" applyFill="1" applyBorder="1" applyAlignment="1" applyProtection="1">
      <alignment horizontal="right" vertical="center"/>
      <protection locked="0"/>
    </xf>
    <xf numFmtId="0" fontId="22"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0" fontId="15" fillId="0" borderId="0" xfId="0" applyFont="1" applyBorder="1" applyAlignment="1" applyProtection="1">
      <alignment horizontal="right"/>
      <protection hidden="1"/>
    </xf>
    <xf numFmtId="165" fontId="24" fillId="4" borderId="12" xfId="0" applyNumberFormat="1" applyFont="1" applyFill="1" applyBorder="1" applyAlignment="1" applyProtection="1">
      <alignment horizontal="center" vertical="top"/>
      <protection hidden="1"/>
    </xf>
    <xf numFmtId="165" fontId="24" fillId="19" borderId="39" xfId="0" applyNumberFormat="1" applyFont="1" applyFill="1" applyBorder="1" applyAlignment="1" applyProtection="1">
      <alignment horizontal="center" vertical="top"/>
      <protection hidden="1"/>
    </xf>
    <xf numFmtId="165" fontId="24" fillId="19" borderId="32" xfId="0" applyNumberFormat="1" applyFont="1" applyFill="1" applyBorder="1" applyAlignment="1" applyProtection="1">
      <alignment horizontal="center" vertical="top"/>
      <protection hidden="1"/>
    </xf>
    <xf numFmtId="0" fontId="22" fillId="19" borderId="42" xfId="0" applyFont="1" applyFill="1" applyBorder="1" applyAlignment="1" applyProtection="1">
      <alignment horizontal="left" vertical="center" indent="1"/>
      <protection locked="0"/>
    </xf>
    <xf numFmtId="164" fontId="22" fillId="19" borderId="19" xfId="0" applyNumberFormat="1" applyFont="1" applyFill="1" applyBorder="1" applyAlignment="1" applyProtection="1">
      <alignment vertical="center"/>
      <protection hidden="1"/>
    </xf>
    <xf numFmtId="164" fontId="22" fillId="19" borderId="43" xfId="0" applyNumberFormat="1" applyFont="1" applyFill="1" applyBorder="1" applyAlignment="1" applyProtection="1">
      <alignment vertical="center"/>
      <protection hidden="1"/>
    </xf>
    <xf numFmtId="0" fontId="179" fillId="0" borderId="0" xfId="0" applyFont="1" applyBorder="1" applyAlignment="1" applyProtection="1">
      <alignment horizontal="left" vertical="center" indent="1"/>
      <protection hidden="1"/>
    </xf>
    <xf numFmtId="164" fontId="12" fillId="0" borderId="0" xfId="0" applyNumberFormat="1" applyFont="1" applyFill="1" applyAlignment="1">
      <alignment vertical="center"/>
    </xf>
    <xf numFmtId="165" fontId="31" fillId="0" borderId="0" xfId="0" applyNumberFormat="1" applyFont="1" applyAlignment="1">
      <alignment horizontal="center" vertical="center"/>
    </xf>
    <xf numFmtId="165" fontId="42" fillId="0" borderId="0" xfId="0" applyNumberFormat="1" applyFont="1" applyFill="1" applyBorder="1" applyAlignment="1" applyProtection="1">
      <alignment horizontal="center" vertical="center"/>
      <protection hidden="1"/>
    </xf>
    <xf numFmtId="0" fontId="31" fillId="0" borderId="0" xfId="0" applyFont="1" applyAlignment="1">
      <alignment horizontal="center" vertical="center"/>
    </xf>
    <xf numFmtId="0" fontId="106" fillId="0" borderId="0" xfId="0" applyFont="1"/>
    <xf numFmtId="0" fontId="106" fillId="0" borderId="0" xfId="0" applyFont="1" applyAlignment="1">
      <alignment vertical="center"/>
    </xf>
    <xf numFmtId="165" fontId="31" fillId="0" borderId="0" xfId="0" applyNumberFormat="1" applyFont="1" applyBorder="1" applyAlignment="1">
      <alignment horizontal="center" vertical="center"/>
    </xf>
    <xf numFmtId="0" fontId="169" fillId="0" borderId="0" xfId="0" applyFont="1" applyBorder="1" applyAlignment="1" applyProtection="1">
      <alignment horizontal="left" vertical="center"/>
      <protection locked="0"/>
    </xf>
    <xf numFmtId="164" fontId="143" fillId="0" borderId="51" xfId="0" applyNumberFormat="1" applyFont="1" applyFill="1" applyBorder="1" applyAlignment="1" applyProtection="1">
      <alignment vertical="center"/>
      <protection hidden="1"/>
    </xf>
    <xf numFmtId="164" fontId="44" fillId="21" borderId="52" xfId="0" applyNumberFormat="1" applyFont="1" applyFill="1" applyBorder="1" applyAlignment="1" applyProtection="1">
      <alignment vertical="center"/>
      <protection hidden="1"/>
    </xf>
    <xf numFmtId="164" fontId="29" fillId="0" borderId="51" xfId="0" applyNumberFormat="1" applyFont="1" applyFill="1" applyBorder="1" applyAlignment="1" applyProtection="1">
      <alignment vertical="center"/>
      <protection hidden="1"/>
    </xf>
    <xf numFmtId="165" fontId="84" fillId="0" borderId="0" xfId="0" applyNumberFormat="1" applyFont="1" applyFill="1" applyBorder="1" applyAlignment="1" applyProtection="1">
      <alignment horizontal="center" vertical="top"/>
      <protection hidden="1"/>
    </xf>
    <xf numFmtId="0" fontId="12" fillId="0" borderId="0" xfId="0" applyFont="1" applyBorder="1" applyAlignment="1" applyProtection="1">
      <alignment horizontal="center" vertical="top"/>
      <protection hidden="1"/>
    </xf>
    <xf numFmtId="0" fontId="12" fillId="0" borderId="0" xfId="0" applyFont="1" applyFill="1" applyBorder="1" applyAlignment="1" applyProtection="1">
      <alignment vertical="top"/>
      <protection hidden="1"/>
    </xf>
    <xf numFmtId="164" fontId="15" fillId="0" borderId="0" xfId="0" applyNumberFormat="1" applyFont="1" applyFill="1" applyBorder="1" applyAlignment="1" applyProtection="1">
      <alignment vertical="top"/>
      <protection locked="0"/>
    </xf>
    <xf numFmtId="0" fontId="12" fillId="0" borderId="0" xfId="0" applyFont="1" applyFill="1" applyBorder="1" applyAlignment="1" applyProtection="1">
      <alignment vertical="top"/>
      <protection locked="0"/>
    </xf>
    <xf numFmtId="165" fontId="26" fillId="0" borderId="0" xfId="0" applyNumberFormat="1" applyFont="1" applyFill="1" applyBorder="1" applyAlignment="1" applyProtection="1">
      <alignment horizontal="center" vertical="top"/>
      <protection hidden="1"/>
    </xf>
    <xf numFmtId="165" fontId="27" fillId="0" borderId="0" xfId="0" applyNumberFormat="1" applyFont="1" applyFill="1" applyBorder="1" applyAlignment="1" applyProtection="1">
      <alignment horizontal="center" vertical="top"/>
      <protection hidden="1"/>
    </xf>
    <xf numFmtId="164" fontId="12" fillId="0" borderId="7" xfId="0" applyNumberFormat="1" applyFont="1" applyFill="1" applyBorder="1" applyAlignment="1" applyProtection="1">
      <alignment vertical="center"/>
      <protection locked="0"/>
    </xf>
    <xf numFmtId="0" fontId="106" fillId="0" borderId="0" xfId="0" applyFont="1" applyBorder="1" applyProtection="1">
      <protection locked="0"/>
    </xf>
    <xf numFmtId="0" fontId="12" fillId="0" borderId="0" xfId="0" applyFont="1" applyBorder="1" applyAlignment="1" applyProtection="1">
      <alignment vertical="top"/>
      <protection locked="0"/>
    </xf>
    <xf numFmtId="165" fontId="24" fillId="19" borderId="13" xfId="0" applyNumberFormat="1" applyFont="1" applyFill="1" applyBorder="1" applyAlignment="1" applyProtection="1">
      <alignment horizontal="center" vertical="top"/>
      <protection hidden="1"/>
    </xf>
    <xf numFmtId="165" fontId="24" fillId="19" borderId="63" xfId="0" applyNumberFormat="1" applyFont="1" applyFill="1" applyBorder="1" applyAlignment="1" applyProtection="1">
      <alignment horizontal="center" vertical="center"/>
      <protection hidden="1"/>
    </xf>
    <xf numFmtId="0" fontId="199" fillId="0" borderId="0" xfId="0" applyFont="1" applyBorder="1" applyAlignment="1" applyProtection="1">
      <alignment horizontal="center"/>
      <protection locked="0"/>
    </xf>
    <xf numFmtId="178" fontId="199" fillId="0" borderId="0" xfId="0" applyNumberFormat="1" applyFont="1" applyBorder="1" applyAlignment="1" applyProtection="1">
      <alignment horizontal="center" vertical="top"/>
      <protection locked="0"/>
    </xf>
    <xf numFmtId="0" fontId="199" fillId="0" borderId="0" xfId="0" applyFont="1" applyAlignment="1" applyProtection="1">
      <alignment horizontal="center"/>
      <protection locked="0"/>
    </xf>
    <xf numFmtId="167" fontId="24" fillId="32" borderId="12" xfId="0" applyNumberFormat="1" applyFont="1" applyFill="1" applyBorder="1" applyAlignment="1" applyProtection="1">
      <alignment horizontal="center" vertical="top"/>
      <protection locked="0"/>
    </xf>
    <xf numFmtId="0" fontId="12" fillId="0" borderId="0" xfId="0" applyFont="1" applyBorder="1" applyAlignment="1" applyProtection="1">
      <protection hidden="1"/>
    </xf>
    <xf numFmtId="10" fontId="12" fillId="0" borderId="0" xfId="0" applyNumberFormat="1" applyFont="1" applyFill="1" applyBorder="1" applyAlignment="1" applyProtection="1">
      <alignment horizontal="left"/>
      <protection hidden="1"/>
    </xf>
    <xf numFmtId="164" fontId="12" fillId="0" borderId="0" xfId="0" applyNumberFormat="1" applyFont="1" applyFill="1" applyBorder="1" applyAlignment="1" applyProtection="1">
      <alignment vertical="top"/>
      <protection hidden="1"/>
    </xf>
    <xf numFmtId="165" fontId="24" fillId="44" borderId="0" xfId="0" applyNumberFormat="1" applyFont="1" applyFill="1" applyBorder="1" applyAlignment="1" applyProtection="1">
      <alignment horizontal="center" vertical="center"/>
      <protection hidden="1"/>
    </xf>
    <xf numFmtId="0" fontId="169" fillId="0" borderId="0" xfId="0" applyFont="1" applyBorder="1" applyAlignment="1" applyProtection="1">
      <alignment horizontal="left" vertical="center" indent="1"/>
      <protection hidden="1"/>
    </xf>
    <xf numFmtId="0" fontId="12" fillId="0" borderId="0" xfId="0" applyFont="1" applyBorder="1"/>
    <xf numFmtId="0" fontId="27" fillId="0" borderId="0" xfId="0" applyFont="1" applyBorder="1" applyAlignment="1">
      <alignment horizontal="center" vertical="center"/>
    </xf>
    <xf numFmtId="0" fontId="12" fillId="28" borderId="0" xfId="0" applyFont="1" applyFill="1" applyBorder="1" applyAlignment="1">
      <alignment horizontal="left"/>
    </xf>
    <xf numFmtId="9" fontId="42" fillId="28" borderId="0" xfId="0" applyNumberFormat="1" applyFont="1" applyFill="1" applyBorder="1" applyAlignment="1" applyProtection="1">
      <alignment horizontal="center"/>
      <protection locked="0"/>
    </xf>
    <xf numFmtId="9" fontId="29" fillId="28" borderId="0" xfId="0" applyNumberFormat="1" applyFont="1" applyFill="1" applyBorder="1" applyAlignment="1" applyProtection="1">
      <alignment horizontal="center"/>
      <protection locked="0"/>
    </xf>
    <xf numFmtId="0" fontId="106" fillId="28" borderId="0" xfId="0" applyFont="1" applyFill="1" applyBorder="1"/>
    <xf numFmtId="0" fontId="12" fillId="28" borderId="0" xfId="0" applyFont="1" applyFill="1" applyBorder="1"/>
    <xf numFmtId="0" fontId="31" fillId="28" borderId="0" xfId="0" applyFont="1" applyFill="1" applyBorder="1" applyAlignment="1">
      <alignment horizontal="center" vertical="center"/>
    </xf>
    <xf numFmtId="164" fontId="201" fillId="19" borderId="7" xfId="4" applyNumberFormat="1" applyFont="1" applyFill="1" applyBorder="1" applyAlignment="1" applyProtection="1">
      <alignment vertical="center"/>
      <protection hidden="1"/>
    </xf>
    <xf numFmtId="164" fontId="201" fillId="19" borderId="4" xfId="4" applyNumberFormat="1" applyFont="1" applyFill="1" applyBorder="1" applyAlignment="1" applyProtection="1">
      <alignment vertical="center"/>
      <protection hidden="1"/>
    </xf>
    <xf numFmtId="9" fontId="201" fillId="19" borderId="65" xfId="4" applyNumberFormat="1" applyFont="1" applyFill="1" applyBorder="1" applyAlignment="1" applyProtection="1">
      <alignment horizontal="center" vertical="center"/>
      <protection hidden="1"/>
    </xf>
    <xf numFmtId="9" fontId="201" fillId="19" borderId="66" xfId="4" applyNumberFormat="1" applyFont="1" applyFill="1" applyBorder="1" applyAlignment="1" applyProtection="1">
      <alignment horizontal="center" vertical="center"/>
      <protection hidden="1"/>
    </xf>
    <xf numFmtId="164" fontId="201" fillId="19" borderId="67" xfId="4" applyNumberFormat="1" applyFont="1" applyFill="1" applyBorder="1" applyAlignment="1" applyProtection="1">
      <alignment vertical="center"/>
      <protection hidden="1"/>
    </xf>
    <xf numFmtId="164" fontId="201" fillId="19" borderId="68" xfId="4" applyNumberFormat="1" applyFont="1" applyFill="1" applyBorder="1" applyAlignment="1" applyProtection="1">
      <alignment vertical="center"/>
      <protection hidden="1"/>
    </xf>
    <xf numFmtId="0" fontId="14" fillId="0" borderId="0" xfId="0" applyFont="1" applyAlignment="1" applyProtection="1">
      <alignment vertical="top"/>
      <protection locked="0"/>
    </xf>
    <xf numFmtId="164" fontId="12" fillId="0" borderId="0" xfId="0" applyNumberFormat="1" applyFont="1" applyBorder="1" applyAlignment="1" applyProtection="1">
      <alignment vertical="top"/>
      <protection locked="0"/>
    </xf>
    <xf numFmtId="164" fontId="12" fillId="0" borderId="0" xfId="0" applyNumberFormat="1" applyFont="1" applyBorder="1" applyAlignment="1" applyProtection="1">
      <alignment vertical="top"/>
      <protection hidden="1"/>
    </xf>
    <xf numFmtId="165" fontId="27" fillId="0" borderId="0" xfId="0" applyNumberFormat="1" applyFont="1" applyBorder="1" applyAlignment="1" applyProtection="1">
      <alignment horizontal="center" vertical="top"/>
      <protection locked="0"/>
    </xf>
    <xf numFmtId="0" fontId="205" fillId="0" borderId="0" xfId="0" applyFont="1" applyBorder="1" applyProtection="1">
      <protection locked="0"/>
    </xf>
    <xf numFmtId="165" fontId="49" fillId="19" borderId="39" xfId="0" applyNumberFormat="1" applyFont="1" applyFill="1" applyBorder="1" applyAlignment="1" applyProtection="1">
      <alignment horizontal="center" vertical="top"/>
      <protection hidden="1"/>
    </xf>
    <xf numFmtId="165" fontId="49" fillId="19" borderId="41" xfId="0" applyNumberFormat="1" applyFont="1" applyFill="1" applyBorder="1" applyAlignment="1" applyProtection="1">
      <alignment horizontal="center" vertical="top"/>
      <protection hidden="1"/>
    </xf>
    <xf numFmtId="165" fontId="49" fillId="19" borderId="48" xfId="0" applyNumberFormat="1" applyFont="1" applyFill="1" applyBorder="1" applyAlignment="1" applyProtection="1">
      <alignment horizontal="center" vertical="top"/>
      <protection hidden="1"/>
    </xf>
    <xf numFmtId="9" fontId="58" fillId="0" borderId="0" xfId="0" applyNumberFormat="1" applyFont="1" applyFill="1" applyBorder="1" applyAlignment="1" applyProtection="1">
      <alignment horizontal="center" vertical="center" wrapText="1"/>
      <protection hidden="1"/>
    </xf>
    <xf numFmtId="9" fontId="127" fillId="0" borderId="0" xfId="0" applyNumberFormat="1" applyFont="1" applyFill="1" applyBorder="1" applyAlignment="1" applyProtection="1">
      <alignment horizontal="center" vertical="center" wrapText="1"/>
      <protection hidden="1"/>
    </xf>
    <xf numFmtId="9" fontId="160" fillId="0" borderId="0" xfId="0" applyNumberFormat="1" applyFont="1" applyFill="1" applyBorder="1" applyAlignment="1" applyProtection="1">
      <alignment horizontal="center" vertical="center" wrapText="1"/>
      <protection hidden="1"/>
    </xf>
    <xf numFmtId="0" fontId="13" fillId="0" borderId="0" xfId="0" applyFont="1" applyBorder="1" applyAlignment="1" applyProtection="1">
      <alignment horizontal="right" vertical="center" indent="1"/>
      <protection locked="0"/>
    </xf>
    <xf numFmtId="0" fontId="167" fillId="0" borderId="0" xfId="0" applyFont="1" applyBorder="1" applyAlignment="1" applyProtection="1">
      <alignment horizontal="right" vertical="center" indent="1"/>
      <protection locked="0"/>
    </xf>
    <xf numFmtId="0" fontId="16" fillId="0" borderId="0" xfId="0" applyFont="1" applyBorder="1" applyAlignment="1" applyProtection="1">
      <alignment horizontal="right" indent="1"/>
      <protection locked="0"/>
    </xf>
    <xf numFmtId="0" fontId="161" fillId="0" borderId="0" xfId="0" applyFont="1" applyBorder="1" applyAlignment="1" applyProtection="1">
      <alignment horizontal="right" vertical="center" indent="1"/>
      <protection locked="0"/>
    </xf>
    <xf numFmtId="0" fontId="12" fillId="0" borderId="0" xfId="0" applyFont="1" applyAlignment="1" applyProtection="1">
      <alignment horizontal="right" vertical="center"/>
      <protection locked="0"/>
    </xf>
    <xf numFmtId="0" fontId="15" fillId="2" borderId="0" xfId="0" applyFont="1" applyFill="1" applyBorder="1" applyAlignment="1" applyProtection="1">
      <alignment horizontal="left" vertical="center"/>
      <protection locked="0"/>
    </xf>
    <xf numFmtId="0" fontId="22" fillId="19" borderId="16" xfId="0" applyFont="1" applyFill="1" applyBorder="1" applyAlignment="1" applyProtection="1">
      <alignment horizontal="right" vertical="center"/>
      <protection locked="0"/>
    </xf>
    <xf numFmtId="0" fontId="15" fillId="0" borderId="0" xfId="0" applyFont="1" applyBorder="1" applyAlignment="1" applyProtection="1">
      <alignment horizontal="left" vertical="center"/>
      <protection locked="0"/>
    </xf>
    <xf numFmtId="0" fontId="15" fillId="0" borderId="0" xfId="0" applyFont="1" applyBorder="1" applyAlignment="1" applyProtection="1">
      <alignment horizontal="right" vertical="top"/>
      <protection locked="0"/>
    </xf>
    <xf numFmtId="0" fontId="15" fillId="0" borderId="0" xfId="0" applyFont="1" applyBorder="1" applyAlignment="1" applyProtection="1">
      <alignment horizontal="left" vertical="top"/>
      <protection locked="0"/>
    </xf>
    <xf numFmtId="0" fontId="15" fillId="0" borderId="0" xfId="0" applyFont="1" applyAlignment="1" applyProtection="1">
      <alignment horizontal="left" vertical="center"/>
      <protection locked="0"/>
    </xf>
    <xf numFmtId="0" fontId="42" fillId="0" borderId="0" xfId="0" applyFont="1" applyBorder="1" applyAlignment="1" applyProtection="1">
      <alignment horizontal="right" vertical="center" indent="1"/>
      <protection locked="0"/>
    </xf>
    <xf numFmtId="0" fontId="187" fillId="0" borderId="7" xfId="0" applyFont="1" applyBorder="1" applyAlignment="1" applyProtection="1">
      <alignment horizontal="left" vertical="center"/>
      <protection locked="0"/>
    </xf>
    <xf numFmtId="0" fontId="169" fillId="0" borderId="7"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40" fillId="0" borderId="7" xfId="0" applyFont="1" applyBorder="1" applyAlignment="1" applyProtection="1">
      <alignment horizontal="left" vertical="center"/>
      <protection locked="0"/>
    </xf>
    <xf numFmtId="0" fontId="179" fillId="0" borderId="0" xfId="0" applyFont="1" applyBorder="1" applyAlignment="1" applyProtection="1">
      <alignment horizontal="left" vertical="center" indent="1"/>
      <protection locked="0"/>
    </xf>
    <xf numFmtId="0" fontId="179" fillId="0" borderId="7" xfId="0" applyFont="1" applyBorder="1" applyAlignment="1" applyProtection="1">
      <alignment horizontal="left" vertical="center" indent="1"/>
      <protection locked="0"/>
    </xf>
    <xf numFmtId="164" fontId="48" fillId="0" borderId="0" xfId="0" applyNumberFormat="1" applyFont="1" applyFill="1" applyBorder="1" applyAlignment="1" applyProtection="1">
      <alignment vertical="center"/>
      <protection locked="0"/>
    </xf>
    <xf numFmtId="0" fontId="29" fillId="0" borderId="0" xfId="0" applyFont="1" applyFill="1" applyBorder="1" applyAlignment="1" applyProtection="1">
      <alignment horizontal="left" vertical="center" indent="8"/>
      <protection hidden="1"/>
    </xf>
    <xf numFmtId="1" fontId="21" fillId="0" borderId="0" xfId="0" applyNumberFormat="1" applyFont="1" applyFill="1" applyBorder="1" applyAlignment="1" applyProtection="1">
      <alignment horizontal="center" vertical="center"/>
      <protection hidden="1"/>
    </xf>
    <xf numFmtId="1" fontId="21" fillId="0" borderId="0" xfId="0" applyNumberFormat="1" applyFont="1" applyFill="1" applyAlignment="1" applyProtection="1">
      <alignment horizontal="center" vertical="center"/>
      <protection hidden="1"/>
    </xf>
    <xf numFmtId="0" fontId="179" fillId="0" borderId="0" xfId="0" applyFont="1" applyBorder="1" applyAlignment="1" applyProtection="1">
      <alignment horizontal="left" vertical="center"/>
      <protection locked="0"/>
    </xf>
    <xf numFmtId="0" fontId="179" fillId="0" borderId="7" xfId="0" applyFont="1" applyBorder="1" applyAlignment="1" applyProtection="1">
      <alignment horizontal="left" vertical="center"/>
      <protection locked="0"/>
    </xf>
    <xf numFmtId="164" fontId="12" fillId="2" borderId="0" xfId="0" applyNumberFormat="1" applyFont="1" applyFill="1" applyProtection="1">
      <protection locked="0"/>
    </xf>
    <xf numFmtId="165" fontId="24" fillId="18" borderId="13" xfId="0" applyNumberFormat="1" applyFont="1" applyFill="1" applyBorder="1" applyAlignment="1" applyProtection="1">
      <alignment horizontal="center" vertical="top"/>
      <protection hidden="1"/>
    </xf>
    <xf numFmtId="165" fontId="24" fillId="18" borderId="63" xfId="0" applyNumberFormat="1" applyFont="1" applyFill="1" applyBorder="1" applyAlignment="1" applyProtection="1">
      <alignment horizontal="center" vertical="center"/>
      <protection hidden="1"/>
    </xf>
    <xf numFmtId="0" fontId="205" fillId="0" borderId="0" xfId="0" applyFont="1" applyBorder="1" applyAlignment="1" applyProtection="1">
      <alignment vertical="center"/>
      <protection hidden="1"/>
    </xf>
    <xf numFmtId="0" fontId="205" fillId="28" borderId="0" xfId="0" applyFont="1" applyFill="1" applyBorder="1" applyAlignment="1" applyProtection="1">
      <alignment horizontal="right" vertical="center"/>
      <protection locked="0"/>
    </xf>
    <xf numFmtId="0" fontId="205" fillId="28" borderId="0" xfId="0" applyFont="1" applyFill="1" applyBorder="1" applyAlignment="1" applyProtection="1">
      <alignment vertical="center"/>
      <protection locked="0"/>
    </xf>
    <xf numFmtId="164" fontId="205" fillId="0" borderId="0" xfId="0" applyNumberFormat="1" applyFont="1" applyBorder="1" applyAlignment="1" applyProtection="1">
      <alignment vertical="center"/>
      <protection hidden="1"/>
    </xf>
    <xf numFmtId="0" fontId="212" fillId="0" borderId="0" xfId="0" applyFont="1" applyFill="1" applyBorder="1" applyAlignment="1" applyProtection="1">
      <alignment horizontal="right" vertical="center"/>
      <protection locked="0"/>
    </xf>
    <xf numFmtId="0" fontId="212" fillId="0" borderId="0" xfId="0" applyFont="1" applyFill="1" applyBorder="1" applyAlignment="1" applyProtection="1">
      <alignment vertical="center"/>
      <protection locked="0"/>
    </xf>
    <xf numFmtId="0" fontId="205" fillId="0" borderId="0" xfId="0" applyFont="1" applyProtection="1">
      <protection locked="0"/>
    </xf>
    <xf numFmtId="0" fontId="169" fillId="40" borderId="0" xfId="0" applyFont="1" applyFill="1" applyBorder="1" applyAlignment="1" applyProtection="1">
      <alignment vertical="center"/>
      <protection locked="0"/>
    </xf>
    <xf numFmtId="0" fontId="169" fillId="28" borderId="76" xfId="0" applyFont="1" applyFill="1" applyBorder="1" applyAlignment="1" applyProtection="1">
      <alignment vertical="center"/>
      <protection locked="0"/>
    </xf>
    <xf numFmtId="0" fontId="169" fillId="28" borderId="0" xfId="0" applyFont="1" applyFill="1" applyBorder="1" applyAlignment="1" applyProtection="1">
      <alignment vertical="center"/>
      <protection locked="0"/>
    </xf>
    <xf numFmtId="0" fontId="169" fillId="40" borderId="76" xfId="0" applyFont="1" applyFill="1" applyBorder="1" applyAlignment="1" applyProtection="1">
      <alignment vertical="center"/>
      <protection locked="0"/>
    </xf>
    <xf numFmtId="0" fontId="22" fillId="28" borderId="83" xfId="0" applyFont="1" applyFill="1" applyBorder="1" applyAlignment="1" applyProtection="1">
      <alignment vertical="center"/>
      <protection locked="0"/>
    </xf>
    <xf numFmtId="0" fontId="22" fillId="28" borderId="84" xfId="0" applyFont="1" applyFill="1" applyBorder="1" applyAlignment="1" applyProtection="1">
      <alignment vertical="center"/>
      <protection locked="0"/>
    </xf>
    <xf numFmtId="0" fontId="22" fillId="28" borderId="0" xfId="0" applyFont="1" applyFill="1" applyBorder="1" applyAlignment="1" applyProtection="1">
      <alignment vertical="center"/>
      <protection locked="0"/>
    </xf>
    <xf numFmtId="9" fontId="169" fillId="28" borderId="76" xfId="0" applyNumberFormat="1" applyFont="1" applyFill="1" applyBorder="1" applyAlignment="1" applyProtection="1">
      <alignment vertical="center"/>
      <protection locked="0"/>
    </xf>
    <xf numFmtId="9" fontId="169" fillId="28" borderId="0" xfId="0" applyNumberFormat="1" applyFont="1" applyFill="1" applyBorder="1" applyAlignment="1" applyProtection="1">
      <alignment vertical="center"/>
      <protection locked="0"/>
    </xf>
    <xf numFmtId="0" fontId="169" fillId="28" borderId="88" xfId="0" applyFont="1" applyFill="1" applyBorder="1" applyAlignment="1" applyProtection="1">
      <alignment vertical="center"/>
      <protection locked="0"/>
    </xf>
    <xf numFmtId="164" fontId="28" fillId="0" borderId="0" xfId="0" applyNumberFormat="1" applyFont="1" applyBorder="1" applyAlignment="1" applyProtection="1">
      <alignment vertical="center"/>
      <protection locked="0"/>
    </xf>
    <xf numFmtId="164" fontId="12" fillId="0" borderId="74" xfId="0" applyNumberFormat="1" applyFont="1" applyBorder="1" applyAlignment="1" applyProtection="1">
      <alignment vertical="center"/>
      <protection hidden="1"/>
    </xf>
    <xf numFmtId="164" fontId="12" fillId="0" borderId="0" xfId="0" applyNumberFormat="1" applyFont="1" applyFill="1" applyBorder="1" applyAlignment="1" applyProtection="1">
      <alignment vertical="center"/>
      <protection hidden="1"/>
    </xf>
    <xf numFmtId="164" fontId="12" fillId="0" borderId="74" xfId="0" applyNumberFormat="1" applyFont="1" applyFill="1" applyBorder="1" applyAlignment="1" applyProtection="1">
      <alignment vertical="center"/>
      <protection hidden="1"/>
    </xf>
    <xf numFmtId="164" fontId="12" fillId="0" borderId="18" xfId="0" applyNumberFormat="1" applyFont="1" applyBorder="1" applyAlignment="1" applyProtection="1">
      <alignment vertical="center"/>
      <protection hidden="1"/>
    </xf>
    <xf numFmtId="164" fontId="175" fillId="0" borderId="0" xfId="0" applyNumberFormat="1" applyFont="1" applyBorder="1" applyAlignment="1" applyProtection="1">
      <alignment vertical="center"/>
      <protection hidden="1"/>
    </xf>
    <xf numFmtId="9" fontId="31" fillId="0" borderId="90" xfId="0" applyNumberFormat="1" applyFont="1" applyBorder="1" applyAlignment="1" applyProtection="1">
      <alignment horizontal="center" vertical="center"/>
      <protection hidden="1"/>
    </xf>
    <xf numFmtId="164" fontId="21" fillId="0" borderId="0" xfId="0" applyNumberFormat="1" applyFont="1" applyBorder="1" applyAlignment="1" applyProtection="1">
      <alignment vertical="center"/>
      <protection locked="0"/>
    </xf>
    <xf numFmtId="164" fontId="12" fillId="0" borderId="7" xfId="0" applyNumberFormat="1" applyFont="1" applyBorder="1" applyAlignment="1" applyProtection="1">
      <alignment vertical="center"/>
      <protection locked="0"/>
    </xf>
    <xf numFmtId="164" fontId="31" fillId="0" borderId="7" xfId="0" applyNumberFormat="1" applyFont="1" applyBorder="1" applyAlignment="1" applyProtection="1">
      <alignment vertical="center"/>
      <protection locked="0"/>
    </xf>
    <xf numFmtId="164" fontId="31" fillId="0" borderId="0" xfId="0" applyNumberFormat="1" applyFont="1" applyBorder="1" applyAlignment="1" applyProtection="1">
      <alignment vertical="center"/>
      <protection locked="0"/>
    </xf>
    <xf numFmtId="164" fontId="15" fillId="5" borderId="16" xfId="0" applyNumberFormat="1" applyFont="1" applyFill="1" applyBorder="1" applyAlignment="1" applyProtection="1">
      <alignment vertical="center"/>
      <protection hidden="1"/>
    </xf>
    <xf numFmtId="164" fontId="21" fillId="0" borderId="7" xfId="0" applyNumberFormat="1" applyFont="1" applyBorder="1" applyAlignment="1" applyProtection="1">
      <alignment vertical="center"/>
      <protection locked="0"/>
    </xf>
    <xf numFmtId="165" fontId="27" fillId="0" borderId="90" xfId="0" applyNumberFormat="1" applyFont="1" applyBorder="1" applyAlignment="1" applyProtection="1">
      <alignment horizontal="center"/>
      <protection locked="0"/>
    </xf>
    <xf numFmtId="165" fontId="41" fillId="0" borderId="90" xfId="0" applyNumberFormat="1" applyFont="1" applyBorder="1" applyAlignment="1" applyProtection="1">
      <alignment horizontal="center" vertical="top"/>
      <protection hidden="1"/>
    </xf>
    <xf numFmtId="165" fontId="27" fillId="0" borderId="96" xfId="0" applyNumberFormat="1" applyFont="1" applyBorder="1" applyAlignment="1" applyProtection="1">
      <alignment horizontal="center"/>
      <protection locked="0"/>
    </xf>
    <xf numFmtId="165" fontId="31" fillId="0" borderId="96" xfId="0" applyNumberFormat="1" applyFont="1" applyBorder="1" applyAlignment="1" applyProtection="1">
      <alignment horizontal="center"/>
      <protection locked="0"/>
    </xf>
    <xf numFmtId="165" fontId="31" fillId="0" borderId="90" xfId="0" applyNumberFormat="1" applyFont="1" applyBorder="1" applyAlignment="1" applyProtection="1">
      <alignment horizontal="center"/>
      <protection locked="0"/>
    </xf>
    <xf numFmtId="164" fontId="27" fillId="0" borderId="0" xfId="0" applyNumberFormat="1" applyFont="1" applyFill="1" applyBorder="1" applyAlignment="1" applyProtection="1">
      <alignment vertical="center"/>
      <protection locked="0"/>
    </xf>
    <xf numFmtId="164" fontId="15" fillId="0" borderId="7" xfId="0" applyNumberFormat="1" applyFont="1" applyBorder="1" applyAlignment="1" applyProtection="1">
      <alignment vertical="center"/>
      <protection locked="0"/>
    </xf>
    <xf numFmtId="164" fontId="28" fillId="0" borderId="7" xfId="0" applyNumberFormat="1" applyFont="1" applyBorder="1" applyAlignment="1" applyProtection="1">
      <alignment vertical="center"/>
      <protection locked="0"/>
    </xf>
    <xf numFmtId="164" fontId="27" fillId="0" borderId="7" xfId="0" applyNumberFormat="1" applyFont="1" applyBorder="1" applyAlignment="1" applyProtection="1">
      <alignment vertical="center"/>
      <protection locked="0"/>
    </xf>
    <xf numFmtId="164" fontId="28" fillId="0" borderId="99" xfId="0" applyNumberFormat="1" applyFont="1" applyBorder="1" applyAlignment="1" applyProtection="1">
      <alignment vertical="center"/>
      <protection hidden="1"/>
    </xf>
    <xf numFmtId="165" fontId="29" fillId="0" borderId="96" xfId="0" applyNumberFormat="1" applyFont="1" applyBorder="1" applyAlignment="1" applyProtection="1">
      <alignment horizontal="center"/>
      <protection locked="0"/>
    </xf>
    <xf numFmtId="165" fontId="28" fillId="0" borderId="100" xfId="0" applyNumberFormat="1" applyFont="1" applyBorder="1" applyAlignment="1" applyProtection="1">
      <alignment horizontal="center" vertical="center"/>
      <protection locked="0"/>
    </xf>
    <xf numFmtId="165" fontId="144" fillId="0" borderId="90" xfId="0" applyNumberFormat="1" applyFont="1" applyFill="1" applyBorder="1" applyAlignment="1" applyProtection="1">
      <alignment horizontal="center"/>
      <protection locked="0"/>
    </xf>
    <xf numFmtId="165" fontId="144" fillId="0" borderId="96" xfId="0" applyNumberFormat="1" applyFont="1" applyFill="1" applyBorder="1" applyAlignment="1" applyProtection="1">
      <alignment horizontal="center"/>
      <protection locked="0"/>
    </xf>
    <xf numFmtId="165" fontId="177" fillId="0" borderId="90" xfId="0" applyNumberFormat="1" applyFont="1" applyFill="1" applyBorder="1" applyAlignment="1" applyProtection="1">
      <alignment horizontal="center"/>
      <protection locked="0"/>
    </xf>
    <xf numFmtId="164" fontId="27" fillId="0" borderId="7" xfId="0" applyNumberFormat="1" applyFont="1" applyBorder="1" applyAlignment="1" applyProtection="1">
      <alignment vertical="center"/>
      <protection hidden="1"/>
    </xf>
    <xf numFmtId="165" fontId="27" fillId="0" borderId="96" xfId="0" applyNumberFormat="1" applyFont="1" applyBorder="1" applyAlignment="1" applyProtection="1">
      <alignment horizontal="center"/>
      <protection hidden="1"/>
    </xf>
    <xf numFmtId="165" fontId="74" fillId="28" borderId="103" xfId="0" applyNumberFormat="1" applyFont="1" applyFill="1" applyBorder="1" applyAlignment="1" applyProtection="1">
      <alignment horizontal="center" vertical="center"/>
      <protection hidden="1"/>
    </xf>
    <xf numFmtId="165" fontId="103" fillId="0" borderId="0" xfId="0" applyNumberFormat="1" applyFont="1" applyBorder="1" applyAlignment="1" applyProtection="1">
      <alignment horizontal="center" vertical="center"/>
      <protection hidden="1"/>
    </xf>
    <xf numFmtId="164" fontId="27" fillId="0" borderId="0" xfId="0" applyNumberFormat="1" applyFont="1" applyBorder="1" applyAlignment="1" applyProtection="1">
      <alignment vertical="center"/>
      <protection hidden="1"/>
    </xf>
    <xf numFmtId="165" fontId="31" fillId="0" borderId="90" xfId="0" applyNumberFormat="1" applyFont="1" applyBorder="1" applyAlignment="1" applyProtection="1">
      <alignment horizontal="center" vertical="top"/>
      <protection hidden="1"/>
    </xf>
    <xf numFmtId="165" fontId="29" fillId="0" borderId="93" xfId="0" applyNumberFormat="1" applyFont="1" applyBorder="1" applyAlignment="1" applyProtection="1">
      <alignment horizontal="center"/>
      <protection hidden="1"/>
    </xf>
    <xf numFmtId="165" fontId="27" fillId="0" borderId="100" xfId="0" applyNumberFormat="1" applyFont="1" applyBorder="1" applyAlignment="1" applyProtection="1">
      <alignment horizontal="center"/>
      <protection locked="0"/>
    </xf>
    <xf numFmtId="165" fontId="27" fillId="0" borderId="90" xfId="0" applyNumberFormat="1" applyFont="1" applyBorder="1" applyAlignment="1" applyProtection="1">
      <alignment horizontal="center"/>
      <protection hidden="1"/>
    </xf>
    <xf numFmtId="164" fontId="15" fillId="25" borderId="16" xfId="0" applyNumberFormat="1" applyFont="1" applyFill="1" applyBorder="1" applyAlignment="1" applyProtection="1">
      <alignment vertical="center"/>
      <protection hidden="1"/>
    </xf>
    <xf numFmtId="0" fontId="169" fillId="28" borderId="94" xfId="0" applyFont="1" applyFill="1" applyBorder="1" applyAlignment="1" applyProtection="1">
      <alignment horizontal="left" vertical="top"/>
      <protection locked="0"/>
    </xf>
    <xf numFmtId="165" fontId="27" fillId="0" borderId="93" xfId="0" applyNumberFormat="1" applyFont="1" applyBorder="1" applyAlignment="1" applyProtection="1">
      <alignment horizontal="center"/>
      <protection locked="0"/>
    </xf>
    <xf numFmtId="164" fontId="28" fillId="0" borderId="0" xfId="0" applyNumberFormat="1" applyFont="1" applyBorder="1" applyAlignment="1" applyProtection="1">
      <alignment vertical="center"/>
      <protection hidden="1"/>
    </xf>
    <xf numFmtId="164" fontId="28" fillId="0" borderId="50" xfId="0" applyNumberFormat="1" applyFont="1" applyBorder="1" applyAlignment="1" applyProtection="1">
      <alignment vertical="center"/>
      <protection locked="0"/>
    </xf>
    <xf numFmtId="164" fontId="27" fillId="0" borderId="0" xfId="0" applyNumberFormat="1" applyFont="1" applyBorder="1" applyAlignment="1" applyProtection="1">
      <alignment vertical="center"/>
      <protection locked="0"/>
    </xf>
    <xf numFmtId="9" fontId="144" fillId="0" borderId="110" xfId="0" applyNumberFormat="1" applyFont="1" applyFill="1" applyBorder="1" applyAlignment="1" applyProtection="1">
      <alignment horizontal="center" vertical="center"/>
      <protection locked="0"/>
    </xf>
    <xf numFmtId="164" fontId="2" fillId="28" borderId="7" xfId="4" applyNumberFormat="1" applyFont="1" applyFill="1" applyBorder="1" applyAlignment="1" applyProtection="1">
      <alignment vertical="center"/>
      <protection hidden="1"/>
    </xf>
    <xf numFmtId="164" fontId="2" fillId="28" borderId="0" xfId="4" applyNumberFormat="1" applyFont="1" applyFill="1" applyBorder="1" applyAlignment="1" applyProtection="1">
      <alignment vertical="center"/>
      <protection hidden="1"/>
    </xf>
    <xf numFmtId="164" fontId="2" fillId="28" borderId="17" xfId="4" applyNumberFormat="1" applyFont="1" applyFill="1" applyBorder="1" applyAlignment="1" applyProtection="1">
      <alignment vertical="center"/>
      <protection hidden="1"/>
    </xf>
    <xf numFmtId="9" fontId="144" fillId="28" borderId="111" xfId="4" applyNumberFormat="1" applyFont="1" applyFill="1" applyBorder="1" applyAlignment="1" applyProtection="1">
      <alignment horizontal="center" vertical="center"/>
      <protection hidden="1"/>
    </xf>
    <xf numFmtId="9" fontId="144" fillId="28" borderId="110" xfId="4" applyNumberFormat="1" applyFont="1" applyFill="1" applyBorder="1" applyAlignment="1" applyProtection="1">
      <alignment horizontal="center" vertical="center"/>
      <protection hidden="1"/>
    </xf>
    <xf numFmtId="9" fontId="144" fillId="28" borderId="112" xfId="4" applyNumberFormat="1" applyFont="1" applyFill="1" applyBorder="1" applyAlignment="1" applyProtection="1">
      <alignment horizontal="center" vertical="center"/>
      <protection hidden="1"/>
    </xf>
    <xf numFmtId="165" fontId="200" fillId="0" borderId="0" xfId="0" applyNumberFormat="1" applyFont="1" applyBorder="1" applyAlignment="1" applyProtection="1">
      <alignment horizontal="center" vertical="top"/>
      <protection locked="0"/>
    </xf>
    <xf numFmtId="164" fontId="12" fillId="0" borderId="17" xfId="0" applyNumberFormat="1" applyFont="1" applyBorder="1" applyAlignment="1" applyProtection="1">
      <alignment vertical="center"/>
      <protection locked="0"/>
    </xf>
    <xf numFmtId="164" fontId="169" fillId="0" borderId="0" xfId="0" applyNumberFormat="1" applyFont="1" applyBorder="1" applyAlignment="1" applyProtection="1">
      <alignment vertical="center"/>
      <protection locked="0"/>
    </xf>
    <xf numFmtId="164" fontId="28" fillId="0" borderId="0" xfId="0" applyNumberFormat="1" applyFont="1" applyFill="1" applyBorder="1" applyAlignment="1" applyProtection="1">
      <alignment vertical="center"/>
      <protection hidden="1"/>
    </xf>
    <xf numFmtId="0" fontId="187" fillId="0" borderId="0" xfId="0" applyFont="1" applyBorder="1" applyAlignment="1" applyProtection="1">
      <alignment horizontal="left" vertical="center"/>
      <protection locked="0"/>
    </xf>
    <xf numFmtId="0" fontId="147" fillId="0" borderId="7" xfId="0" applyFont="1" applyBorder="1" applyAlignment="1" applyProtection="1">
      <alignment horizontal="left" vertical="center"/>
      <protection locked="0"/>
    </xf>
    <xf numFmtId="0" fontId="169" fillId="28" borderId="50" xfId="0" applyFont="1" applyFill="1" applyBorder="1" applyAlignment="1" applyProtection="1">
      <alignment vertical="center"/>
      <protection locked="0"/>
    </xf>
    <xf numFmtId="164" fontId="12" fillId="0" borderId="50" xfId="0" applyNumberFormat="1" applyFont="1" applyBorder="1" applyAlignment="1" applyProtection="1">
      <alignment vertical="center"/>
      <protection locked="0"/>
    </xf>
    <xf numFmtId="9" fontId="27" fillId="0" borderId="114" xfId="0" applyNumberFormat="1" applyFont="1" applyBorder="1" applyAlignment="1" applyProtection="1">
      <alignment horizontal="center"/>
      <protection locked="0"/>
    </xf>
    <xf numFmtId="164" fontId="222" fillId="0" borderId="0" xfId="0" applyNumberFormat="1" applyFont="1" applyBorder="1" applyAlignment="1" applyProtection="1">
      <alignment vertical="center"/>
      <protection hidden="1"/>
    </xf>
    <xf numFmtId="9" fontId="222" fillId="0" borderId="90" xfId="0" applyNumberFormat="1" applyFont="1" applyBorder="1" applyAlignment="1" applyProtection="1">
      <alignment horizontal="center"/>
      <protection hidden="1"/>
    </xf>
    <xf numFmtId="164" fontId="222" fillId="0" borderId="7" xfId="0" applyNumberFormat="1" applyFont="1" applyBorder="1" applyAlignment="1" applyProtection="1">
      <alignment vertical="center"/>
      <protection hidden="1"/>
    </xf>
    <xf numFmtId="9" fontId="222" fillId="0" borderId="96" xfId="0" applyNumberFormat="1" applyFont="1" applyBorder="1" applyAlignment="1" applyProtection="1">
      <alignment horizontal="center"/>
      <protection hidden="1"/>
    </xf>
    <xf numFmtId="164" fontId="31" fillId="0" borderId="115" xfId="0" applyNumberFormat="1" applyFont="1" applyBorder="1" applyAlignment="1" applyProtection="1">
      <alignment vertical="center"/>
      <protection locked="0"/>
    </xf>
    <xf numFmtId="165" fontId="31" fillId="0" borderId="116" xfId="0" applyNumberFormat="1" applyFont="1" applyBorder="1" applyAlignment="1" applyProtection="1">
      <alignment horizontal="center"/>
      <protection locked="0"/>
    </xf>
    <xf numFmtId="164" fontId="222" fillId="0" borderId="7" xfId="0" applyNumberFormat="1" applyFont="1" applyBorder="1" applyAlignment="1" applyProtection="1">
      <alignment vertical="center"/>
      <protection locked="0"/>
    </xf>
    <xf numFmtId="164" fontId="12" fillId="0" borderId="7" xfId="0" applyNumberFormat="1" applyFont="1" applyBorder="1" applyAlignment="1" applyProtection="1">
      <alignment vertical="center"/>
      <protection hidden="1"/>
    </xf>
    <xf numFmtId="164" fontId="177" fillId="0" borderId="115" xfId="0" applyNumberFormat="1" applyFont="1" applyBorder="1" applyAlignment="1" applyProtection="1">
      <alignment vertical="center"/>
      <protection locked="0"/>
    </xf>
    <xf numFmtId="0" fontId="168" fillId="0" borderId="0" xfId="0" applyFont="1" applyFill="1" applyBorder="1" applyAlignment="1" applyProtection="1">
      <alignment vertical="center"/>
      <protection locked="0"/>
    </xf>
    <xf numFmtId="0" fontId="13" fillId="0" borderId="57" xfId="0" applyFont="1" applyBorder="1" applyAlignment="1" applyProtection="1">
      <alignment horizontal="left" indent="1"/>
      <protection locked="0"/>
    </xf>
    <xf numFmtId="0" fontId="24" fillId="3" borderId="0" xfId="0" applyFont="1" applyFill="1" applyBorder="1" applyAlignment="1" applyProtection="1">
      <alignment horizontal="left" vertical="center" indent="1"/>
      <protection hidden="1"/>
    </xf>
    <xf numFmtId="0" fontId="24" fillId="4" borderId="0" xfId="0" applyFont="1" applyFill="1" applyBorder="1" applyAlignment="1" applyProtection="1">
      <alignment horizontal="left" vertical="center" indent="1"/>
      <protection hidden="1"/>
    </xf>
    <xf numFmtId="164" fontId="12" fillId="5" borderId="77" xfId="0" applyNumberFormat="1" applyFont="1" applyFill="1" applyBorder="1" applyAlignment="1" applyProtection="1">
      <alignment horizontal="right" vertical="center"/>
      <protection hidden="1"/>
    </xf>
    <xf numFmtId="165" fontId="27" fillId="5" borderId="85" xfId="0" applyNumberFormat="1" applyFont="1" applyFill="1" applyBorder="1" applyAlignment="1" applyProtection="1">
      <alignment horizontal="center" vertical="top"/>
      <protection hidden="1"/>
    </xf>
    <xf numFmtId="165" fontId="73" fillId="5" borderId="85" xfId="0" applyNumberFormat="1" applyFont="1" applyFill="1" applyBorder="1" applyAlignment="1" applyProtection="1">
      <alignment horizontal="center" vertical="top"/>
      <protection hidden="1"/>
    </xf>
    <xf numFmtId="165" fontId="96" fillId="5" borderId="120" xfId="0" applyNumberFormat="1" applyFont="1" applyFill="1" applyBorder="1" applyAlignment="1" applyProtection="1">
      <alignment horizontal="center" vertical="center"/>
      <protection hidden="1"/>
    </xf>
    <xf numFmtId="175" fontId="21" fillId="0" borderId="77" xfId="0" applyNumberFormat="1" applyFont="1" applyFill="1" applyBorder="1" applyAlignment="1" applyProtection="1">
      <alignment horizontal="center" vertical="center"/>
      <protection hidden="1"/>
    </xf>
    <xf numFmtId="175" fontId="20" fillId="43" borderId="85" xfId="0" applyNumberFormat="1" applyFont="1" applyFill="1" applyBorder="1" applyAlignment="1" applyProtection="1">
      <alignment horizontal="center" vertical="center"/>
      <protection hidden="1"/>
    </xf>
    <xf numFmtId="175" fontId="21" fillId="0" borderId="122" xfId="0" applyNumberFormat="1" applyFont="1" applyFill="1" applyBorder="1" applyAlignment="1" applyProtection="1">
      <alignment horizontal="center" vertical="center"/>
      <protection hidden="1"/>
    </xf>
    <xf numFmtId="0" fontId="169" fillId="0" borderId="0" xfId="0" applyFont="1" applyProtection="1">
      <protection hidden="1"/>
    </xf>
    <xf numFmtId="169" fontId="168" fillId="46" borderId="81" xfId="0" applyNumberFormat="1" applyFont="1" applyFill="1" applyBorder="1" applyAlignment="1" applyProtection="1">
      <alignment horizontal="center" vertical="center"/>
      <protection hidden="1"/>
    </xf>
    <xf numFmtId="165" fontId="44" fillId="7" borderId="85" xfId="0" applyNumberFormat="1" applyFont="1" applyFill="1" applyBorder="1" applyAlignment="1" applyProtection="1">
      <alignment horizontal="center" vertical="top"/>
      <protection hidden="1"/>
    </xf>
    <xf numFmtId="165" fontId="178" fillId="43" borderId="81" xfId="0" applyNumberFormat="1" applyFont="1" applyFill="1" applyBorder="1" applyAlignment="1" applyProtection="1">
      <alignment horizontal="center" vertical="center"/>
      <protection hidden="1"/>
    </xf>
    <xf numFmtId="170" fontId="178" fillId="43" borderId="81" xfId="11" applyNumberFormat="1" applyFont="1" applyFill="1" applyBorder="1" applyAlignment="1" applyProtection="1">
      <alignment horizontal="center" vertical="center"/>
      <protection hidden="1"/>
    </xf>
    <xf numFmtId="0" fontId="178" fillId="43" borderId="123" xfId="0" applyFont="1" applyFill="1" applyBorder="1" applyAlignment="1" applyProtection="1">
      <alignment horizontal="left" vertical="center" indent="1"/>
      <protection hidden="1"/>
    </xf>
    <xf numFmtId="164" fontId="13" fillId="0" borderId="0" xfId="0" applyNumberFormat="1" applyFont="1" applyFill="1" applyBorder="1" applyAlignment="1" applyProtection="1">
      <alignment horizontal="right" vertical="center"/>
      <protection hidden="1"/>
    </xf>
    <xf numFmtId="9" fontId="178" fillId="43" borderId="81" xfId="0" applyNumberFormat="1" applyFont="1" applyFill="1" applyBorder="1" applyAlignment="1" applyProtection="1">
      <alignment horizontal="center" vertical="center"/>
      <protection hidden="1"/>
    </xf>
    <xf numFmtId="165" fontId="168" fillId="43" borderId="81" xfId="0" applyNumberFormat="1" applyFont="1" applyFill="1" applyBorder="1" applyAlignment="1" applyProtection="1">
      <alignment horizontal="center" vertical="center"/>
      <protection hidden="1"/>
    </xf>
    <xf numFmtId="0" fontId="168" fillId="43" borderId="123" xfId="0" applyFont="1" applyFill="1" applyBorder="1" applyAlignment="1" applyProtection="1">
      <alignment horizontal="left" vertical="center" wrapText="1" indent="1"/>
      <protection hidden="1"/>
    </xf>
    <xf numFmtId="165" fontId="22" fillId="19" borderId="135" xfId="0" applyNumberFormat="1" applyFont="1" applyFill="1" applyBorder="1" applyAlignment="1" applyProtection="1">
      <alignment horizontal="center" vertical="center"/>
      <protection hidden="1"/>
    </xf>
    <xf numFmtId="165" fontId="22" fillId="19" borderId="85" xfId="0" applyNumberFormat="1" applyFont="1" applyFill="1" applyBorder="1" applyAlignment="1" applyProtection="1">
      <alignment horizontal="center" vertical="center"/>
      <protection hidden="1"/>
    </xf>
    <xf numFmtId="165" fontId="73" fillId="0" borderId="0" xfId="0" applyNumberFormat="1" applyFont="1" applyFill="1" applyBorder="1" applyAlignment="1" applyProtection="1">
      <alignment horizontal="center" vertical="top"/>
      <protection hidden="1"/>
    </xf>
    <xf numFmtId="0" fontId="22" fillId="11" borderId="137" xfId="0" applyFont="1" applyFill="1" applyBorder="1" applyAlignment="1" applyProtection="1">
      <alignment horizontal="right" vertical="center"/>
      <protection hidden="1"/>
    </xf>
    <xf numFmtId="0" fontId="22" fillId="11" borderId="113" xfId="0" applyFont="1" applyFill="1" applyBorder="1" applyAlignment="1" applyProtection="1">
      <alignment horizontal="center" vertical="center"/>
      <protection hidden="1"/>
    </xf>
    <xf numFmtId="0" fontId="18" fillId="22" borderId="139" xfId="0" applyFont="1" applyFill="1" applyBorder="1" applyAlignment="1" applyProtection="1">
      <alignment horizontal="left" vertical="top" indent="1"/>
      <protection hidden="1"/>
    </xf>
    <xf numFmtId="164" fontId="22" fillId="22" borderId="141" xfId="0" applyNumberFormat="1" applyFont="1" applyFill="1" applyBorder="1" applyAlignment="1" applyProtection="1">
      <alignment horizontal="center" vertical="center"/>
      <protection hidden="1"/>
    </xf>
    <xf numFmtId="171" fontId="26" fillId="11" borderId="142" xfId="0" applyNumberFormat="1" applyFont="1" applyFill="1" applyBorder="1" applyAlignment="1" applyProtection="1">
      <alignment horizontal="center" vertical="center"/>
      <protection hidden="1"/>
    </xf>
    <xf numFmtId="165" fontId="26" fillId="11" borderId="85" xfId="0" applyNumberFormat="1" applyFont="1" applyFill="1" applyBorder="1" applyAlignment="1" applyProtection="1">
      <alignment horizontal="center" vertical="center"/>
      <protection hidden="1"/>
    </xf>
    <xf numFmtId="164" fontId="22" fillId="11" borderId="141" xfId="0" applyNumberFormat="1" applyFont="1" applyFill="1" applyBorder="1" applyAlignment="1" applyProtection="1">
      <alignment horizontal="center" vertical="center"/>
      <protection hidden="1"/>
    </xf>
    <xf numFmtId="164" fontId="22" fillId="45" borderId="77" xfId="0" applyNumberFormat="1" applyFont="1" applyFill="1" applyBorder="1" applyAlignment="1" applyProtection="1">
      <alignment horizontal="center" vertical="center"/>
      <protection hidden="1"/>
    </xf>
    <xf numFmtId="171" fontId="26" fillId="45" borderId="142" xfId="0" applyNumberFormat="1" applyFont="1" applyFill="1" applyBorder="1" applyAlignment="1" applyProtection="1">
      <alignment horizontal="center" vertical="center"/>
      <protection hidden="1"/>
    </xf>
    <xf numFmtId="165" fontId="26" fillId="45" borderId="85" xfId="0" applyNumberFormat="1" applyFont="1" applyFill="1" applyBorder="1" applyAlignment="1" applyProtection="1">
      <alignment horizontal="center" vertical="top"/>
      <protection hidden="1"/>
    </xf>
    <xf numFmtId="0" fontId="22" fillId="45" borderId="137" xfId="0" applyFont="1" applyFill="1" applyBorder="1" applyAlignment="1" applyProtection="1">
      <alignment horizontal="right" vertical="center"/>
      <protection hidden="1"/>
    </xf>
    <xf numFmtId="0" fontId="22" fillId="45" borderId="113" xfId="0" applyFont="1" applyFill="1" applyBorder="1" applyAlignment="1" applyProtection="1">
      <alignment horizontal="center" vertical="center"/>
      <protection hidden="1"/>
    </xf>
    <xf numFmtId="0" fontId="93" fillId="45" borderId="139" xfId="0" applyFont="1" applyFill="1" applyBorder="1" applyAlignment="1" applyProtection="1">
      <alignment horizontal="left" vertical="top" wrapText="1" indent="1"/>
      <protection hidden="1"/>
    </xf>
    <xf numFmtId="0" fontId="22" fillId="14" borderId="145" xfId="0" applyFont="1" applyFill="1" applyBorder="1" applyAlignment="1" applyProtection="1">
      <alignment horizontal="right" vertical="center"/>
      <protection hidden="1"/>
    </xf>
    <xf numFmtId="0" fontId="22" fillId="14" borderId="146" xfId="0" applyFont="1" applyFill="1" applyBorder="1" applyAlignment="1" applyProtection="1">
      <alignment horizontal="center" vertical="center"/>
      <protection hidden="1"/>
    </xf>
    <xf numFmtId="0" fontId="18" fillId="14" borderId="139" xfId="0" applyFont="1" applyFill="1" applyBorder="1" applyAlignment="1" applyProtection="1">
      <alignment horizontal="left" vertical="top" wrapText="1" indent="1"/>
      <protection hidden="1"/>
    </xf>
    <xf numFmtId="171" fontId="92" fillId="14" borderId="80" xfId="0" applyNumberFormat="1" applyFont="1" applyFill="1" applyBorder="1" applyAlignment="1" applyProtection="1">
      <alignment horizontal="center" vertical="center"/>
      <protection hidden="1"/>
    </xf>
    <xf numFmtId="165" fontId="85" fillId="14" borderId="85" xfId="0" applyNumberFormat="1" applyFont="1" applyFill="1" applyBorder="1" applyAlignment="1" applyProtection="1">
      <alignment horizontal="center" vertical="top"/>
      <protection hidden="1"/>
    </xf>
    <xf numFmtId="164" fontId="15" fillId="14" borderId="77" xfId="0" applyNumberFormat="1" applyFont="1" applyFill="1" applyBorder="1" applyAlignment="1" applyProtection="1">
      <alignment horizontal="center" vertical="center"/>
      <protection hidden="1"/>
    </xf>
    <xf numFmtId="0" fontId="22" fillId="4" borderId="145" xfId="0" applyFont="1" applyFill="1" applyBorder="1" applyAlignment="1" applyProtection="1">
      <alignment horizontal="right" vertical="center"/>
      <protection hidden="1"/>
    </xf>
    <xf numFmtId="0" fontId="22" fillId="4" borderId="146" xfId="0" applyFont="1" applyFill="1" applyBorder="1" applyAlignment="1" applyProtection="1">
      <alignment horizontal="center" vertical="center"/>
      <protection hidden="1"/>
    </xf>
    <xf numFmtId="0" fontId="18" fillId="23" borderId="139" xfId="0" applyFont="1" applyFill="1" applyBorder="1" applyAlignment="1" applyProtection="1">
      <alignment horizontal="left" vertical="top" indent="1"/>
      <protection hidden="1"/>
    </xf>
    <xf numFmtId="164" fontId="22" fillId="4" borderId="147" xfId="0" applyNumberFormat="1" applyFont="1" applyFill="1" applyBorder="1" applyAlignment="1" applyProtection="1">
      <alignment horizontal="center" vertical="center"/>
      <protection hidden="1"/>
    </xf>
    <xf numFmtId="171" fontId="26" fillId="4" borderId="80" xfId="0" applyNumberFormat="1" applyFont="1" applyFill="1" applyBorder="1" applyAlignment="1" applyProtection="1">
      <alignment horizontal="center" vertical="center"/>
      <protection hidden="1"/>
    </xf>
    <xf numFmtId="165" fontId="26" fillId="4" borderId="85" xfId="0" applyNumberFormat="1" applyFont="1" applyFill="1" applyBorder="1" applyAlignment="1" applyProtection="1">
      <alignment horizontal="center" vertical="top"/>
      <protection hidden="1"/>
    </xf>
    <xf numFmtId="166" fontId="22" fillId="4" borderId="141" xfId="0" applyNumberFormat="1" applyFont="1" applyFill="1" applyBorder="1" applyAlignment="1" applyProtection="1">
      <alignment horizontal="center" vertical="center"/>
      <protection hidden="1"/>
    </xf>
    <xf numFmtId="164" fontId="24" fillId="4" borderId="142" xfId="0" applyNumberFormat="1" applyFont="1" applyFill="1" applyBorder="1" applyAlignment="1" applyProtection="1">
      <alignment horizontal="center" vertical="center" wrapText="1"/>
      <protection hidden="1"/>
    </xf>
    <xf numFmtId="173" fontId="24" fillId="4" borderId="85" xfId="0" applyNumberFormat="1" applyFont="1" applyFill="1" applyBorder="1" applyAlignment="1" applyProtection="1">
      <alignment horizontal="center" vertical="center"/>
      <protection hidden="1"/>
    </xf>
    <xf numFmtId="166" fontId="22" fillId="4" borderId="77" xfId="0" applyNumberFormat="1" applyFont="1" applyFill="1" applyBorder="1" applyAlignment="1" applyProtection="1">
      <alignment horizontal="center" vertical="center"/>
      <protection hidden="1"/>
    </xf>
    <xf numFmtId="166" fontId="173" fillId="38" borderId="157" xfId="9" applyNumberFormat="1" applyFont="1" applyBorder="1" applyAlignment="1" applyProtection="1">
      <alignment horizontal="center" vertical="center"/>
      <protection hidden="1"/>
    </xf>
    <xf numFmtId="166" fontId="128" fillId="23" borderId="141" xfId="0" applyNumberFormat="1" applyFont="1" applyFill="1" applyBorder="1" applyAlignment="1" applyProtection="1">
      <alignment horizontal="center" vertical="center"/>
      <protection hidden="1"/>
    </xf>
    <xf numFmtId="166" fontId="128" fillId="4" borderId="141" xfId="0" applyNumberFormat="1" applyFont="1" applyFill="1" applyBorder="1" applyAlignment="1" applyProtection="1">
      <alignment horizontal="center" vertical="center"/>
      <protection hidden="1"/>
    </xf>
    <xf numFmtId="164" fontId="49" fillId="4" borderId="142" xfId="0" applyNumberFormat="1" applyFont="1" applyFill="1" applyBorder="1" applyAlignment="1" applyProtection="1">
      <alignment horizontal="center" vertical="center" wrapText="1"/>
      <protection hidden="1"/>
    </xf>
    <xf numFmtId="173" fontId="49" fillId="4" borderId="85" xfId="0" applyNumberFormat="1" applyFont="1" applyFill="1" applyBorder="1" applyAlignment="1" applyProtection="1">
      <alignment horizontal="center" vertical="center"/>
      <protection hidden="1"/>
    </xf>
    <xf numFmtId="164" fontId="24" fillId="4" borderId="77" xfId="0" applyNumberFormat="1" applyFont="1" applyFill="1" applyBorder="1" applyAlignment="1" applyProtection="1">
      <alignment horizontal="center" vertical="center" wrapText="1"/>
      <protection hidden="1"/>
    </xf>
    <xf numFmtId="164" fontId="12" fillId="0" borderId="5" xfId="0" applyNumberFormat="1" applyFont="1" applyFill="1" applyBorder="1" applyAlignment="1" applyProtection="1">
      <alignment horizontal="right" vertical="center"/>
      <protection hidden="1"/>
    </xf>
    <xf numFmtId="164" fontId="15" fillId="0" borderId="5" xfId="0" applyNumberFormat="1" applyFont="1" applyFill="1" applyBorder="1" applyAlignment="1" applyProtection="1">
      <alignment horizontal="right" vertical="center"/>
      <protection hidden="1"/>
    </xf>
    <xf numFmtId="0" fontId="128" fillId="18" borderId="14" xfId="0" applyFont="1" applyFill="1" applyBorder="1" applyAlignment="1" applyProtection="1">
      <alignment horizontal="left" vertical="center" indent="1"/>
      <protection hidden="1"/>
    </xf>
    <xf numFmtId="0" fontId="129" fillId="18" borderId="17" xfId="0" applyFont="1" applyFill="1" applyBorder="1" applyAlignment="1" applyProtection="1">
      <alignment horizontal="left" vertical="center" indent="1"/>
      <protection hidden="1"/>
    </xf>
    <xf numFmtId="0" fontId="129" fillId="18" borderId="40" xfId="0" applyFont="1" applyFill="1" applyBorder="1" applyAlignment="1" applyProtection="1">
      <alignment horizontal="center" vertical="center"/>
      <protection hidden="1"/>
    </xf>
    <xf numFmtId="0" fontId="26" fillId="13" borderId="163" xfId="0" applyFont="1" applyFill="1" applyBorder="1" applyAlignment="1" applyProtection="1">
      <alignment horizontal="center" vertical="center"/>
      <protection hidden="1"/>
    </xf>
    <xf numFmtId="164" fontId="128" fillId="18" borderId="77" xfId="0" applyNumberFormat="1" applyFont="1" applyFill="1" applyBorder="1" applyAlignment="1" applyProtection="1">
      <alignment horizontal="right" vertical="center"/>
      <protection hidden="1"/>
    </xf>
    <xf numFmtId="164" fontId="22" fillId="13" borderId="164" xfId="0" applyNumberFormat="1" applyFont="1" applyFill="1" applyBorder="1" applyAlignment="1" applyProtection="1">
      <alignment horizontal="right" vertical="center"/>
      <protection hidden="1"/>
    </xf>
    <xf numFmtId="164" fontId="85" fillId="0" borderId="0" xfId="0" applyNumberFormat="1" applyFont="1" applyFill="1" applyBorder="1" applyAlignment="1" applyProtection="1">
      <alignment horizontal="right" vertical="center"/>
      <protection hidden="1"/>
    </xf>
    <xf numFmtId="165" fontId="85" fillId="0" borderId="0" xfId="0" applyNumberFormat="1" applyFont="1" applyFill="1" applyBorder="1" applyAlignment="1" applyProtection="1">
      <alignment horizontal="center" vertical="center"/>
      <protection hidden="1"/>
    </xf>
    <xf numFmtId="171" fontId="26" fillId="4" borderId="80" xfId="0" applyNumberFormat="1" applyFont="1" applyFill="1" applyBorder="1" applyAlignment="1" applyProtection="1">
      <alignment horizontal="center" vertical="top"/>
      <protection hidden="1"/>
    </xf>
    <xf numFmtId="171" fontId="26" fillId="4" borderId="85" xfId="0" applyNumberFormat="1" applyFont="1" applyFill="1" applyBorder="1" applyAlignment="1" applyProtection="1">
      <alignment horizontal="center" vertical="top"/>
      <protection hidden="1"/>
    </xf>
    <xf numFmtId="171" fontId="30" fillId="4" borderId="80" xfId="0" applyNumberFormat="1" applyFont="1" applyFill="1" applyBorder="1" applyAlignment="1" applyProtection="1">
      <alignment horizontal="center" vertical="center"/>
      <protection hidden="1"/>
    </xf>
    <xf numFmtId="0" fontId="37" fillId="0" borderId="0" xfId="0" applyFont="1" applyBorder="1" applyAlignment="1" applyProtection="1">
      <alignment horizontal="left" vertical="center" indent="1"/>
      <protection locked="0"/>
    </xf>
    <xf numFmtId="0" fontId="12" fillId="0" borderId="167" xfId="0" applyFont="1" applyBorder="1" applyProtection="1">
      <protection locked="0"/>
    </xf>
    <xf numFmtId="0" fontId="12" fillId="0" borderId="95" xfId="0" applyFont="1" applyBorder="1" applyProtection="1">
      <protection locked="0"/>
    </xf>
    <xf numFmtId="0" fontId="12" fillId="0" borderId="74" xfId="0" applyFont="1" applyBorder="1" applyProtection="1">
      <protection locked="0"/>
    </xf>
    <xf numFmtId="0" fontId="12" fillId="0" borderId="94" xfId="0" applyFont="1" applyBorder="1" applyProtection="1">
      <protection locked="0"/>
    </xf>
    <xf numFmtId="164" fontId="12" fillId="0" borderId="167" xfId="0" applyNumberFormat="1" applyFont="1" applyFill="1" applyBorder="1" applyAlignment="1" applyProtection="1">
      <alignment vertical="center"/>
      <protection hidden="1"/>
    </xf>
    <xf numFmtId="164" fontId="12" fillId="0" borderId="167" xfId="0" applyNumberFormat="1" applyFont="1" applyFill="1" applyBorder="1" applyAlignment="1" applyProtection="1">
      <alignment vertical="center"/>
      <protection locked="0"/>
    </xf>
    <xf numFmtId="164" fontId="12" fillId="0" borderId="74" xfId="0" applyNumberFormat="1" applyFont="1" applyFill="1" applyBorder="1" applyAlignment="1" applyProtection="1">
      <alignment vertical="center"/>
      <protection locked="0"/>
    </xf>
    <xf numFmtId="0" fontId="14" fillId="0" borderId="0" xfId="0" applyFont="1" applyFill="1" applyBorder="1" applyAlignment="1" applyProtection="1">
      <alignment horizontal="center" vertical="center"/>
      <protection locked="0"/>
    </xf>
    <xf numFmtId="0" fontId="21" fillId="0" borderId="95" xfId="0" applyFont="1" applyBorder="1" applyAlignment="1" applyProtection="1">
      <alignment horizontal="right" vertical="center" indent="1"/>
      <protection locked="0"/>
    </xf>
    <xf numFmtId="0" fontId="21" fillId="0" borderId="94" xfId="0" applyFont="1" applyBorder="1" applyAlignment="1" applyProtection="1">
      <alignment horizontal="right" vertical="center" indent="1"/>
      <protection locked="0"/>
    </xf>
    <xf numFmtId="164" fontId="12" fillId="43" borderId="74" xfId="0" applyNumberFormat="1" applyFont="1" applyFill="1" applyBorder="1" applyAlignment="1" applyProtection="1">
      <alignment vertical="center"/>
      <protection locked="0"/>
    </xf>
    <xf numFmtId="164" fontId="22" fillId="42" borderId="81" xfId="0" applyNumberFormat="1" applyFont="1" applyFill="1" applyBorder="1" applyAlignment="1" applyProtection="1">
      <alignment vertical="center"/>
      <protection hidden="1"/>
    </xf>
    <xf numFmtId="0" fontId="40" fillId="0" borderId="94" xfId="0" applyFont="1" applyBorder="1" applyAlignment="1" applyProtection="1">
      <alignment horizontal="right" vertical="center" indent="1"/>
      <protection locked="0"/>
    </xf>
    <xf numFmtId="0" fontId="40" fillId="0" borderId="95" xfId="0" applyFont="1" applyBorder="1" applyAlignment="1" applyProtection="1">
      <alignment horizontal="right" vertical="center" indent="1"/>
      <protection locked="0"/>
    </xf>
    <xf numFmtId="0" fontId="12" fillId="0" borderId="15" xfId="0" applyFont="1" applyBorder="1" applyProtection="1">
      <protection locked="0"/>
    </xf>
    <xf numFmtId="0" fontId="21" fillId="0" borderId="18" xfId="0" applyFont="1" applyBorder="1" applyAlignment="1" applyProtection="1">
      <alignment horizontal="left" vertical="center"/>
      <protection locked="0"/>
    </xf>
    <xf numFmtId="0" fontId="21" fillId="0" borderId="41" xfId="0" applyFont="1" applyBorder="1" applyAlignment="1" applyProtection="1">
      <alignment horizontal="right" vertical="center" indent="1"/>
      <protection locked="0"/>
    </xf>
    <xf numFmtId="164" fontId="40" fillId="0" borderId="74" xfId="0" applyNumberFormat="1" applyFont="1" applyBorder="1" applyAlignment="1" applyProtection="1">
      <alignment vertical="center"/>
      <protection hidden="1"/>
    </xf>
    <xf numFmtId="164" fontId="40" fillId="0" borderId="167" xfId="0" applyNumberFormat="1" applyFont="1" applyBorder="1" applyAlignment="1" applyProtection="1">
      <alignment vertical="center"/>
      <protection hidden="1"/>
    </xf>
    <xf numFmtId="164" fontId="40" fillId="0" borderId="167" xfId="0" applyNumberFormat="1" applyFont="1" applyFill="1" applyBorder="1" applyAlignment="1" applyProtection="1">
      <alignment vertical="center"/>
      <protection hidden="1"/>
    </xf>
    <xf numFmtId="164" fontId="40" fillId="0" borderId="15" xfId="0" applyNumberFormat="1" applyFont="1" applyBorder="1" applyAlignment="1" applyProtection="1">
      <alignment vertical="center"/>
      <protection hidden="1"/>
    </xf>
    <xf numFmtId="164" fontId="40" fillId="0" borderId="74" xfId="0" applyNumberFormat="1" applyFont="1" applyFill="1" applyBorder="1" applyAlignment="1" applyProtection="1">
      <alignment vertical="center"/>
      <protection hidden="1"/>
    </xf>
    <xf numFmtId="164" fontId="40" fillId="0" borderId="15" xfId="0" applyNumberFormat="1" applyFont="1" applyFill="1" applyBorder="1" applyAlignment="1" applyProtection="1">
      <alignment vertical="center"/>
      <protection hidden="1"/>
    </xf>
    <xf numFmtId="164" fontId="40" fillId="0" borderId="42" xfId="0" applyNumberFormat="1" applyFont="1" applyBorder="1" applyAlignment="1" applyProtection="1">
      <alignment vertical="center"/>
      <protection hidden="1"/>
    </xf>
    <xf numFmtId="0" fontId="179" fillId="0" borderId="74" xfId="0" applyFont="1" applyBorder="1" applyProtection="1">
      <protection locked="0"/>
    </xf>
    <xf numFmtId="0" fontId="179" fillId="0" borderId="94" xfId="0" applyFont="1" applyBorder="1" applyAlignment="1" applyProtection="1">
      <alignment horizontal="right" vertical="center" indent="1"/>
      <protection locked="0"/>
    </xf>
    <xf numFmtId="0" fontId="179" fillId="0" borderId="167" xfId="0" applyFont="1" applyBorder="1" applyProtection="1">
      <protection locked="0"/>
    </xf>
    <xf numFmtId="0" fontId="179" fillId="0" borderId="95" xfId="0" applyFont="1" applyBorder="1" applyAlignment="1" applyProtection="1">
      <alignment horizontal="right" vertical="center" indent="1"/>
      <protection locked="0"/>
    </xf>
    <xf numFmtId="164" fontId="12" fillId="0" borderId="167" xfId="0" applyNumberFormat="1" applyFont="1" applyBorder="1" applyAlignment="1" applyProtection="1">
      <alignment vertical="center"/>
      <protection hidden="1"/>
    </xf>
    <xf numFmtId="164" fontId="22" fillId="45" borderId="169" xfId="0" applyNumberFormat="1" applyFont="1" applyFill="1" applyBorder="1" applyAlignment="1" applyProtection="1">
      <alignment horizontal="center" vertical="center"/>
      <protection locked="0"/>
    </xf>
    <xf numFmtId="164" fontId="22" fillId="19" borderId="170" xfId="0" applyNumberFormat="1" applyFont="1" applyFill="1" applyBorder="1" applyAlignment="1" applyProtection="1">
      <alignment horizontal="center" vertical="center"/>
      <protection locked="0"/>
    </xf>
    <xf numFmtId="0" fontId="224" fillId="0" borderId="0" xfId="0" applyFont="1" applyFill="1" applyBorder="1" applyAlignment="1" applyProtection="1">
      <alignment horizontal="left" vertical="center" indent="15"/>
      <protection locked="0"/>
    </xf>
    <xf numFmtId="0" fontId="225" fillId="0" borderId="0" xfId="0" applyFont="1" applyAlignment="1" applyProtection="1">
      <alignment horizontal="left" vertical="center" indent="15"/>
      <protection locked="0"/>
    </xf>
    <xf numFmtId="0" fontId="226" fillId="0" borderId="0" xfId="0" applyFont="1" applyBorder="1" applyAlignment="1" applyProtection="1">
      <alignment horizontal="left" vertical="center" indent="15"/>
      <protection locked="0"/>
    </xf>
    <xf numFmtId="0" fontId="229" fillId="0" borderId="0" xfId="0" applyFont="1" applyAlignment="1"/>
    <xf numFmtId="0" fontId="229" fillId="0" borderId="0" xfId="0" applyFont="1" applyBorder="1" applyAlignment="1"/>
    <xf numFmtId="0" fontId="179" fillId="0" borderId="0" xfId="0" applyFont="1" applyAlignment="1"/>
    <xf numFmtId="0" fontId="179" fillId="0" borderId="0" xfId="0" applyFont="1" applyBorder="1" applyAlignment="1"/>
    <xf numFmtId="0" fontId="230" fillId="0" borderId="0" xfId="0" applyFont="1" applyBorder="1" applyAlignment="1" applyProtection="1">
      <alignment horizontal="left"/>
      <protection locked="0"/>
    </xf>
    <xf numFmtId="0" fontId="210" fillId="0" borderId="0" xfId="0" applyFont="1" applyBorder="1" applyAlignment="1" applyProtection="1">
      <alignment vertical="center"/>
      <protection locked="0"/>
    </xf>
    <xf numFmtId="164" fontId="22" fillId="22" borderId="81" xfId="0" applyNumberFormat="1" applyFont="1" applyFill="1" applyBorder="1" applyAlignment="1" applyProtection="1">
      <alignment vertical="center"/>
      <protection hidden="1"/>
    </xf>
    <xf numFmtId="0" fontId="48" fillId="0" borderId="171" xfId="0" applyFont="1" applyBorder="1" applyProtection="1">
      <protection locked="0"/>
    </xf>
    <xf numFmtId="164" fontId="48" fillId="0" borderId="171" xfId="0" applyNumberFormat="1" applyFont="1" applyBorder="1" applyAlignment="1" applyProtection="1">
      <alignment vertical="center"/>
      <protection locked="0"/>
    </xf>
    <xf numFmtId="0" fontId="12" fillId="0" borderId="172" xfId="0" applyFont="1" applyBorder="1" applyProtection="1">
      <protection locked="0"/>
    </xf>
    <xf numFmtId="164" fontId="12" fillId="0" borderId="172" xfId="0" applyNumberFormat="1" applyFont="1" applyBorder="1" applyProtection="1">
      <protection locked="0"/>
    </xf>
    <xf numFmtId="1" fontId="72" fillId="32" borderId="77" xfId="0" applyNumberFormat="1" applyFont="1" applyFill="1" applyBorder="1" applyAlignment="1" applyProtection="1">
      <alignment horizontal="center"/>
      <protection hidden="1"/>
    </xf>
    <xf numFmtId="167" fontId="24" fillId="32" borderId="85" xfId="0" applyNumberFormat="1" applyFont="1" applyFill="1" applyBorder="1" applyAlignment="1" applyProtection="1">
      <alignment horizontal="center" vertical="top"/>
      <protection locked="0"/>
    </xf>
    <xf numFmtId="0" fontId="169" fillId="0" borderId="15" xfId="0" applyFont="1" applyBorder="1" applyAlignment="1" applyProtection="1">
      <alignment horizontal="left" vertical="center" indent="1"/>
      <protection locked="0"/>
    </xf>
    <xf numFmtId="164" fontId="201" fillId="19" borderId="173" xfId="4" applyNumberFormat="1" applyFont="1" applyFill="1" applyBorder="1" applyAlignment="1" applyProtection="1">
      <alignment vertical="center"/>
      <protection hidden="1"/>
    </xf>
    <xf numFmtId="9" fontId="201" fillId="19" borderId="174" xfId="4" applyNumberFormat="1" applyFont="1" applyFill="1" applyBorder="1" applyAlignment="1" applyProtection="1">
      <alignment horizontal="center" vertical="center"/>
      <protection hidden="1"/>
    </xf>
    <xf numFmtId="164" fontId="201" fillId="19" borderId="17" xfId="4" applyNumberFormat="1" applyFont="1" applyFill="1" applyBorder="1" applyAlignment="1" applyProtection="1">
      <alignment vertical="center"/>
      <protection hidden="1"/>
    </xf>
    <xf numFmtId="9" fontId="201" fillId="19" borderId="112" xfId="4" applyNumberFormat="1" applyFont="1" applyFill="1" applyBorder="1" applyAlignment="1" applyProtection="1">
      <alignment horizontal="center" vertical="center"/>
      <protection hidden="1"/>
    </xf>
    <xf numFmtId="9" fontId="201" fillId="19" borderId="111" xfId="4" applyNumberFormat="1" applyFont="1" applyFill="1" applyBorder="1" applyAlignment="1" applyProtection="1">
      <alignment horizontal="center" vertical="center"/>
      <protection hidden="1"/>
    </xf>
    <xf numFmtId="9" fontId="201" fillId="19" borderId="175" xfId="4" applyNumberFormat="1" applyFont="1" applyFill="1" applyBorder="1" applyAlignment="1" applyProtection="1">
      <alignment horizontal="center" vertical="center"/>
      <protection hidden="1"/>
    </xf>
    <xf numFmtId="164" fontId="152" fillId="19" borderId="177" xfId="4" applyNumberFormat="1" applyFont="1" applyFill="1" applyBorder="1" applyAlignment="1" applyProtection="1">
      <alignment vertical="center"/>
      <protection hidden="1"/>
    </xf>
    <xf numFmtId="9" fontId="152" fillId="19" borderId="178" xfId="4" applyNumberFormat="1" applyFont="1" applyFill="1" applyBorder="1" applyAlignment="1" applyProtection="1">
      <alignment horizontal="center" vertical="center"/>
      <protection hidden="1"/>
    </xf>
    <xf numFmtId="164" fontId="152" fillId="19" borderId="162" xfId="4" applyNumberFormat="1" applyFont="1" applyFill="1" applyBorder="1" applyAlignment="1" applyProtection="1">
      <alignment vertical="center"/>
      <protection hidden="1"/>
    </xf>
    <xf numFmtId="9" fontId="152" fillId="19" borderId="179" xfId="4" applyNumberFormat="1" applyFont="1" applyFill="1" applyBorder="1" applyAlignment="1" applyProtection="1">
      <alignment horizontal="center" vertical="center"/>
      <protection hidden="1"/>
    </xf>
    <xf numFmtId="0" fontId="169" fillId="0" borderId="74" xfId="0" quotePrefix="1" applyFont="1" applyBorder="1" applyAlignment="1" applyProtection="1">
      <alignment horizontal="left" vertical="center" indent="1"/>
      <protection locked="0"/>
    </xf>
    <xf numFmtId="0" fontId="169" fillId="0" borderId="15" xfId="0" quotePrefix="1" applyFont="1" applyBorder="1" applyAlignment="1" applyProtection="1">
      <alignment horizontal="left" vertical="center" indent="1"/>
      <protection locked="0"/>
    </xf>
    <xf numFmtId="164" fontId="12" fillId="0" borderId="18" xfId="0" applyNumberFormat="1" applyFont="1" applyFill="1" applyBorder="1" applyAlignment="1" applyProtection="1">
      <alignment vertical="center"/>
      <protection hidden="1"/>
    </xf>
    <xf numFmtId="9" fontId="144" fillId="0" borderId="180" xfId="0" applyNumberFormat="1" applyFont="1" applyFill="1" applyBorder="1" applyAlignment="1" applyProtection="1">
      <alignment horizontal="center" vertical="center"/>
      <protection locked="0"/>
    </xf>
    <xf numFmtId="164" fontId="154" fillId="28" borderId="54" xfId="4" applyNumberFormat="1" applyFont="1" applyFill="1" applyBorder="1" applyAlignment="1" applyProtection="1">
      <alignment vertical="center"/>
      <protection hidden="1"/>
    </xf>
    <xf numFmtId="9" fontId="143" fillId="28" borderId="181" xfId="4" applyNumberFormat="1" applyFont="1" applyFill="1" applyBorder="1" applyAlignment="1" applyProtection="1">
      <alignment horizontal="center" vertical="center"/>
      <protection hidden="1"/>
    </xf>
    <xf numFmtId="164" fontId="15" fillId="5" borderId="82" xfId="0" applyNumberFormat="1" applyFont="1" applyFill="1" applyBorder="1" applyAlignment="1" applyProtection="1">
      <alignment vertical="center"/>
      <protection hidden="1"/>
    </xf>
    <xf numFmtId="164" fontId="15" fillId="25" borderId="82" xfId="0" applyNumberFormat="1" applyFont="1" applyFill="1" applyBorder="1" applyAlignment="1" applyProtection="1">
      <alignment vertical="center"/>
      <protection hidden="1"/>
    </xf>
    <xf numFmtId="9" fontId="143" fillId="25" borderId="187" xfId="0" applyNumberFormat="1" applyFont="1" applyFill="1" applyBorder="1" applyAlignment="1" applyProtection="1">
      <alignment horizontal="center" vertical="center"/>
      <protection hidden="1"/>
    </xf>
    <xf numFmtId="0" fontId="12" fillId="0" borderId="105" xfId="0" applyFont="1" applyBorder="1" applyProtection="1">
      <protection locked="0"/>
    </xf>
    <xf numFmtId="0" fontId="178" fillId="25" borderId="184" xfId="0" applyFont="1" applyFill="1" applyBorder="1" applyAlignment="1" applyProtection="1">
      <alignment horizontal="left" vertical="center" indent="1"/>
      <protection locked="0"/>
    </xf>
    <xf numFmtId="0" fontId="178" fillId="25" borderId="184" xfId="0" applyFont="1" applyFill="1" applyBorder="1" applyAlignment="1" applyProtection="1">
      <alignment horizontal="left" vertical="center" wrapText="1" indent="1"/>
      <protection locked="0"/>
    </xf>
    <xf numFmtId="164" fontId="15" fillId="5" borderId="54" xfId="0" applyNumberFormat="1" applyFont="1" applyFill="1" applyBorder="1" applyAlignment="1" applyProtection="1">
      <alignment vertical="center"/>
      <protection hidden="1"/>
    </xf>
    <xf numFmtId="0" fontId="12" fillId="43" borderId="103" xfId="0" applyFont="1" applyFill="1" applyBorder="1" applyProtection="1">
      <protection locked="0"/>
    </xf>
    <xf numFmtId="164" fontId="12" fillId="0" borderId="54" xfId="0" applyNumberFormat="1" applyFont="1" applyBorder="1" applyAlignment="1" applyProtection="1">
      <alignment vertical="center"/>
      <protection hidden="1"/>
    </xf>
    <xf numFmtId="0" fontId="0" fillId="43" borderId="90" xfId="0" applyFill="1" applyBorder="1" applyAlignment="1">
      <alignment vertical="center"/>
    </xf>
    <xf numFmtId="164" fontId="27" fillId="0" borderId="50" xfId="0" applyNumberFormat="1" applyFont="1" applyBorder="1" applyAlignment="1" applyProtection="1">
      <alignment vertical="center"/>
      <protection locked="0"/>
    </xf>
    <xf numFmtId="0" fontId="12" fillId="43" borderId="92" xfId="0" applyFont="1" applyFill="1" applyBorder="1" applyProtection="1">
      <protection locked="0"/>
    </xf>
    <xf numFmtId="164" fontId="12" fillId="0" borderId="82" xfId="0" applyNumberFormat="1" applyFont="1" applyFill="1" applyBorder="1" applyAlignment="1">
      <alignment vertical="center"/>
    </xf>
    <xf numFmtId="165" fontId="106" fillId="0" borderId="186" xfId="0" applyNumberFormat="1" applyFont="1" applyFill="1" applyBorder="1" applyAlignment="1">
      <alignment horizontal="left" vertical="center" indent="1"/>
    </xf>
    <xf numFmtId="164" fontId="12" fillId="0" borderId="188" xfId="0" applyNumberFormat="1" applyFont="1" applyFill="1" applyBorder="1" applyAlignment="1">
      <alignment vertical="center"/>
    </xf>
    <xf numFmtId="165" fontId="106" fillId="0" borderId="185" xfId="0" applyNumberFormat="1" applyFont="1" applyFill="1" applyBorder="1" applyAlignment="1">
      <alignment horizontal="left" vertical="center" indent="1"/>
    </xf>
    <xf numFmtId="164" fontId="12" fillId="0" borderId="54" xfId="0" applyNumberFormat="1" applyFont="1" applyFill="1" applyBorder="1" applyAlignment="1">
      <alignment vertical="center"/>
    </xf>
    <xf numFmtId="165" fontId="106" fillId="0" borderId="103" xfId="0" applyNumberFormat="1" applyFont="1" applyFill="1" applyBorder="1" applyAlignment="1">
      <alignment horizontal="left" vertical="center" indent="1"/>
    </xf>
    <xf numFmtId="164" fontId="12" fillId="0" borderId="189" xfId="0" applyNumberFormat="1" applyFont="1" applyFill="1" applyBorder="1" applyAlignment="1">
      <alignment vertical="center"/>
    </xf>
    <xf numFmtId="165" fontId="106" fillId="0" borderId="160" xfId="0" applyNumberFormat="1" applyFont="1" applyFill="1" applyBorder="1" applyAlignment="1">
      <alignment horizontal="left" vertical="center" indent="1"/>
    </xf>
    <xf numFmtId="0" fontId="71" fillId="28" borderId="14" xfId="0" applyFont="1" applyFill="1" applyBorder="1" applyAlignment="1">
      <alignment horizontal="left" vertical="center" indent="1"/>
    </xf>
    <xf numFmtId="0" fontId="71" fillId="28" borderId="17" xfId="0" applyFont="1" applyFill="1" applyBorder="1" applyAlignment="1">
      <alignment horizontal="left" vertical="center" indent="1"/>
    </xf>
    <xf numFmtId="164" fontId="15" fillId="28" borderId="17" xfId="0" applyNumberFormat="1" applyFont="1" applyFill="1" applyBorder="1" applyProtection="1">
      <protection locked="0"/>
    </xf>
    <xf numFmtId="9" fontId="42" fillId="28" borderId="17" xfId="0" applyNumberFormat="1" applyFont="1" applyFill="1" applyBorder="1" applyAlignment="1" applyProtection="1">
      <alignment horizontal="center"/>
      <protection locked="0"/>
    </xf>
    <xf numFmtId="164" fontId="15" fillId="0" borderId="17" xfId="0" applyNumberFormat="1" applyFont="1" applyBorder="1" applyProtection="1">
      <protection locked="0"/>
    </xf>
    <xf numFmtId="9" fontId="42" fillId="28" borderId="40" xfId="0" applyNumberFormat="1" applyFont="1" applyFill="1" applyBorder="1" applyAlignment="1" applyProtection="1">
      <alignment horizontal="center"/>
      <protection locked="0"/>
    </xf>
    <xf numFmtId="9" fontId="42" fillId="28" borderId="94" xfId="0" applyNumberFormat="1" applyFont="1" applyFill="1" applyBorder="1" applyAlignment="1" applyProtection="1">
      <alignment horizontal="center"/>
      <protection locked="0"/>
    </xf>
    <xf numFmtId="0" fontId="12" fillId="28" borderId="74" xfId="0" applyFont="1" applyFill="1" applyBorder="1" applyAlignment="1">
      <alignment horizontal="left" indent="1"/>
    </xf>
    <xf numFmtId="0" fontId="106" fillId="28" borderId="94" xfId="0" applyFont="1" applyFill="1" applyBorder="1"/>
    <xf numFmtId="0" fontId="71" fillId="28" borderId="15" xfId="0" applyFont="1" applyFill="1" applyBorder="1" applyAlignment="1">
      <alignment horizontal="left" vertical="center" indent="1"/>
    </xf>
    <xf numFmtId="0" fontId="71" fillId="28" borderId="18" xfId="0" applyFont="1" applyFill="1" applyBorder="1" applyAlignment="1">
      <alignment horizontal="left" vertical="center" indent="1"/>
    </xf>
    <xf numFmtId="0" fontId="71" fillId="28" borderId="18" xfId="0" applyFont="1" applyFill="1" applyBorder="1"/>
    <xf numFmtId="165" fontId="31" fillId="28" borderId="18" xfId="0" applyNumberFormat="1" applyFont="1" applyFill="1" applyBorder="1" applyAlignment="1">
      <alignment horizontal="center" vertical="center"/>
    </xf>
    <xf numFmtId="165" fontId="31" fillId="28" borderId="41" xfId="0" applyNumberFormat="1" applyFont="1" applyFill="1" applyBorder="1" applyAlignment="1">
      <alignment horizontal="center" vertical="center"/>
    </xf>
    <xf numFmtId="0" fontId="169" fillId="0" borderId="74" xfId="0" applyFont="1" applyBorder="1" applyAlignment="1">
      <alignment horizontal="left" vertical="center" indent="1"/>
    </xf>
    <xf numFmtId="0" fontId="169" fillId="0" borderId="74" xfId="0" applyFont="1" applyFill="1" applyBorder="1" applyAlignment="1">
      <alignment horizontal="left" vertical="center" indent="1"/>
    </xf>
    <xf numFmtId="0" fontId="169" fillId="0" borderId="74" xfId="0" applyFont="1" applyFill="1" applyBorder="1" applyAlignment="1" applyProtection="1">
      <alignment horizontal="left" vertical="center" indent="1"/>
      <protection locked="0"/>
    </xf>
    <xf numFmtId="164" fontId="175" fillId="0" borderId="18" xfId="0" applyNumberFormat="1" applyFont="1" applyBorder="1" applyAlignment="1" applyProtection="1">
      <alignment vertical="center"/>
      <protection hidden="1"/>
    </xf>
    <xf numFmtId="0" fontId="128" fillId="19" borderId="26" xfId="0" applyFont="1" applyFill="1" applyBorder="1" applyAlignment="1">
      <alignment horizontal="center" vertical="center"/>
    </xf>
    <xf numFmtId="0" fontId="22" fillId="41" borderId="42" xfId="0" applyFont="1" applyFill="1" applyBorder="1" applyAlignment="1" applyProtection="1">
      <alignment horizontal="left" vertical="center" indent="1"/>
      <protection locked="0"/>
    </xf>
    <xf numFmtId="0" fontId="22" fillId="41" borderId="16" xfId="0" applyFont="1" applyFill="1" applyBorder="1" applyAlignment="1" applyProtection="1">
      <alignment horizontal="left" vertical="center" indent="1"/>
      <protection locked="0"/>
    </xf>
    <xf numFmtId="164" fontId="22" fillId="41" borderId="190" xfId="0" applyNumberFormat="1" applyFont="1" applyFill="1" applyBorder="1" applyAlignment="1" applyProtection="1">
      <alignment vertical="center"/>
      <protection hidden="1"/>
    </xf>
    <xf numFmtId="165" fontId="24" fillId="41" borderId="191" xfId="0" applyNumberFormat="1" applyFont="1" applyFill="1" applyBorder="1" applyAlignment="1" applyProtection="1">
      <alignment horizontal="center" vertical="center"/>
      <protection hidden="1"/>
    </xf>
    <xf numFmtId="0" fontId="18" fillId="0" borderId="0" xfId="0" applyFont="1" applyFill="1" applyBorder="1" applyAlignment="1" applyProtection="1">
      <alignment vertical="center"/>
      <protection hidden="1"/>
    </xf>
    <xf numFmtId="0" fontId="15" fillId="0" borderId="0" xfId="0" applyFont="1" applyFill="1" applyBorder="1" applyAlignment="1" applyProtection="1">
      <alignment horizontal="left" vertical="center"/>
      <protection locked="0"/>
    </xf>
    <xf numFmtId="164" fontId="15" fillId="0" borderId="0" xfId="0" applyNumberFormat="1" applyFont="1" applyFill="1" applyBorder="1" applyAlignment="1" applyProtection="1">
      <alignment vertical="center"/>
      <protection hidden="1"/>
    </xf>
    <xf numFmtId="165" fontId="15" fillId="0" borderId="0" xfId="0" applyNumberFormat="1" applyFont="1" applyFill="1" applyBorder="1" applyAlignment="1" applyProtection="1">
      <alignment horizontal="center" vertical="center"/>
      <protection hidden="1"/>
    </xf>
    <xf numFmtId="165" fontId="27" fillId="0" borderId="90" xfId="0" applyNumberFormat="1" applyFont="1" applyFill="1" applyBorder="1" applyAlignment="1" applyProtection="1">
      <alignment horizontal="center"/>
      <protection locked="0"/>
    </xf>
    <xf numFmtId="0" fontId="118" fillId="0" borderId="0" xfId="0" applyFont="1" applyFill="1" applyBorder="1" applyAlignment="1" applyProtection="1">
      <alignment horizontal="left" vertical="center"/>
      <protection locked="0"/>
    </xf>
    <xf numFmtId="164" fontId="22" fillId="4" borderId="27" xfId="0" applyNumberFormat="1" applyFont="1" applyFill="1" applyBorder="1" applyAlignment="1" applyProtection="1">
      <alignment vertical="center"/>
      <protection hidden="1"/>
    </xf>
    <xf numFmtId="9" fontId="22" fillId="4" borderId="20" xfId="0" applyNumberFormat="1" applyFont="1" applyFill="1" applyBorder="1" applyAlignment="1" applyProtection="1">
      <alignment horizontal="center" vertical="center"/>
      <protection hidden="1"/>
    </xf>
    <xf numFmtId="164" fontId="22" fillId="4" borderId="21" xfId="0" applyNumberFormat="1" applyFont="1" applyFill="1" applyBorder="1" applyAlignment="1" applyProtection="1">
      <alignment vertical="center"/>
      <protection hidden="1"/>
    </xf>
    <xf numFmtId="9" fontId="22" fillId="4" borderId="91" xfId="0" applyNumberFormat="1" applyFont="1" applyFill="1" applyBorder="1" applyAlignment="1" applyProtection="1">
      <alignment horizontal="center" vertical="center"/>
      <protection hidden="1"/>
    </xf>
    <xf numFmtId="9" fontId="143" fillId="25" borderId="91" xfId="0" applyNumberFormat="1" applyFont="1" applyFill="1" applyBorder="1" applyAlignment="1" applyProtection="1">
      <alignment horizontal="center" vertical="center"/>
      <protection hidden="1"/>
    </xf>
    <xf numFmtId="164" fontId="15" fillId="25" borderId="192" xfId="0" applyNumberFormat="1" applyFont="1" applyFill="1" applyBorder="1" applyAlignment="1" applyProtection="1">
      <alignment vertical="center"/>
      <protection hidden="1"/>
    </xf>
    <xf numFmtId="9" fontId="27" fillId="0" borderId="93" xfId="0" applyNumberFormat="1" applyFont="1" applyBorder="1" applyAlignment="1" applyProtection="1">
      <alignment horizontal="center"/>
      <protection locked="0"/>
    </xf>
    <xf numFmtId="164" fontId="27" fillId="0" borderId="74" xfId="0" applyNumberFormat="1" applyFont="1" applyFill="1" applyBorder="1" applyAlignment="1" applyProtection="1">
      <alignment vertical="center"/>
      <protection locked="0"/>
    </xf>
    <xf numFmtId="164" fontId="15" fillId="0" borderId="167" xfId="0" applyNumberFormat="1" applyFont="1" applyBorder="1" applyAlignment="1" applyProtection="1">
      <alignment vertical="center"/>
      <protection locked="0"/>
    </xf>
    <xf numFmtId="164" fontId="28" fillId="0" borderId="167" xfId="0" applyNumberFormat="1" applyFont="1" applyBorder="1" applyAlignment="1" applyProtection="1">
      <alignment vertical="center"/>
      <protection locked="0"/>
    </xf>
    <xf numFmtId="164" fontId="12" fillId="0" borderId="167" xfId="0" applyNumberFormat="1" applyFont="1" applyBorder="1" applyAlignment="1" applyProtection="1">
      <alignment vertical="center"/>
      <protection locked="0"/>
    </xf>
    <xf numFmtId="164" fontId="27" fillId="0" borderId="167" xfId="0" applyNumberFormat="1" applyFont="1" applyBorder="1" applyAlignment="1" applyProtection="1">
      <alignment vertical="center"/>
      <protection locked="0"/>
    </xf>
    <xf numFmtId="164" fontId="28" fillId="0" borderId="74" xfId="0" applyNumberFormat="1" applyFont="1" applyBorder="1" applyAlignment="1" applyProtection="1">
      <alignment vertical="center"/>
      <protection locked="0"/>
    </xf>
    <xf numFmtId="164" fontId="15" fillId="28" borderId="42" xfId="0" applyNumberFormat="1" applyFont="1" applyFill="1" applyBorder="1" applyAlignment="1" applyProtection="1">
      <alignment vertical="center"/>
      <protection hidden="1"/>
    </xf>
    <xf numFmtId="164" fontId="106" fillId="0" borderId="74" xfId="0" applyNumberFormat="1" applyFont="1" applyFill="1" applyBorder="1" applyAlignment="1" applyProtection="1">
      <alignment vertical="center"/>
      <protection locked="0"/>
    </xf>
    <xf numFmtId="164" fontId="22" fillId="19" borderId="42" xfId="0" applyNumberFormat="1" applyFont="1" applyFill="1" applyBorder="1" applyAlignment="1" applyProtection="1">
      <alignment vertical="center"/>
      <protection hidden="1"/>
    </xf>
    <xf numFmtId="164" fontId="12" fillId="0" borderId="74" xfId="0" applyNumberFormat="1" applyFont="1" applyBorder="1" applyAlignment="1" applyProtection="1">
      <alignment vertical="center"/>
      <protection locked="0"/>
    </xf>
    <xf numFmtId="164" fontId="31" fillId="0" borderId="74" xfId="0" applyNumberFormat="1" applyFont="1" applyBorder="1" applyAlignment="1" applyProtection="1">
      <alignment vertical="center"/>
      <protection locked="0"/>
    </xf>
    <xf numFmtId="164" fontId="27" fillId="0" borderId="167" xfId="0" applyNumberFormat="1" applyFont="1" applyBorder="1" applyAlignment="1" applyProtection="1">
      <alignment vertical="center"/>
      <protection hidden="1"/>
    </xf>
    <xf numFmtId="164" fontId="15" fillId="28" borderId="54" xfId="0" applyNumberFormat="1" applyFont="1" applyFill="1" applyBorder="1" applyAlignment="1" applyProtection="1">
      <alignment vertical="center"/>
      <protection hidden="1"/>
    </xf>
    <xf numFmtId="164" fontId="15" fillId="28" borderId="159" xfId="0" applyNumberFormat="1" applyFont="1" applyFill="1" applyBorder="1" applyAlignment="1" applyProtection="1">
      <alignment vertical="center"/>
      <protection hidden="1"/>
    </xf>
    <xf numFmtId="164" fontId="28" fillId="0" borderId="199" xfId="0" applyNumberFormat="1" applyFont="1" applyBorder="1" applyAlignment="1" applyProtection="1">
      <alignment vertical="center"/>
      <protection hidden="1"/>
    </xf>
    <xf numFmtId="164" fontId="15" fillId="28" borderId="202" xfId="0" applyNumberFormat="1" applyFont="1" applyFill="1" applyBorder="1" applyAlignment="1" applyProtection="1">
      <alignment vertical="center"/>
      <protection hidden="1"/>
    </xf>
    <xf numFmtId="165" fontId="143" fillId="28" borderId="98" xfId="0" applyNumberFormat="1" applyFont="1" applyFill="1" applyBorder="1" applyAlignment="1" applyProtection="1">
      <alignment horizontal="center" vertical="center"/>
      <protection hidden="1"/>
    </xf>
    <xf numFmtId="164" fontId="15" fillId="28" borderId="53" xfId="0" applyNumberFormat="1" applyFont="1" applyFill="1" applyBorder="1" applyAlignment="1" applyProtection="1">
      <alignment vertical="center"/>
      <protection hidden="1"/>
    </xf>
    <xf numFmtId="164" fontId="15" fillId="28" borderId="197" xfId="0" applyNumberFormat="1" applyFont="1" applyFill="1" applyBorder="1" applyAlignment="1" applyProtection="1">
      <alignment vertical="center"/>
      <protection hidden="1"/>
    </xf>
    <xf numFmtId="164" fontId="15" fillId="21" borderId="53" xfId="0" applyNumberFormat="1" applyFont="1" applyFill="1" applyBorder="1" applyAlignment="1" applyProtection="1">
      <alignment vertical="center"/>
      <protection hidden="1"/>
    </xf>
    <xf numFmtId="165" fontId="143" fillId="21" borderId="98" xfId="0" applyNumberFormat="1" applyFont="1" applyFill="1" applyBorder="1" applyAlignment="1" applyProtection="1">
      <alignment horizontal="center" vertical="center"/>
      <protection hidden="1"/>
    </xf>
    <xf numFmtId="164" fontId="15" fillId="21" borderId="197" xfId="0" applyNumberFormat="1" applyFont="1" applyFill="1" applyBorder="1" applyAlignment="1" applyProtection="1">
      <alignment vertical="center"/>
      <protection hidden="1"/>
    </xf>
    <xf numFmtId="164" fontId="15" fillId="21" borderId="105" xfId="0" applyNumberFormat="1" applyFont="1" applyFill="1" applyBorder="1" applyAlignment="1" applyProtection="1">
      <alignment vertical="center"/>
      <protection locked="0"/>
    </xf>
    <xf numFmtId="165" fontId="29" fillId="21" borderId="107" xfId="0" applyNumberFormat="1" applyFont="1" applyFill="1" applyBorder="1" applyAlignment="1" applyProtection="1">
      <alignment horizontal="center" vertical="center"/>
      <protection hidden="1"/>
    </xf>
    <xf numFmtId="165" fontId="27" fillId="0" borderId="114" xfId="0" applyNumberFormat="1" applyFont="1" applyBorder="1" applyAlignment="1" applyProtection="1">
      <alignment horizontal="center"/>
      <protection locked="0"/>
    </xf>
    <xf numFmtId="164" fontId="27" fillId="0" borderId="75" xfId="0" applyNumberFormat="1" applyFont="1" applyBorder="1" applyAlignment="1" applyProtection="1">
      <alignment vertical="center"/>
      <protection locked="0"/>
    </xf>
    <xf numFmtId="165" fontId="29" fillId="21" borderId="98" xfId="0" applyNumberFormat="1" applyFont="1" applyFill="1" applyBorder="1" applyAlignment="1" applyProtection="1">
      <alignment horizontal="center" vertical="center"/>
      <protection hidden="1"/>
    </xf>
    <xf numFmtId="165" fontId="15" fillId="5" borderId="98" xfId="0" applyNumberFormat="1" applyFont="1" applyFill="1" applyBorder="1" applyAlignment="1" applyProtection="1">
      <alignment horizontal="center" vertical="center"/>
      <protection hidden="1"/>
    </xf>
    <xf numFmtId="164" fontId="15" fillId="5" borderId="53" xfId="0" applyNumberFormat="1" applyFont="1" applyFill="1" applyBorder="1" applyAlignment="1" applyProtection="1">
      <alignment vertical="center"/>
      <protection hidden="1"/>
    </xf>
    <xf numFmtId="164" fontId="12" fillId="0" borderId="14" xfId="0" applyNumberFormat="1" applyFont="1" applyBorder="1" applyAlignment="1" applyProtection="1">
      <alignment vertical="center"/>
      <protection locked="0"/>
    </xf>
    <xf numFmtId="164" fontId="15" fillId="5" borderId="197" xfId="0" applyNumberFormat="1" applyFont="1" applyFill="1" applyBorder="1" applyAlignment="1" applyProtection="1">
      <alignment vertical="center"/>
      <protection hidden="1"/>
    </xf>
    <xf numFmtId="164" fontId="21" fillId="0" borderId="74" xfId="0" applyNumberFormat="1" applyFont="1" applyBorder="1" applyAlignment="1" applyProtection="1">
      <alignment vertical="center"/>
      <protection locked="0"/>
    </xf>
    <xf numFmtId="165" fontId="103" fillId="0" borderId="74" xfId="0" applyNumberFormat="1" applyFont="1" applyBorder="1" applyAlignment="1" applyProtection="1">
      <alignment horizontal="center" vertical="center"/>
      <protection hidden="1"/>
    </xf>
    <xf numFmtId="164" fontId="31" fillId="0" borderId="167" xfId="0" applyNumberFormat="1" applyFont="1" applyBorder="1" applyAlignment="1" applyProtection="1">
      <alignment vertical="center"/>
      <protection locked="0"/>
    </xf>
    <xf numFmtId="164" fontId="21" fillId="0" borderId="167" xfId="0" applyNumberFormat="1" applyFont="1" applyBorder="1" applyAlignment="1" applyProtection="1">
      <alignment vertical="center"/>
      <protection locked="0"/>
    </xf>
    <xf numFmtId="164" fontId="27" fillId="0" borderId="74" xfId="0" applyNumberFormat="1" applyFont="1" applyBorder="1" applyAlignment="1" applyProtection="1">
      <alignment vertical="center"/>
      <protection hidden="1"/>
    </xf>
    <xf numFmtId="164" fontId="22" fillId="4" borderId="42" xfId="0" applyNumberFormat="1" applyFont="1" applyFill="1" applyBorder="1" applyAlignment="1" applyProtection="1">
      <alignment vertical="center"/>
      <protection hidden="1"/>
    </xf>
    <xf numFmtId="164" fontId="15" fillId="25" borderId="42" xfId="0" applyNumberFormat="1" applyFont="1" applyFill="1" applyBorder="1" applyAlignment="1" applyProtection="1">
      <alignment vertical="center"/>
      <protection hidden="1"/>
    </xf>
    <xf numFmtId="164" fontId="12" fillId="0" borderId="75" xfId="0" applyNumberFormat="1" applyFont="1" applyBorder="1" applyAlignment="1" applyProtection="1">
      <alignment vertical="center"/>
      <protection locked="0"/>
    </xf>
    <xf numFmtId="164" fontId="31" fillId="0" borderId="206" xfId="0" applyNumberFormat="1" applyFont="1" applyBorder="1" applyAlignment="1" applyProtection="1">
      <alignment vertical="center"/>
      <protection locked="0"/>
    </xf>
    <xf numFmtId="164" fontId="222" fillId="0" borderId="74" xfId="0" applyNumberFormat="1" applyFont="1" applyBorder="1" applyAlignment="1" applyProtection="1">
      <alignment vertical="center"/>
      <protection hidden="1"/>
    </xf>
    <xf numFmtId="164" fontId="222" fillId="0" borderId="167" xfId="0" applyNumberFormat="1" applyFont="1" applyBorder="1" applyAlignment="1" applyProtection="1">
      <alignment vertical="center"/>
      <protection hidden="1"/>
    </xf>
    <xf numFmtId="164" fontId="222" fillId="0" borderId="167" xfId="0" applyNumberFormat="1" applyFont="1" applyBorder="1" applyAlignment="1" applyProtection="1">
      <alignment vertical="center"/>
      <protection locked="0"/>
    </xf>
    <xf numFmtId="9" fontId="15" fillId="28" borderId="103" xfId="0" applyNumberFormat="1" applyFont="1" applyFill="1" applyBorder="1" applyAlignment="1" applyProtection="1">
      <alignment horizontal="center" vertical="center"/>
      <protection hidden="1"/>
    </xf>
    <xf numFmtId="165" fontId="143" fillId="28" borderId="103" xfId="0" applyNumberFormat="1" applyFont="1" applyFill="1" applyBorder="1" applyAlignment="1" applyProtection="1">
      <alignment horizontal="center" vertical="center"/>
      <protection hidden="1"/>
    </xf>
    <xf numFmtId="165" fontId="29" fillId="28" borderId="103" xfId="0" applyNumberFormat="1" applyFont="1" applyFill="1" applyBorder="1" applyAlignment="1" applyProtection="1">
      <alignment horizontal="center" vertical="center"/>
      <protection hidden="1"/>
    </xf>
    <xf numFmtId="164" fontId="15" fillId="5" borderId="98" xfId="0" applyNumberFormat="1" applyFont="1" applyFill="1" applyBorder="1" applyAlignment="1" applyProtection="1">
      <alignment vertical="center"/>
      <protection hidden="1"/>
    </xf>
    <xf numFmtId="164" fontId="12" fillId="0" borderId="53" xfId="0" applyNumberFormat="1" applyFont="1" applyBorder="1" applyProtection="1">
      <protection locked="0"/>
    </xf>
    <xf numFmtId="165" fontId="29" fillId="28" borderId="98" xfId="0" applyNumberFormat="1" applyFont="1" applyFill="1" applyBorder="1" applyAlignment="1" applyProtection="1">
      <alignment horizontal="center" vertical="center"/>
      <protection hidden="1"/>
    </xf>
    <xf numFmtId="164" fontId="15" fillId="28" borderId="99" xfId="0" applyNumberFormat="1" applyFont="1" applyFill="1" applyBorder="1" applyAlignment="1" applyProtection="1">
      <alignment vertical="center"/>
      <protection hidden="1"/>
    </xf>
    <xf numFmtId="165" fontId="29" fillId="28" borderId="100" xfId="0" applyNumberFormat="1" applyFont="1" applyFill="1" applyBorder="1" applyAlignment="1" applyProtection="1">
      <alignment horizontal="center" vertical="center"/>
      <protection hidden="1"/>
    </xf>
    <xf numFmtId="164" fontId="15" fillId="28" borderId="199" xfId="0" applyNumberFormat="1" applyFont="1" applyFill="1" applyBorder="1" applyAlignment="1" applyProtection="1">
      <alignment vertical="center"/>
      <protection hidden="1"/>
    </xf>
    <xf numFmtId="165" fontId="74" fillId="28" borderId="98" xfId="0" applyNumberFormat="1" applyFont="1" applyFill="1" applyBorder="1" applyAlignment="1" applyProtection="1">
      <alignment horizontal="center" vertical="center"/>
      <protection hidden="1"/>
    </xf>
    <xf numFmtId="164" fontId="12" fillId="0" borderId="40" xfId="0" applyNumberFormat="1" applyFont="1" applyBorder="1" applyAlignment="1" applyProtection="1">
      <alignment vertical="center"/>
      <protection locked="0"/>
    </xf>
    <xf numFmtId="164" fontId="12" fillId="0" borderId="94" xfId="0" applyNumberFormat="1" applyFont="1" applyBorder="1" applyAlignment="1" applyProtection="1">
      <alignment vertical="center"/>
      <protection locked="0"/>
    </xf>
    <xf numFmtId="0" fontId="169" fillId="28" borderId="17" xfId="0" applyFont="1" applyFill="1" applyBorder="1" applyAlignment="1" applyProtection="1">
      <alignment vertical="center"/>
      <protection locked="0"/>
    </xf>
    <xf numFmtId="164" fontId="12" fillId="0" borderId="209" xfId="0" applyNumberFormat="1" applyFont="1" applyBorder="1" applyAlignment="1" applyProtection="1">
      <alignment vertical="center"/>
      <protection locked="0"/>
    </xf>
    <xf numFmtId="164" fontId="27" fillId="0" borderId="209" xfId="0" applyNumberFormat="1" applyFont="1" applyBorder="1" applyAlignment="1" applyProtection="1">
      <alignment vertical="center"/>
      <protection hidden="1"/>
    </xf>
    <xf numFmtId="164" fontId="28" fillId="0" borderId="94" xfId="0" applyNumberFormat="1" applyFont="1" applyBorder="1" applyAlignment="1" applyProtection="1">
      <alignment vertical="center"/>
      <protection locked="0"/>
    </xf>
    <xf numFmtId="165" fontId="24" fillId="19" borderId="41" xfId="0" applyNumberFormat="1" applyFont="1" applyFill="1" applyBorder="1" applyAlignment="1" applyProtection="1">
      <alignment horizontal="center" vertical="top"/>
      <protection hidden="1"/>
    </xf>
    <xf numFmtId="165" fontId="24" fillId="19" borderId="210" xfId="0" applyNumberFormat="1" applyFont="1" applyFill="1" applyBorder="1" applyAlignment="1" applyProtection="1">
      <alignment horizontal="center" vertical="top"/>
      <protection hidden="1"/>
    </xf>
    <xf numFmtId="164" fontId="31" fillId="0" borderId="209" xfId="0" applyNumberFormat="1" applyFont="1" applyBorder="1" applyAlignment="1" applyProtection="1">
      <alignment vertical="center"/>
      <protection locked="0"/>
    </xf>
    <xf numFmtId="164" fontId="80" fillId="0" borderId="209" xfId="0" applyNumberFormat="1" applyFont="1" applyBorder="1" applyAlignment="1" applyProtection="1">
      <alignment vertical="center"/>
      <protection locked="0"/>
    </xf>
    <xf numFmtId="164" fontId="31" fillId="0" borderId="94" xfId="0" applyNumberFormat="1" applyFont="1" applyBorder="1" applyAlignment="1" applyProtection="1">
      <alignment vertical="center"/>
      <protection locked="0"/>
    </xf>
    <xf numFmtId="165" fontId="172" fillId="9" borderId="41" xfId="0" applyNumberFormat="1" applyFont="1" applyFill="1" applyBorder="1" applyAlignment="1" applyProtection="1">
      <alignment horizontal="center" vertical="top"/>
      <protection hidden="1"/>
    </xf>
    <xf numFmtId="164" fontId="13" fillId="0" borderId="94" xfId="0" applyNumberFormat="1" applyFont="1" applyBorder="1" applyAlignment="1" applyProtection="1">
      <alignment vertical="center"/>
      <protection hidden="1"/>
    </xf>
    <xf numFmtId="165" fontId="24" fillId="19" borderId="128" xfId="0" applyNumberFormat="1" applyFont="1" applyFill="1" applyBorder="1" applyAlignment="1" applyProtection="1">
      <alignment horizontal="center" vertical="top"/>
      <protection hidden="1"/>
    </xf>
    <xf numFmtId="164" fontId="12" fillId="0" borderId="209" xfId="0" applyNumberFormat="1" applyFont="1" applyFill="1" applyBorder="1" applyAlignment="1" applyProtection="1">
      <alignment vertical="center"/>
      <protection locked="0"/>
    </xf>
    <xf numFmtId="165" fontId="102" fillId="0" borderId="214" xfId="0" applyNumberFormat="1" applyFont="1" applyBorder="1" applyAlignment="1" applyProtection="1">
      <alignment horizontal="center" vertical="top"/>
      <protection hidden="1"/>
    </xf>
    <xf numFmtId="164" fontId="27" fillId="0" borderId="94" xfId="0" applyNumberFormat="1" applyFont="1" applyFill="1" applyBorder="1" applyAlignment="1" applyProtection="1">
      <alignment vertical="center"/>
      <protection hidden="1"/>
    </xf>
    <xf numFmtId="165" fontId="42" fillId="27" borderId="94" xfId="0" applyNumberFormat="1" applyFont="1" applyFill="1" applyBorder="1" applyAlignment="1" applyProtection="1">
      <alignment horizontal="center" vertical="top"/>
      <protection hidden="1"/>
    </xf>
    <xf numFmtId="165" fontId="24" fillId="18" borderId="94" xfId="0" applyNumberFormat="1" applyFont="1" applyFill="1" applyBorder="1" applyAlignment="1" applyProtection="1">
      <alignment horizontal="center" vertical="top"/>
      <protection hidden="1"/>
    </xf>
    <xf numFmtId="165" fontId="24" fillId="18" borderId="216" xfId="0" applyNumberFormat="1" applyFont="1" applyFill="1" applyBorder="1" applyAlignment="1" applyProtection="1">
      <alignment horizontal="center" vertical="center"/>
      <protection hidden="1"/>
    </xf>
    <xf numFmtId="165" fontId="24" fillId="19" borderId="94" xfId="0" applyNumberFormat="1" applyFont="1" applyFill="1" applyBorder="1" applyAlignment="1" applyProtection="1">
      <alignment horizontal="center" vertical="top"/>
      <protection hidden="1"/>
    </xf>
    <xf numFmtId="165" fontId="24" fillId="19" borderId="216" xfId="0" applyNumberFormat="1" applyFont="1" applyFill="1" applyBorder="1" applyAlignment="1" applyProtection="1">
      <alignment horizontal="center" vertical="center"/>
      <protection hidden="1"/>
    </xf>
    <xf numFmtId="164" fontId="27" fillId="0" borderId="209" xfId="0" applyNumberFormat="1" applyFont="1" applyFill="1" applyBorder="1" applyAlignment="1" applyProtection="1">
      <alignment vertical="center"/>
      <protection hidden="1"/>
    </xf>
    <xf numFmtId="164" fontId="27" fillId="0" borderId="212" xfId="0" applyNumberFormat="1" applyFont="1" applyFill="1" applyBorder="1" applyAlignment="1" applyProtection="1">
      <alignment vertical="center"/>
      <protection hidden="1"/>
    </xf>
    <xf numFmtId="164" fontId="12" fillId="0" borderId="208" xfId="0" applyNumberFormat="1" applyFont="1" applyBorder="1" applyAlignment="1" applyProtection="1">
      <alignment vertical="center"/>
      <protection locked="0"/>
    </xf>
    <xf numFmtId="164" fontId="27" fillId="0" borderId="208" xfId="0" applyNumberFormat="1" applyFont="1" applyBorder="1" applyAlignment="1" applyProtection="1">
      <alignment vertical="center"/>
      <protection hidden="1"/>
    </xf>
    <xf numFmtId="165" fontId="24" fillId="19" borderId="218" xfId="0" applyNumberFormat="1" applyFont="1" applyFill="1" applyBorder="1" applyAlignment="1" applyProtection="1">
      <alignment horizontal="center" vertical="top"/>
      <protection hidden="1"/>
    </xf>
    <xf numFmtId="164" fontId="31" fillId="0" borderId="208" xfId="0" applyNumberFormat="1" applyFont="1" applyBorder="1" applyAlignment="1" applyProtection="1">
      <alignment vertical="center"/>
      <protection locked="0"/>
    </xf>
    <xf numFmtId="164" fontId="80" fillId="0" borderId="208" xfId="0" applyNumberFormat="1" applyFont="1" applyBorder="1" applyAlignment="1" applyProtection="1">
      <alignment vertical="center"/>
      <protection locked="0"/>
    </xf>
    <xf numFmtId="165" fontId="172" fillId="9" borderId="15" xfId="0" applyNumberFormat="1" applyFont="1" applyFill="1" applyBorder="1" applyAlignment="1" applyProtection="1">
      <alignment horizontal="center" vertical="top"/>
      <protection hidden="1"/>
    </xf>
    <xf numFmtId="164" fontId="13" fillId="0" borderId="74" xfId="0" applyNumberFormat="1" applyFont="1" applyBorder="1" applyAlignment="1" applyProtection="1">
      <alignment vertical="center"/>
      <protection hidden="1"/>
    </xf>
    <xf numFmtId="165" fontId="24" fillId="19" borderId="127" xfId="0" applyNumberFormat="1" applyFont="1" applyFill="1" applyBorder="1" applyAlignment="1" applyProtection="1">
      <alignment horizontal="center" vertical="top"/>
      <protection hidden="1"/>
    </xf>
    <xf numFmtId="164" fontId="12" fillId="0" borderId="208" xfId="0" applyNumberFormat="1" applyFont="1" applyFill="1" applyBorder="1" applyAlignment="1" applyProtection="1">
      <alignment vertical="center"/>
      <protection locked="0"/>
    </xf>
    <xf numFmtId="165" fontId="102" fillId="0" borderId="213" xfId="0" applyNumberFormat="1" applyFont="1" applyBorder="1" applyAlignment="1" applyProtection="1">
      <alignment horizontal="center" vertical="top"/>
      <protection hidden="1"/>
    </xf>
    <xf numFmtId="164" fontId="27" fillId="0" borderId="74" xfId="0" applyNumberFormat="1" applyFont="1" applyFill="1" applyBorder="1" applyAlignment="1" applyProtection="1">
      <alignment vertical="center"/>
      <protection hidden="1"/>
    </xf>
    <xf numFmtId="165" fontId="172" fillId="27" borderId="74" xfId="0" applyNumberFormat="1" applyFont="1" applyFill="1" applyBorder="1" applyAlignment="1" applyProtection="1">
      <alignment horizontal="center" vertical="top"/>
      <protection hidden="1"/>
    </xf>
    <xf numFmtId="165" fontId="24" fillId="18" borderId="124" xfId="0" applyNumberFormat="1" applyFont="1" applyFill="1" applyBorder="1" applyAlignment="1" applyProtection="1">
      <alignment horizontal="center" vertical="top"/>
      <protection hidden="1"/>
    </xf>
    <xf numFmtId="165" fontId="24" fillId="18" borderId="220" xfId="0" applyNumberFormat="1" applyFont="1" applyFill="1" applyBorder="1" applyAlignment="1" applyProtection="1">
      <alignment horizontal="center" vertical="center"/>
      <protection hidden="1"/>
    </xf>
    <xf numFmtId="165" fontId="24" fillId="19" borderId="124" xfId="0" applyNumberFormat="1" applyFont="1" applyFill="1" applyBorder="1" applyAlignment="1" applyProtection="1">
      <alignment horizontal="center" vertical="top"/>
      <protection hidden="1"/>
    </xf>
    <xf numFmtId="165" fontId="24" fillId="19" borderId="220" xfId="0" applyNumberFormat="1" applyFont="1" applyFill="1" applyBorder="1" applyAlignment="1" applyProtection="1">
      <alignment horizontal="center" vertical="center"/>
      <protection hidden="1"/>
    </xf>
    <xf numFmtId="164" fontId="27" fillId="0" borderId="208" xfId="0" applyNumberFormat="1" applyFont="1" applyFill="1" applyBorder="1" applyAlignment="1" applyProtection="1">
      <alignment vertical="center"/>
      <protection hidden="1"/>
    </xf>
    <xf numFmtId="164" fontId="27" fillId="0" borderId="211" xfId="0" applyNumberFormat="1" applyFont="1" applyFill="1" applyBorder="1" applyAlignment="1" applyProtection="1">
      <alignment vertical="center"/>
      <protection hidden="1"/>
    </xf>
    <xf numFmtId="165" fontId="24" fillId="19" borderId="48" xfId="0" applyNumberFormat="1" applyFont="1" applyFill="1" applyBorder="1" applyAlignment="1" applyProtection="1">
      <alignment horizontal="center" vertical="top"/>
      <protection hidden="1"/>
    </xf>
    <xf numFmtId="164" fontId="205" fillId="0" borderId="94" xfId="0" applyNumberFormat="1" applyFont="1" applyBorder="1" applyAlignment="1" applyProtection="1">
      <alignment vertical="center"/>
      <protection hidden="1"/>
    </xf>
    <xf numFmtId="164" fontId="205" fillId="0" borderId="74" xfId="0" applyNumberFormat="1" applyFont="1" applyBorder="1" applyAlignment="1" applyProtection="1">
      <alignment vertical="center"/>
      <protection hidden="1"/>
    </xf>
    <xf numFmtId="164" fontId="12" fillId="0" borderId="219" xfId="0" applyNumberFormat="1" applyFont="1" applyBorder="1" applyAlignment="1" applyProtection="1">
      <alignment vertical="center"/>
      <protection locked="0"/>
    </xf>
    <xf numFmtId="164" fontId="12" fillId="0" borderId="108" xfId="0" applyNumberFormat="1" applyFont="1" applyBorder="1" applyAlignment="1" applyProtection="1">
      <alignment vertical="center"/>
      <protection locked="0"/>
    </xf>
    <xf numFmtId="165" fontId="24" fillId="4" borderId="201" xfId="0" applyNumberFormat="1" applyFont="1" applyFill="1" applyBorder="1" applyAlignment="1" applyProtection="1">
      <alignment horizontal="center" vertical="top"/>
      <protection hidden="1"/>
    </xf>
    <xf numFmtId="164" fontId="12" fillId="0" borderId="222" xfId="0" applyNumberFormat="1" applyFont="1" applyBorder="1" applyAlignment="1" applyProtection="1">
      <alignment vertical="center"/>
      <protection locked="0"/>
    </xf>
    <xf numFmtId="165" fontId="24" fillId="4" borderId="127" xfId="0" applyNumberFormat="1" applyFont="1" applyFill="1" applyBorder="1" applyAlignment="1" applyProtection="1">
      <alignment horizontal="center" vertical="top"/>
      <protection hidden="1"/>
    </xf>
    <xf numFmtId="165" fontId="177" fillId="0" borderId="94" xfId="0" applyNumberFormat="1" applyFont="1" applyBorder="1" applyAlignment="1" applyProtection="1">
      <alignment horizontal="center" vertical="top"/>
      <protection hidden="1"/>
    </xf>
    <xf numFmtId="165" fontId="177" fillId="0" borderId="41" xfId="0" applyNumberFormat="1" applyFont="1" applyBorder="1" applyAlignment="1" applyProtection="1">
      <alignment horizontal="center" vertical="top"/>
      <protection hidden="1"/>
    </xf>
    <xf numFmtId="165" fontId="177" fillId="0" borderId="74" xfId="0" applyNumberFormat="1" applyFont="1" applyBorder="1" applyAlignment="1" applyProtection="1">
      <alignment horizontal="center" vertical="top"/>
      <protection hidden="1"/>
    </xf>
    <xf numFmtId="165" fontId="177" fillId="0" borderId="15" xfId="0" applyNumberFormat="1" applyFont="1" applyBorder="1" applyAlignment="1" applyProtection="1">
      <alignment horizontal="center" vertical="top"/>
      <protection hidden="1"/>
    </xf>
    <xf numFmtId="164" fontId="12" fillId="0" borderId="185" xfId="0" applyNumberFormat="1" applyFont="1" applyBorder="1" applyAlignment="1" applyProtection="1">
      <alignment horizontal="right" vertical="center"/>
      <protection hidden="1"/>
    </xf>
    <xf numFmtId="164" fontId="12" fillId="0" borderId="94" xfId="0" applyNumberFormat="1" applyFont="1" applyBorder="1" applyAlignment="1" applyProtection="1">
      <alignment horizontal="right" vertical="center"/>
      <protection hidden="1"/>
    </xf>
    <xf numFmtId="164" fontId="12" fillId="0" borderId="184" xfId="0" applyNumberFormat="1" applyFont="1" applyBorder="1" applyAlignment="1" applyProtection="1">
      <alignment horizontal="right" vertical="center"/>
      <protection hidden="1"/>
    </xf>
    <xf numFmtId="164" fontId="12" fillId="0" borderId="74" xfId="0" applyNumberFormat="1" applyFont="1" applyBorder="1" applyAlignment="1" applyProtection="1">
      <alignment horizontal="right" vertical="center"/>
      <protection hidden="1"/>
    </xf>
    <xf numFmtId="165" fontId="176" fillId="30" borderId="41" xfId="0" applyNumberFormat="1" applyFont="1" applyFill="1" applyBorder="1" applyAlignment="1" applyProtection="1">
      <alignment horizontal="center" vertical="top"/>
      <protection hidden="1"/>
    </xf>
    <xf numFmtId="165" fontId="176" fillId="30" borderId="15" xfId="0" applyNumberFormat="1" applyFont="1" applyFill="1" applyBorder="1" applyAlignment="1" applyProtection="1">
      <alignment horizontal="center" vertical="top"/>
      <protection hidden="1"/>
    </xf>
    <xf numFmtId="165" fontId="176" fillId="7" borderId="109" xfId="0" applyNumberFormat="1" applyFont="1" applyFill="1" applyBorder="1" applyAlignment="1" applyProtection="1">
      <alignment horizontal="center" vertical="top"/>
      <protection hidden="1"/>
    </xf>
    <xf numFmtId="165" fontId="176" fillId="7" borderId="204" xfId="0" applyNumberFormat="1" applyFont="1" applyFill="1" applyBorder="1" applyAlignment="1" applyProtection="1">
      <alignment horizontal="center" vertical="top"/>
      <protection hidden="1"/>
    </xf>
    <xf numFmtId="0" fontId="151" fillId="0" borderId="0" xfId="0" applyFont="1" applyBorder="1" applyAlignment="1" applyProtection="1">
      <protection locked="0"/>
    </xf>
    <xf numFmtId="0" fontId="0" fillId="0" borderId="0" xfId="0" applyBorder="1" applyAlignment="1"/>
    <xf numFmtId="0" fontId="153" fillId="19" borderId="42" xfId="0" applyFont="1" applyFill="1" applyBorder="1" applyAlignment="1" applyProtection="1">
      <alignment horizontal="center" vertical="center"/>
      <protection locked="0"/>
    </xf>
    <xf numFmtId="1" fontId="22" fillId="19" borderId="19" xfId="0" applyNumberFormat="1" applyFont="1" applyFill="1" applyBorder="1" applyAlignment="1" applyProtection="1">
      <alignment horizontal="center" vertical="center"/>
      <protection hidden="1"/>
    </xf>
    <xf numFmtId="1" fontId="22" fillId="19" borderId="43" xfId="0" applyNumberFormat="1" applyFont="1" applyFill="1" applyBorder="1" applyAlignment="1" applyProtection="1">
      <alignment horizontal="center" vertical="center"/>
      <protection hidden="1"/>
    </xf>
    <xf numFmtId="1" fontId="22" fillId="19" borderId="42" xfId="0" applyNumberFormat="1" applyFont="1" applyFill="1" applyBorder="1" applyAlignment="1" applyProtection="1">
      <alignment horizontal="center" vertical="center"/>
      <protection hidden="1"/>
    </xf>
    <xf numFmtId="0" fontId="151" fillId="0" borderId="0" xfId="0" applyFont="1" applyBorder="1" applyAlignment="1" applyProtection="1">
      <alignment horizontal="right" vertical="top"/>
      <protection locked="0"/>
    </xf>
    <xf numFmtId="164" fontId="12" fillId="0" borderId="185" xfId="0" applyNumberFormat="1" applyFont="1" applyBorder="1" applyAlignment="1" applyProtection="1">
      <alignment horizontal="right" vertical="center"/>
      <protection locked="0"/>
    </xf>
    <xf numFmtId="164" fontId="12" fillId="0" borderId="94" xfId="0" applyNumberFormat="1" applyFont="1" applyBorder="1" applyAlignment="1" applyProtection="1">
      <alignment horizontal="right" vertical="center"/>
      <protection locked="0"/>
    </xf>
    <xf numFmtId="164" fontId="12" fillId="0" borderId="184" xfId="0" applyNumberFormat="1" applyFont="1" applyBorder="1" applyAlignment="1" applyProtection="1">
      <alignment horizontal="right" vertical="center"/>
      <protection locked="0"/>
    </xf>
    <xf numFmtId="164" fontId="12" fillId="0" borderId="74" xfId="0" applyNumberFormat="1" applyFont="1" applyBorder="1" applyAlignment="1" applyProtection="1">
      <alignment horizontal="right" vertical="center"/>
      <protection locked="0"/>
    </xf>
    <xf numFmtId="2" fontId="56" fillId="5" borderId="40" xfId="0" applyNumberFormat="1" applyFont="1" applyFill="1" applyBorder="1" applyAlignment="1" applyProtection="1">
      <alignment horizontal="center" vertical="center"/>
      <protection hidden="1"/>
    </xf>
    <xf numFmtId="2" fontId="157" fillId="28" borderId="43" xfId="0" applyNumberFormat="1" applyFont="1" applyFill="1" applyBorder="1" applyAlignment="1" applyProtection="1">
      <alignment horizontal="center" vertical="center"/>
      <protection locked="0"/>
    </xf>
    <xf numFmtId="2" fontId="56" fillId="5" borderId="14" xfId="0" applyNumberFormat="1" applyFont="1" applyFill="1" applyBorder="1" applyAlignment="1" applyProtection="1">
      <alignment horizontal="center" vertical="center"/>
      <protection hidden="1"/>
    </xf>
    <xf numFmtId="2" fontId="157" fillId="28" borderId="42" xfId="0" applyNumberFormat="1" applyFont="1" applyFill="1" applyBorder="1" applyAlignment="1" applyProtection="1">
      <alignment horizontal="center" vertical="center"/>
      <protection locked="0"/>
    </xf>
    <xf numFmtId="164" fontId="15" fillId="28" borderId="160" xfId="0" applyNumberFormat="1" applyFont="1" applyFill="1" applyBorder="1" applyAlignment="1" applyProtection="1">
      <alignment vertical="center"/>
      <protection locked="0"/>
    </xf>
    <xf numFmtId="164" fontId="15" fillId="28" borderId="159" xfId="0" applyNumberFormat="1" applyFont="1" applyFill="1" applyBorder="1" applyAlignment="1" applyProtection="1">
      <alignment vertical="center"/>
      <protection locked="0"/>
    </xf>
    <xf numFmtId="164" fontId="12" fillId="0" borderId="108" xfId="0" applyNumberFormat="1" applyFont="1" applyBorder="1" applyAlignment="1" applyProtection="1">
      <alignment horizontal="right" vertical="center"/>
      <protection locked="0"/>
    </xf>
    <xf numFmtId="164" fontId="12" fillId="0" borderId="108" xfId="0" applyNumberFormat="1" applyFont="1" applyBorder="1" applyAlignment="1" applyProtection="1">
      <alignment horizontal="right" vertical="center"/>
      <protection hidden="1"/>
    </xf>
    <xf numFmtId="164" fontId="12" fillId="0" borderId="75" xfId="0" applyNumberFormat="1" applyFont="1" applyBorder="1" applyAlignment="1" applyProtection="1">
      <alignment horizontal="right" vertical="center"/>
      <protection locked="0"/>
    </xf>
    <xf numFmtId="164" fontId="12" fillId="0" borderId="75" xfId="0" applyNumberFormat="1" applyFont="1" applyBorder="1" applyAlignment="1" applyProtection="1">
      <alignment horizontal="right" vertical="center"/>
      <protection hidden="1"/>
    </xf>
    <xf numFmtId="164" fontId="15" fillId="28" borderId="97" xfId="0" applyNumberFormat="1" applyFont="1" applyFill="1" applyBorder="1" applyAlignment="1" applyProtection="1">
      <alignment horizontal="right" vertical="center"/>
      <protection hidden="1"/>
    </xf>
    <xf numFmtId="0" fontId="15" fillId="0" borderId="53" xfId="0" applyFont="1" applyFill="1" applyBorder="1" applyProtection="1">
      <protection locked="0"/>
    </xf>
    <xf numFmtId="164" fontId="15" fillId="28" borderId="197" xfId="0" applyNumberFormat="1" applyFont="1" applyFill="1" applyBorder="1" applyAlignment="1" applyProtection="1">
      <alignment horizontal="right" vertical="center"/>
      <protection hidden="1"/>
    </xf>
    <xf numFmtId="164" fontId="15" fillId="28" borderId="160" xfId="0" applyNumberFormat="1" applyFont="1" applyFill="1" applyBorder="1" applyAlignment="1" applyProtection="1">
      <alignment horizontal="right" vertical="center"/>
      <protection hidden="1"/>
    </xf>
    <xf numFmtId="0" fontId="12" fillId="0" borderId="99" xfId="0" applyFont="1" applyFill="1" applyBorder="1" applyProtection="1">
      <protection locked="0"/>
    </xf>
    <xf numFmtId="164" fontId="15" fillId="28" borderId="159" xfId="0" applyNumberFormat="1" applyFont="1" applyFill="1" applyBorder="1" applyAlignment="1" applyProtection="1">
      <alignment horizontal="right" vertical="center"/>
      <protection hidden="1"/>
    </xf>
    <xf numFmtId="164" fontId="15" fillId="0" borderId="74" xfId="0" applyNumberFormat="1" applyFont="1" applyBorder="1" applyAlignment="1" applyProtection="1">
      <alignment horizontal="right" vertical="center"/>
      <protection locked="0"/>
    </xf>
    <xf numFmtId="164" fontId="15" fillId="0" borderId="94" xfId="0" applyNumberFormat="1" applyFont="1" applyBorder="1" applyAlignment="1" applyProtection="1">
      <alignment horizontal="right" vertical="center"/>
      <protection locked="0"/>
    </xf>
    <xf numFmtId="165" fontId="24" fillId="22" borderId="13" xfId="0" applyNumberFormat="1" applyFont="1" applyFill="1" applyBorder="1" applyAlignment="1" applyProtection="1">
      <alignment horizontal="center" vertical="top"/>
      <protection hidden="1"/>
    </xf>
    <xf numFmtId="165" fontId="24" fillId="22" borderId="229" xfId="0" applyNumberFormat="1" applyFont="1" applyFill="1" applyBorder="1" applyAlignment="1" applyProtection="1">
      <alignment horizontal="center" vertical="top"/>
      <protection hidden="1"/>
    </xf>
    <xf numFmtId="165" fontId="24" fillId="22" borderId="124" xfId="0" applyNumberFormat="1" applyFont="1" applyFill="1" applyBorder="1" applyAlignment="1" applyProtection="1">
      <alignment horizontal="center" vertical="top"/>
      <protection hidden="1"/>
    </xf>
    <xf numFmtId="0" fontId="20" fillId="28" borderId="42" xfId="0" applyFont="1" applyFill="1" applyBorder="1" applyAlignment="1" applyProtection="1">
      <alignment horizontal="left" vertical="center" indent="1"/>
      <protection locked="0"/>
    </xf>
    <xf numFmtId="0" fontId="168" fillId="28" borderId="16" xfId="0" applyFont="1" applyFill="1" applyBorder="1" applyAlignment="1" applyProtection="1">
      <alignment vertical="center"/>
      <protection hidden="1"/>
    </xf>
    <xf numFmtId="164" fontId="15" fillId="28" borderId="43" xfId="0" applyNumberFormat="1" applyFont="1" applyFill="1" applyBorder="1" applyAlignment="1" applyProtection="1">
      <alignment vertical="center"/>
      <protection hidden="1"/>
    </xf>
    <xf numFmtId="0" fontId="146" fillId="43" borderId="53" xfId="1" applyFont="1" applyFill="1" applyBorder="1" applyAlignment="1" applyProtection="1">
      <alignment vertical="center"/>
      <protection locked="0"/>
    </xf>
    <xf numFmtId="164" fontId="146" fillId="43" borderId="97" xfId="1" applyNumberFormat="1" applyFont="1" applyFill="1" applyBorder="1" applyAlignment="1" applyProtection="1">
      <alignment vertical="center"/>
      <protection hidden="1"/>
    </xf>
    <xf numFmtId="164" fontId="146" fillId="43" borderId="197" xfId="1" applyNumberFormat="1" applyFont="1" applyFill="1" applyBorder="1" applyAlignment="1" applyProtection="1">
      <alignment vertical="center"/>
      <protection hidden="1"/>
    </xf>
    <xf numFmtId="164" fontId="184" fillId="28" borderId="97" xfId="0" applyNumberFormat="1" applyFont="1" applyFill="1" applyBorder="1" applyAlignment="1" applyProtection="1">
      <alignment vertical="center"/>
      <protection hidden="1"/>
    </xf>
    <xf numFmtId="164" fontId="184" fillId="28" borderId="197" xfId="0" applyNumberFormat="1" applyFont="1" applyFill="1" applyBorder="1" applyAlignment="1" applyProtection="1">
      <alignment vertical="center"/>
      <protection hidden="1"/>
    </xf>
    <xf numFmtId="164" fontId="15" fillId="0" borderId="97" xfId="0" applyNumberFormat="1" applyFont="1" applyFill="1" applyBorder="1" applyAlignment="1" applyProtection="1">
      <alignment vertical="center"/>
      <protection hidden="1"/>
    </xf>
    <xf numFmtId="164" fontId="15" fillId="0" borderId="197" xfId="0" applyNumberFormat="1" applyFont="1" applyFill="1" applyBorder="1" applyAlignment="1" applyProtection="1">
      <alignment vertical="center"/>
      <protection hidden="1"/>
    </xf>
    <xf numFmtId="165" fontId="183" fillId="27" borderId="97" xfId="0" applyNumberFormat="1" applyFont="1" applyFill="1" applyBorder="1" applyAlignment="1" applyProtection="1">
      <alignment horizontal="center" vertical="center"/>
      <protection hidden="1"/>
    </xf>
    <xf numFmtId="165" fontId="183" fillId="27" borderId="197" xfId="0" applyNumberFormat="1" applyFont="1" applyFill="1" applyBorder="1" applyAlignment="1" applyProtection="1">
      <alignment horizontal="center" vertical="center"/>
      <protection hidden="1"/>
    </xf>
    <xf numFmtId="164" fontId="20" fillId="9" borderId="101" xfId="0" applyNumberFormat="1" applyFont="1" applyFill="1" applyBorder="1" applyAlignment="1" applyProtection="1">
      <alignment vertical="center"/>
      <protection hidden="1"/>
    </xf>
    <xf numFmtId="164" fontId="20" fillId="9" borderId="199" xfId="0" applyNumberFormat="1" applyFont="1" applyFill="1" applyBorder="1" applyAlignment="1" applyProtection="1">
      <alignment vertical="center"/>
      <protection hidden="1"/>
    </xf>
    <xf numFmtId="164" fontId="20" fillId="9" borderId="160" xfId="0" applyNumberFormat="1" applyFont="1" applyFill="1" applyBorder="1" applyAlignment="1" applyProtection="1">
      <alignment vertical="center"/>
      <protection hidden="1"/>
    </xf>
    <xf numFmtId="1" fontId="22" fillId="32" borderId="40" xfId="0" applyNumberFormat="1" applyFont="1" applyFill="1" applyBorder="1" applyAlignment="1" applyProtection="1">
      <alignment horizontal="center"/>
      <protection locked="0"/>
    </xf>
    <xf numFmtId="1" fontId="22" fillId="4" borderId="39" xfId="0" applyNumberFormat="1" applyFont="1" applyFill="1" applyBorder="1" applyAlignment="1" applyProtection="1">
      <alignment horizontal="center" vertical="center"/>
      <protection hidden="1"/>
    </xf>
    <xf numFmtId="1" fontId="22" fillId="23" borderId="39" xfId="0" applyNumberFormat="1" applyFont="1" applyFill="1" applyBorder="1" applyAlignment="1" applyProtection="1">
      <alignment horizontal="center" vertical="center"/>
      <protection hidden="1"/>
    </xf>
    <xf numFmtId="1" fontId="22" fillId="4" borderId="41" xfId="0" applyNumberFormat="1" applyFont="1" applyFill="1" applyBorder="1" applyAlignment="1" applyProtection="1">
      <alignment horizontal="center" vertical="center"/>
      <protection hidden="1"/>
    </xf>
    <xf numFmtId="1" fontId="22" fillId="32" borderId="47" xfId="0" applyNumberFormat="1" applyFont="1" applyFill="1" applyBorder="1" applyAlignment="1" applyProtection="1">
      <alignment horizontal="center"/>
      <protection locked="0"/>
    </xf>
    <xf numFmtId="1" fontId="22" fillId="32" borderId="36" xfId="0" applyNumberFormat="1" applyFont="1" applyFill="1" applyBorder="1" applyAlignment="1" applyProtection="1">
      <alignment horizontal="center"/>
      <protection locked="0"/>
    </xf>
    <xf numFmtId="1" fontId="22" fillId="32" borderId="45" xfId="0" applyNumberFormat="1" applyFont="1" applyFill="1" applyBorder="1" applyAlignment="1" applyProtection="1">
      <alignment horizontal="center"/>
      <protection locked="0"/>
    </xf>
    <xf numFmtId="167" fontId="24" fillId="32" borderId="127" xfId="0" applyNumberFormat="1" applyFont="1" applyFill="1" applyBorder="1" applyAlignment="1" applyProtection="1">
      <alignment horizontal="center" vertical="top"/>
      <protection locked="0"/>
    </xf>
    <xf numFmtId="167" fontId="24" fillId="32" borderId="201" xfId="0" applyNumberFormat="1" applyFont="1" applyFill="1" applyBorder="1" applyAlignment="1" applyProtection="1">
      <alignment horizontal="center" vertical="top"/>
      <protection locked="0"/>
    </xf>
    <xf numFmtId="1" fontId="22" fillId="4" borderId="48" xfId="0" applyNumberFormat="1" applyFont="1" applyFill="1" applyBorder="1" applyAlignment="1" applyProtection="1">
      <alignment horizontal="center" vertical="center"/>
      <protection hidden="1"/>
    </xf>
    <xf numFmtId="1" fontId="22" fillId="4" borderId="46" xfId="0" applyNumberFormat="1" applyFont="1" applyFill="1" applyBorder="1" applyAlignment="1" applyProtection="1">
      <alignment horizontal="center" vertical="center"/>
      <protection hidden="1"/>
    </xf>
    <xf numFmtId="1" fontId="22" fillId="32" borderId="77" xfId="0" applyNumberFormat="1" applyFont="1" applyFill="1" applyBorder="1" applyAlignment="1" applyProtection="1">
      <alignment horizontal="center"/>
      <protection hidden="1"/>
    </xf>
    <xf numFmtId="1" fontId="22" fillId="32" borderId="85" xfId="0" applyNumberFormat="1" applyFont="1" applyFill="1" applyBorder="1" applyAlignment="1" applyProtection="1">
      <alignment horizontal="center" vertical="top"/>
      <protection hidden="1"/>
    </xf>
    <xf numFmtId="165" fontId="64" fillId="28" borderId="0" xfId="0" applyNumberFormat="1" applyFont="1" applyFill="1" applyBorder="1" applyAlignment="1" applyProtection="1">
      <alignment horizontal="center" vertical="center"/>
      <protection hidden="1"/>
    </xf>
    <xf numFmtId="165" fontId="231" fillId="28" borderId="0" xfId="0" applyNumberFormat="1" applyFont="1" applyFill="1" applyBorder="1" applyAlignment="1" applyProtection="1">
      <alignment horizontal="center" vertical="center"/>
      <protection hidden="1"/>
    </xf>
    <xf numFmtId="0" fontId="12" fillId="0" borderId="14" xfId="0" applyFont="1" applyBorder="1" applyProtection="1">
      <protection hidden="1"/>
    </xf>
    <xf numFmtId="0" fontId="12" fillId="0" borderId="17" xfId="0" applyFont="1" applyBorder="1" applyProtection="1">
      <protection hidden="1"/>
    </xf>
    <xf numFmtId="164" fontId="12" fillId="0" borderId="17" xfId="0" applyNumberFormat="1" applyFont="1" applyBorder="1" applyProtection="1">
      <protection hidden="1"/>
    </xf>
    <xf numFmtId="0" fontId="12" fillId="0" borderId="40" xfId="0" applyFont="1" applyBorder="1" applyProtection="1">
      <protection hidden="1"/>
    </xf>
    <xf numFmtId="0" fontId="12" fillId="0" borderId="74" xfId="0" applyFont="1" applyBorder="1" applyProtection="1">
      <protection hidden="1"/>
    </xf>
    <xf numFmtId="0" fontId="12" fillId="0" borderId="94" xfId="0" applyFont="1" applyBorder="1" applyProtection="1">
      <protection hidden="1"/>
    </xf>
    <xf numFmtId="0" fontId="12" fillId="0" borderId="74" xfId="0" applyFont="1" applyFill="1" applyBorder="1" applyProtection="1">
      <protection hidden="1"/>
    </xf>
    <xf numFmtId="0" fontId="12" fillId="0" borderId="94" xfId="0" applyFont="1" applyFill="1" applyBorder="1" applyProtection="1">
      <protection hidden="1"/>
    </xf>
    <xf numFmtId="0" fontId="12" fillId="0" borderId="15" xfId="0" applyFont="1" applyBorder="1" applyProtection="1">
      <protection hidden="1"/>
    </xf>
    <xf numFmtId="0" fontId="12" fillId="0" borderId="18" xfId="0" applyFont="1" applyBorder="1" applyProtection="1">
      <protection hidden="1"/>
    </xf>
    <xf numFmtId="0" fontId="12" fillId="0" borderId="41" xfId="0" applyFont="1" applyBorder="1" applyProtection="1">
      <protection hidden="1"/>
    </xf>
    <xf numFmtId="2" fontId="12" fillId="0" borderId="167" xfId="0" applyNumberFormat="1" applyFont="1" applyBorder="1" applyAlignment="1" applyProtection="1">
      <alignment horizontal="center" vertical="center"/>
      <protection hidden="1"/>
    </xf>
    <xf numFmtId="2" fontId="12" fillId="0" borderId="15" xfId="0" applyNumberFormat="1" applyFont="1" applyBorder="1" applyAlignment="1" applyProtection="1">
      <alignment horizontal="center" vertical="center"/>
      <protection hidden="1"/>
    </xf>
    <xf numFmtId="2" fontId="12" fillId="5" borderId="95" xfId="0" applyNumberFormat="1" applyFont="1" applyFill="1" applyBorder="1" applyAlignment="1" applyProtection="1">
      <alignment horizontal="center" vertical="center"/>
      <protection hidden="1"/>
    </xf>
    <xf numFmtId="2" fontId="12" fillId="5" borderId="41" xfId="0" applyNumberFormat="1" applyFont="1" applyFill="1" applyBorder="1" applyAlignment="1" applyProtection="1">
      <alignment horizontal="center" vertical="center"/>
      <protection hidden="1"/>
    </xf>
    <xf numFmtId="2" fontId="12" fillId="0" borderId="72" xfId="0" applyNumberFormat="1" applyFont="1" applyBorder="1" applyAlignment="1" applyProtection="1">
      <alignment horizontal="center" vertical="center"/>
      <protection hidden="1"/>
    </xf>
    <xf numFmtId="2" fontId="12" fillId="0" borderId="49" xfId="0" applyNumberFormat="1" applyFont="1" applyBorder="1" applyAlignment="1" applyProtection="1">
      <alignment horizontal="center" vertical="center"/>
      <protection hidden="1"/>
    </xf>
    <xf numFmtId="0" fontId="21" fillId="0" borderId="168" xfId="0" applyFont="1" applyBorder="1" applyAlignment="1">
      <alignment horizontal="left" vertical="center" indent="1"/>
    </xf>
    <xf numFmtId="0" fontId="21" fillId="0" borderId="85" xfId="0" applyFont="1" applyBorder="1" applyAlignment="1">
      <alignment horizontal="left" vertical="center" indent="1"/>
    </xf>
    <xf numFmtId="0" fontId="21" fillId="0" borderId="80" xfId="0" applyFont="1" applyBorder="1" applyAlignment="1">
      <alignment horizontal="left" vertical="center" indent="1"/>
    </xf>
    <xf numFmtId="2" fontId="12" fillId="0" borderId="74" xfId="0" applyNumberFormat="1" applyFont="1" applyBorder="1" applyAlignment="1">
      <alignment horizontal="center" vertical="center"/>
    </xf>
    <xf numFmtId="2" fontId="12" fillId="0" borderId="10" xfId="0" applyNumberFormat="1" applyFont="1" applyBorder="1" applyAlignment="1">
      <alignment horizontal="center" vertical="center"/>
    </xf>
    <xf numFmtId="2" fontId="12" fillId="5" borderId="94" xfId="0" applyNumberFormat="1" applyFont="1" applyFill="1" applyBorder="1" applyAlignment="1" applyProtection="1">
      <alignment horizontal="center" vertical="center"/>
      <protection hidden="1"/>
    </xf>
    <xf numFmtId="0" fontId="21" fillId="0" borderId="74" xfId="0" applyFont="1" applyBorder="1" applyAlignment="1">
      <alignment horizontal="center" vertical="center"/>
    </xf>
    <xf numFmtId="0" fontId="21" fillId="0" borderId="167" xfId="0" applyFont="1" applyBorder="1" applyAlignment="1">
      <alignment horizontal="center" vertical="center"/>
    </xf>
    <xf numFmtId="0" fontId="21" fillId="0" borderId="15" xfId="0" applyFont="1" applyBorder="1" applyAlignment="1">
      <alignment horizontal="center" vertical="center"/>
    </xf>
    <xf numFmtId="0" fontId="22" fillId="4" borderId="160" xfId="0" applyFont="1" applyFill="1" applyBorder="1" applyAlignment="1">
      <alignment horizontal="center" vertical="center"/>
    </xf>
    <xf numFmtId="0" fontId="21" fillId="0" borderId="94" xfId="0" applyFont="1" applyBorder="1" applyAlignment="1">
      <alignment horizontal="center" vertical="center"/>
    </xf>
    <xf numFmtId="0" fontId="21" fillId="0" borderId="95" xfId="0" applyFont="1" applyBorder="1" applyAlignment="1">
      <alignment horizontal="center" vertical="center"/>
    </xf>
    <xf numFmtId="0" fontId="21" fillId="0" borderId="41" xfId="0" applyFont="1" applyBorder="1" applyAlignment="1">
      <alignment horizontal="center" vertical="center"/>
    </xf>
    <xf numFmtId="0" fontId="22" fillId="4" borderId="235" xfId="0" applyFont="1" applyFill="1" applyBorder="1" applyAlignment="1">
      <alignment horizontal="center" vertical="center"/>
    </xf>
    <xf numFmtId="0" fontId="21" fillId="0" borderId="236" xfId="0" applyFont="1" applyBorder="1" applyAlignment="1">
      <alignment horizontal="center" vertical="center"/>
    </xf>
    <xf numFmtId="0" fontId="21" fillId="0" borderId="237" xfId="0" applyFont="1" applyBorder="1" applyAlignment="1">
      <alignment horizontal="center" vertical="center"/>
    </xf>
    <xf numFmtId="0" fontId="21" fillId="0" borderId="238" xfId="0" applyFont="1" applyBorder="1" applyAlignment="1">
      <alignment horizontal="center" vertical="center"/>
    </xf>
    <xf numFmtId="0" fontId="15" fillId="24" borderId="14" xfId="0" applyFont="1" applyFill="1" applyBorder="1" applyAlignment="1" applyProtection="1">
      <alignment vertical="center"/>
      <protection hidden="1"/>
    </xf>
    <xf numFmtId="0" fontId="12" fillId="24" borderId="17" xfId="0" applyFont="1" applyFill="1" applyBorder="1" applyAlignment="1" applyProtection="1">
      <alignment horizontal="left" vertical="center" indent="1"/>
      <protection hidden="1"/>
    </xf>
    <xf numFmtId="2" fontId="128" fillId="19" borderId="241" xfId="5" applyNumberFormat="1" applyFont="1" applyFill="1" applyBorder="1" applyAlignment="1" applyProtection="1">
      <alignment horizontal="center" vertical="center"/>
      <protection hidden="1"/>
    </xf>
    <xf numFmtId="0" fontId="128" fillId="19" borderId="162" xfId="5" applyFont="1" applyFill="1" applyBorder="1" applyAlignment="1" applyProtection="1">
      <alignment horizontal="center" vertical="center"/>
      <protection hidden="1"/>
    </xf>
    <xf numFmtId="0" fontId="128" fillId="19" borderId="176" xfId="5" applyFont="1" applyFill="1" applyBorder="1" applyAlignment="1" applyProtection="1">
      <alignment horizontal="center" vertical="center"/>
      <protection hidden="1"/>
    </xf>
    <xf numFmtId="0" fontId="128" fillId="19" borderId="232" xfId="5" applyFont="1" applyFill="1" applyBorder="1" applyAlignment="1" applyProtection="1">
      <alignment horizontal="center" vertical="center"/>
      <protection hidden="1"/>
    </xf>
    <xf numFmtId="0" fontId="128" fillId="19" borderId="242" xfId="5" applyFont="1" applyFill="1" applyBorder="1" applyAlignment="1" applyProtection="1">
      <alignment horizontal="center" vertical="center"/>
      <protection hidden="1"/>
    </xf>
    <xf numFmtId="0" fontId="128" fillId="19" borderId="163" xfId="5" applyFont="1" applyFill="1" applyBorder="1" applyAlignment="1" applyProtection="1">
      <alignment horizontal="center" vertical="center"/>
      <protection hidden="1"/>
    </xf>
    <xf numFmtId="164" fontId="12" fillId="28" borderId="0" xfId="0" applyNumberFormat="1" applyFont="1" applyFill="1" applyBorder="1" applyAlignment="1">
      <alignment vertical="center"/>
    </xf>
    <xf numFmtId="2" fontId="169" fillId="0" borderId="10" xfId="0" applyNumberFormat="1" applyFont="1" applyBorder="1" applyAlignment="1" applyProtection="1">
      <alignment horizontal="center" vertical="center"/>
      <protection locked="0"/>
    </xf>
    <xf numFmtId="168" fontId="169" fillId="0" borderId="244" xfId="0" applyNumberFormat="1" applyFont="1" applyBorder="1" applyAlignment="1" applyProtection="1">
      <alignment horizontal="center" vertical="center"/>
      <protection locked="0"/>
    </xf>
    <xf numFmtId="164" fontId="12" fillId="28" borderId="246" xfId="0" applyNumberFormat="1" applyFont="1" applyFill="1" applyBorder="1" applyAlignment="1">
      <alignment vertical="center"/>
    </xf>
    <xf numFmtId="164" fontId="12" fillId="28" borderId="245" xfId="0" applyNumberFormat="1" applyFont="1" applyFill="1" applyBorder="1" applyAlignment="1">
      <alignment vertical="center"/>
    </xf>
    <xf numFmtId="164" fontId="119" fillId="0" borderId="0" xfId="0" applyNumberFormat="1" applyFont="1" applyBorder="1" applyAlignment="1" applyProtection="1">
      <alignment vertical="center"/>
      <protection hidden="1"/>
    </xf>
    <xf numFmtId="164" fontId="119" fillId="0" borderId="0" xfId="0" applyNumberFormat="1" applyFont="1" applyBorder="1" applyAlignment="1">
      <alignment vertical="center"/>
    </xf>
    <xf numFmtId="10" fontId="169" fillId="28" borderId="7" xfId="8" applyNumberFormat="1" applyFont="1" applyFill="1" applyBorder="1" applyAlignment="1">
      <alignment horizontal="center" vertical="center"/>
    </xf>
    <xf numFmtId="10" fontId="169" fillId="28" borderId="7" xfId="10" applyNumberFormat="1" applyFont="1" applyFill="1" applyBorder="1" applyAlignment="1">
      <alignment horizontal="center" vertical="center"/>
    </xf>
    <xf numFmtId="10" fontId="169" fillId="28" borderId="168" xfId="8" applyNumberFormat="1" applyFont="1" applyFill="1" applyBorder="1" applyAlignment="1">
      <alignment horizontal="center" vertical="center"/>
    </xf>
    <xf numFmtId="10" fontId="169" fillId="28" borderId="168" xfId="10" applyNumberFormat="1" applyFont="1" applyFill="1" applyBorder="1" applyAlignment="1">
      <alignment horizontal="center" vertical="center"/>
    </xf>
    <xf numFmtId="164" fontId="12" fillId="0" borderId="97" xfId="0" applyNumberFormat="1" applyFont="1" applyBorder="1" applyAlignment="1">
      <alignment vertical="center"/>
    </xf>
    <xf numFmtId="0" fontId="169" fillId="28" borderId="167" xfId="8" applyFont="1" applyFill="1" applyBorder="1" applyAlignment="1">
      <alignment horizontal="left" vertical="center" indent="1"/>
    </xf>
    <xf numFmtId="10" fontId="169" fillId="28" borderId="95" xfId="8" applyNumberFormat="1" applyFont="1" applyFill="1" applyBorder="1" applyAlignment="1">
      <alignment horizontal="center" vertical="center"/>
    </xf>
    <xf numFmtId="0" fontId="179" fillId="28" borderId="167" xfId="10" applyFont="1" applyFill="1" applyBorder="1" applyAlignment="1">
      <alignment horizontal="left" vertical="center" indent="1"/>
    </xf>
    <xf numFmtId="10" fontId="169" fillId="28" borderId="95" xfId="10" applyNumberFormat="1" applyFont="1" applyFill="1" applyBorder="1" applyAlignment="1">
      <alignment horizontal="center" vertical="center"/>
    </xf>
    <xf numFmtId="10" fontId="179" fillId="28" borderId="41" xfId="9" applyNumberFormat="1" applyFont="1" applyFill="1" applyBorder="1" applyAlignment="1">
      <alignment horizontal="center" vertical="center"/>
    </xf>
    <xf numFmtId="164" fontId="12" fillId="0" borderId="94" xfId="0" applyNumberFormat="1" applyFont="1" applyBorder="1" applyAlignment="1">
      <alignment horizontal="right" vertical="center"/>
    </xf>
    <xf numFmtId="164" fontId="12" fillId="0" borderId="94" xfId="0" applyNumberFormat="1" applyFont="1" applyBorder="1" applyAlignment="1">
      <alignment vertical="center"/>
    </xf>
    <xf numFmtId="10" fontId="169" fillId="28" borderId="248" xfId="7" applyNumberFormat="1" applyFont="1" applyFill="1" applyBorder="1" applyAlignment="1">
      <alignment horizontal="center" vertical="center"/>
    </xf>
    <xf numFmtId="10" fontId="179" fillId="28" borderId="120" xfId="9" applyNumberFormat="1" applyFont="1" applyFill="1" applyBorder="1" applyAlignment="1">
      <alignment horizontal="center" vertical="center"/>
    </xf>
    <xf numFmtId="164" fontId="12" fillId="0" borderId="118" xfId="0" applyNumberFormat="1" applyFont="1" applyBorder="1" applyAlignment="1" applyProtection="1">
      <alignment vertical="center"/>
      <protection hidden="1"/>
    </xf>
    <xf numFmtId="164" fontId="12" fillId="0" borderId="182" xfId="0" applyNumberFormat="1" applyFont="1" applyBorder="1" applyAlignment="1" applyProtection="1">
      <alignment vertical="center"/>
      <protection hidden="1"/>
    </xf>
    <xf numFmtId="164" fontId="12" fillId="28" borderId="182" xfId="0" applyNumberFormat="1" applyFont="1" applyFill="1" applyBorder="1" applyAlignment="1">
      <alignment vertical="center"/>
    </xf>
    <xf numFmtId="164" fontId="12" fillId="28" borderId="74" xfId="0" applyNumberFormat="1" applyFont="1" applyFill="1" applyBorder="1" applyAlignment="1">
      <alignment vertical="center"/>
    </xf>
    <xf numFmtId="0" fontId="129" fillId="19" borderId="21" xfId="0" applyFont="1" applyFill="1" applyBorder="1" applyAlignment="1">
      <alignment horizontal="center" vertical="center"/>
    </xf>
    <xf numFmtId="2" fontId="128" fillId="19" borderId="243" xfId="6" applyNumberFormat="1" applyFont="1" applyFill="1" applyBorder="1" applyAlignment="1">
      <alignment horizontal="center" vertical="center"/>
    </xf>
    <xf numFmtId="0" fontId="128" fillId="19" borderId="192" xfId="6" applyFont="1" applyFill="1" applyBorder="1" applyAlignment="1">
      <alignment horizontal="center" vertical="center"/>
    </xf>
    <xf numFmtId="0" fontId="128" fillId="19" borderId="21" xfId="0" applyFont="1" applyFill="1" applyBorder="1" applyAlignment="1">
      <alignment horizontal="center" vertical="center"/>
    </xf>
    <xf numFmtId="0" fontId="128" fillId="19" borderId="192" xfId="5" applyFont="1" applyFill="1" applyBorder="1" applyAlignment="1" applyProtection="1">
      <alignment horizontal="center" vertical="center"/>
      <protection hidden="1"/>
    </xf>
    <xf numFmtId="0" fontId="128" fillId="19" borderId="43" xfId="6" applyFont="1" applyFill="1" applyBorder="1" applyAlignment="1">
      <alignment horizontal="center" vertical="center"/>
    </xf>
    <xf numFmtId="0" fontId="179" fillId="0" borderId="18" xfId="0" applyFont="1" applyBorder="1" applyAlignment="1" applyProtection="1">
      <alignment horizontal="left" vertical="center" indent="1"/>
      <protection hidden="1"/>
    </xf>
    <xf numFmtId="164" fontId="12" fillId="0" borderId="119" xfId="0" applyNumberFormat="1" applyFont="1" applyBorder="1" applyAlignment="1" applyProtection="1">
      <alignment vertical="center"/>
      <protection hidden="1"/>
    </xf>
    <xf numFmtId="164" fontId="12" fillId="0" borderId="249" xfId="0" applyNumberFormat="1" applyFont="1" applyBorder="1" applyAlignment="1" applyProtection="1">
      <alignment vertical="center"/>
      <protection hidden="1"/>
    </xf>
    <xf numFmtId="164" fontId="12" fillId="0" borderId="250" xfId="0" applyNumberFormat="1" applyFont="1" applyBorder="1" applyAlignment="1" applyProtection="1">
      <alignment vertical="center"/>
      <protection hidden="1"/>
    </xf>
    <xf numFmtId="0" fontId="179" fillId="0" borderId="99" xfId="0" applyFont="1" applyBorder="1" applyAlignment="1" applyProtection="1">
      <alignment horizontal="left" vertical="center" indent="1"/>
      <protection hidden="1"/>
    </xf>
    <xf numFmtId="164" fontId="12" fillId="0" borderId="251" xfId="0" applyNumberFormat="1" applyFont="1" applyBorder="1" applyAlignment="1" applyProtection="1">
      <alignment vertical="center"/>
      <protection hidden="1"/>
    </xf>
    <xf numFmtId="164" fontId="12" fillId="0" borderId="199" xfId="0" applyNumberFormat="1" applyFont="1" applyBorder="1" applyAlignment="1" applyProtection="1">
      <alignment vertical="center"/>
      <protection hidden="1"/>
    </xf>
    <xf numFmtId="164" fontId="12" fillId="0" borderId="99" xfId="0" applyNumberFormat="1" applyFont="1" applyBorder="1" applyAlignment="1" applyProtection="1">
      <alignment vertical="center"/>
      <protection hidden="1"/>
    </xf>
    <xf numFmtId="0" fontId="179" fillId="0" borderId="105" xfId="0" applyFont="1" applyBorder="1" applyAlignment="1" applyProtection="1">
      <alignment horizontal="left" vertical="center" indent="1"/>
      <protection hidden="1"/>
    </xf>
    <xf numFmtId="164" fontId="12" fillId="0" borderId="205" xfId="0" applyNumberFormat="1" applyFont="1" applyBorder="1" applyAlignment="1" applyProtection="1">
      <alignment vertical="center"/>
      <protection hidden="1"/>
    </xf>
    <xf numFmtId="164" fontId="12" fillId="0" borderId="252" xfId="0" applyNumberFormat="1" applyFont="1" applyBorder="1" applyAlignment="1" applyProtection="1">
      <alignment vertical="center"/>
      <protection hidden="1"/>
    </xf>
    <xf numFmtId="164" fontId="12" fillId="0" borderId="204" xfId="0" applyNumberFormat="1" applyFont="1" applyBorder="1" applyAlignment="1" applyProtection="1">
      <alignment vertical="center"/>
      <protection hidden="1"/>
    </xf>
    <xf numFmtId="164" fontId="12" fillId="0" borderId="105" xfId="0" applyNumberFormat="1" applyFont="1" applyBorder="1" applyAlignment="1" applyProtection="1">
      <alignment vertical="center"/>
      <protection hidden="1"/>
    </xf>
    <xf numFmtId="0" fontId="156" fillId="0" borderId="0" xfId="0" applyFont="1" applyBorder="1" applyAlignment="1" applyProtection="1">
      <alignment horizontal="center" vertical="center"/>
      <protection hidden="1"/>
    </xf>
    <xf numFmtId="0" fontId="156" fillId="0" borderId="54" xfId="0" applyFont="1" applyBorder="1" applyAlignment="1" applyProtection="1">
      <alignment horizontal="center" vertical="center"/>
      <protection hidden="1"/>
    </xf>
    <xf numFmtId="0" fontId="156" fillId="0" borderId="94" xfId="0" applyFont="1" applyBorder="1" applyAlignment="1" applyProtection="1">
      <alignment horizontal="center" vertical="center"/>
      <protection hidden="1"/>
    </xf>
    <xf numFmtId="0" fontId="156" fillId="0" borderId="160" xfId="0" applyFont="1" applyBorder="1" applyAlignment="1" applyProtection="1">
      <alignment horizontal="center" vertical="center"/>
      <protection hidden="1"/>
    </xf>
    <xf numFmtId="0" fontId="128" fillId="28" borderId="81" xfId="8" applyFont="1" applyFill="1" applyBorder="1" applyAlignment="1" applyProtection="1">
      <alignment horizontal="center" vertical="center"/>
      <protection hidden="1"/>
    </xf>
    <xf numFmtId="0" fontId="179" fillId="0" borderId="197" xfId="0" applyFont="1" applyBorder="1" applyAlignment="1">
      <alignment horizontal="left" vertical="center" indent="1"/>
    </xf>
    <xf numFmtId="0" fontId="169" fillId="0" borderId="74" xfId="0" applyFont="1" applyBorder="1" applyAlignment="1" applyProtection="1">
      <alignment horizontal="left" vertical="center" indent="1"/>
      <protection locked="0"/>
    </xf>
    <xf numFmtId="9" fontId="179" fillId="25" borderId="253" xfId="0" applyNumberFormat="1" applyFont="1" applyFill="1" applyBorder="1" applyAlignment="1">
      <alignment horizontal="left" vertical="center" indent="1"/>
    </xf>
    <xf numFmtId="10" fontId="169" fillId="28" borderId="255" xfId="8" applyNumberFormat="1" applyFont="1" applyFill="1" applyBorder="1" applyAlignment="1">
      <alignment horizontal="center" vertical="center"/>
    </xf>
    <xf numFmtId="10" fontId="169" fillId="28" borderId="255" xfId="10" applyNumberFormat="1" applyFont="1" applyFill="1" applyBorder="1" applyAlignment="1">
      <alignment horizontal="center" vertical="center"/>
    </xf>
    <xf numFmtId="0" fontId="128" fillId="32" borderId="16" xfId="0" applyFont="1" applyFill="1" applyBorder="1" applyAlignment="1">
      <alignment horizontal="center" vertical="center"/>
    </xf>
    <xf numFmtId="164" fontId="12" fillId="0" borderId="0" xfId="0" applyNumberFormat="1" applyFont="1" applyBorder="1" applyAlignment="1">
      <alignment horizontal="right" vertical="center"/>
    </xf>
    <xf numFmtId="164" fontId="12" fillId="0" borderId="53" xfId="0" applyNumberFormat="1" applyFont="1" applyBorder="1" applyAlignment="1">
      <alignment vertical="center"/>
    </xf>
    <xf numFmtId="10" fontId="179" fillId="28" borderId="18" xfId="9" applyNumberFormat="1" applyFont="1" applyFill="1" applyBorder="1" applyAlignment="1">
      <alignment horizontal="center" vertical="center"/>
    </xf>
    <xf numFmtId="0" fontId="128" fillId="32" borderId="43" xfId="0" applyFont="1" applyFill="1" applyBorder="1" applyAlignment="1">
      <alignment horizontal="center" vertical="center"/>
    </xf>
    <xf numFmtId="0" fontId="128" fillId="32" borderId="243" xfId="0" applyFont="1" applyFill="1" applyBorder="1" applyAlignment="1">
      <alignment horizontal="center" vertical="center"/>
    </xf>
    <xf numFmtId="164" fontId="12" fillId="0" borderId="10" xfId="0" applyNumberFormat="1" applyFont="1" applyBorder="1" applyAlignment="1">
      <alignment horizontal="right" vertical="center"/>
    </xf>
    <xf numFmtId="164" fontId="12" fillId="0" borderId="253" xfId="0" applyNumberFormat="1" applyFont="1" applyBorder="1" applyAlignment="1">
      <alignment vertical="center"/>
    </xf>
    <xf numFmtId="164" fontId="12" fillId="0" borderId="10" xfId="0" applyNumberFormat="1" applyFont="1" applyBorder="1" applyAlignment="1">
      <alignment vertical="center"/>
    </xf>
    <xf numFmtId="10" fontId="169" fillId="28" borderId="72" xfId="8" applyNumberFormat="1" applyFont="1" applyFill="1" applyBorder="1" applyAlignment="1">
      <alignment horizontal="center" vertical="center"/>
    </xf>
    <xf numFmtId="10" fontId="169" fillId="28" borderId="72" xfId="10" applyNumberFormat="1" applyFont="1" applyFill="1" applyBorder="1" applyAlignment="1">
      <alignment horizontal="center" vertical="center"/>
    </xf>
    <xf numFmtId="10" fontId="179" fillId="28" borderId="49" xfId="9" applyNumberFormat="1" applyFont="1" applyFill="1" applyBorder="1" applyAlignment="1">
      <alignment horizontal="center" vertical="center"/>
    </xf>
    <xf numFmtId="0" fontId="169" fillId="28" borderId="256" xfId="7" applyFont="1" applyFill="1" applyBorder="1" applyAlignment="1">
      <alignment horizontal="left" vertical="center" indent="1"/>
    </xf>
    <xf numFmtId="10" fontId="169" fillId="28" borderId="257" xfId="7" applyNumberFormat="1" applyFont="1" applyFill="1" applyBorder="1" applyAlignment="1">
      <alignment horizontal="center" vertical="center"/>
    </xf>
    <xf numFmtId="10" fontId="169" fillId="28" borderId="258" xfId="7" applyNumberFormat="1" applyFont="1" applyFill="1" applyBorder="1" applyAlignment="1">
      <alignment horizontal="center" vertical="center"/>
    </xf>
    <xf numFmtId="10" fontId="169" fillId="28" borderId="259" xfId="7" applyNumberFormat="1" applyFont="1" applyFill="1" applyBorder="1" applyAlignment="1">
      <alignment horizontal="center" vertical="center"/>
    </xf>
    <xf numFmtId="10" fontId="169" fillId="28" borderId="260" xfId="7" applyNumberFormat="1" applyFont="1" applyFill="1" applyBorder="1" applyAlignment="1">
      <alignment horizontal="center" vertical="center"/>
    </xf>
    <xf numFmtId="165" fontId="128" fillId="0" borderId="0" xfId="0" applyNumberFormat="1" applyFont="1" applyAlignment="1" applyProtection="1">
      <alignment horizontal="center" vertical="center" wrapText="1"/>
      <protection hidden="1"/>
    </xf>
    <xf numFmtId="165" fontId="27" fillId="0" borderId="87" xfId="0" applyNumberFormat="1" applyFont="1" applyFill="1" applyBorder="1" applyAlignment="1" applyProtection="1">
      <alignment horizontal="center" vertical="center"/>
      <protection hidden="1"/>
    </xf>
    <xf numFmtId="0" fontId="236" fillId="0" borderId="0" xfId="0" applyFont="1" applyFill="1" applyBorder="1" applyAlignment="1" applyProtection="1">
      <alignment horizontal="left" vertical="center" indent="8"/>
      <protection hidden="1"/>
    </xf>
    <xf numFmtId="0" fontId="222" fillId="0" borderId="0" xfId="0" applyFont="1" applyFill="1" applyBorder="1" applyAlignment="1" applyProtection="1">
      <alignment vertical="center"/>
      <protection hidden="1"/>
    </xf>
    <xf numFmtId="165" fontId="222" fillId="0" borderId="86" xfId="0" applyNumberFormat="1" applyFont="1" applyFill="1" applyBorder="1" applyAlignment="1" applyProtection="1">
      <alignment horizontal="center" vertical="center"/>
      <protection hidden="1"/>
    </xf>
    <xf numFmtId="9" fontId="23" fillId="11" borderId="81" xfId="0" applyNumberFormat="1" applyFont="1" applyFill="1" applyBorder="1" applyAlignment="1" applyProtection="1">
      <alignment horizontal="center" vertical="center"/>
      <protection hidden="1"/>
    </xf>
    <xf numFmtId="9" fontId="22" fillId="4" borderId="81" xfId="0" applyNumberFormat="1" applyFont="1" applyFill="1" applyBorder="1" applyAlignment="1" applyProtection="1">
      <alignment horizontal="center" vertical="center"/>
      <protection hidden="1"/>
    </xf>
    <xf numFmtId="165" fontId="31" fillId="0" borderId="81" xfId="0" applyNumberFormat="1" applyFont="1" applyFill="1" applyBorder="1" applyAlignment="1" applyProtection="1">
      <alignment horizontal="center" vertical="center"/>
      <protection hidden="1"/>
    </xf>
    <xf numFmtId="0" fontId="194" fillId="0" borderId="0" xfId="0" applyFont="1" applyFill="1" applyBorder="1" applyAlignment="1" applyProtection="1">
      <alignment horizontal="right" vertical="center"/>
      <protection hidden="1"/>
    </xf>
    <xf numFmtId="165" fontId="211" fillId="0" borderId="81" xfId="0" applyNumberFormat="1" applyFont="1" applyFill="1" applyBorder="1" applyAlignment="1" applyProtection="1">
      <alignment horizontal="center" vertical="center"/>
      <protection hidden="1"/>
    </xf>
    <xf numFmtId="165" fontId="59" fillId="0" borderId="81" xfId="0" applyNumberFormat="1" applyFont="1" applyFill="1" applyBorder="1" applyAlignment="1" applyProtection="1">
      <alignment horizontal="center" vertical="center"/>
      <protection hidden="1"/>
    </xf>
    <xf numFmtId="172" fontId="168" fillId="28" borderId="81" xfId="0" applyNumberFormat="1" applyFont="1" applyFill="1" applyBorder="1" applyAlignment="1" applyProtection="1">
      <alignment horizontal="center" vertical="center"/>
      <protection hidden="1"/>
    </xf>
    <xf numFmtId="165" fontId="59" fillId="28" borderId="81" xfId="0" applyNumberFormat="1" applyFont="1" applyFill="1" applyBorder="1" applyAlignment="1" applyProtection="1">
      <alignment horizontal="center" vertical="center"/>
      <protection hidden="1"/>
    </xf>
    <xf numFmtId="165" fontId="29" fillId="28" borderId="81" xfId="0" applyNumberFormat="1" applyFont="1" applyFill="1" applyBorder="1" applyAlignment="1" applyProtection="1">
      <alignment horizontal="center" vertical="center"/>
      <protection hidden="1"/>
    </xf>
    <xf numFmtId="0" fontId="135" fillId="0" borderId="0" xfId="0" applyFont="1" applyAlignment="1" applyProtection="1">
      <alignment horizontal="center" vertical="center"/>
      <protection hidden="1"/>
    </xf>
    <xf numFmtId="0" fontId="135" fillId="0" borderId="0" xfId="0" applyFont="1" applyFill="1" applyAlignment="1" applyProtection="1">
      <alignment horizontal="center" vertical="center"/>
      <protection hidden="1"/>
    </xf>
    <xf numFmtId="0" fontId="22" fillId="24" borderId="148" xfId="0" applyFont="1" applyFill="1" applyBorder="1" applyAlignment="1" applyProtection="1">
      <alignment horizontal="left" vertical="center" indent="1"/>
      <protection hidden="1"/>
    </xf>
    <xf numFmtId="0" fontId="26" fillId="24" borderId="158" xfId="0" applyFont="1" applyFill="1" applyBorder="1" applyAlignment="1" applyProtection="1">
      <alignment horizontal="right" vertical="center"/>
      <protection hidden="1"/>
    </xf>
    <xf numFmtId="0" fontId="22" fillId="24" borderId="146" xfId="0" applyFont="1" applyFill="1" applyBorder="1" applyAlignment="1" applyProtection="1">
      <alignment horizontal="center" vertical="center"/>
      <protection hidden="1"/>
    </xf>
    <xf numFmtId="0" fontId="110" fillId="24" borderId="163" xfId="0" applyFont="1" applyFill="1" applyBorder="1" applyAlignment="1" applyProtection="1">
      <alignment horizontal="center" vertical="center"/>
      <protection hidden="1"/>
    </xf>
    <xf numFmtId="164" fontId="22" fillId="24" borderId="147" xfId="0" applyNumberFormat="1" applyFont="1" applyFill="1" applyBorder="1" applyAlignment="1" applyProtection="1">
      <alignment horizontal="center" vertical="center"/>
      <protection hidden="1"/>
    </xf>
    <xf numFmtId="165" fontId="129" fillId="24" borderId="164" xfId="0" applyNumberFormat="1" applyFont="1" applyFill="1" applyBorder="1" applyAlignment="1" applyProtection="1">
      <alignment horizontal="center" vertical="center"/>
      <protection hidden="1"/>
    </xf>
    <xf numFmtId="0" fontId="169" fillId="28" borderId="24" xfId="0" applyFont="1" applyFill="1" applyBorder="1" applyAlignment="1" applyProtection="1">
      <alignment horizontal="right" vertical="center"/>
      <protection locked="0"/>
    </xf>
    <xf numFmtId="0" fontId="169" fillId="28" borderId="25" xfId="0" applyFont="1" applyFill="1" applyBorder="1" applyAlignment="1" applyProtection="1">
      <alignment horizontal="left" vertical="center"/>
      <protection locked="0"/>
    </xf>
    <xf numFmtId="0" fontId="169" fillId="28" borderId="9" xfId="0" applyFont="1" applyFill="1" applyBorder="1" applyAlignment="1" applyProtection="1">
      <alignment horizontal="right" vertical="center"/>
      <protection locked="0"/>
    </xf>
    <xf numFmtId="0" fontId="169" fillId="28" borderId="250" xfId="0" applyFont="1" applyFill="1" applyBorder="1" applyAlignment="1" applyProtection="1">
      <alignment horizontal="left" vertical="center"/>
      <protection locked="0"/>
    </xf>
    <xf numFmtId="0" fontId="168" fillId="28" borderId="183" xfId="0" applyFont="1" applyFill="1" applyBorder="1" applyAlignment="1" applyProtection="1">
      <alignment horizontal="center"/>
      <protection locked="0"/>
    </xf>
    <xf numFmtId="0" fontId="169" fillId="28" borderId="245" xfId="0" applyFont="1" applyFill="1" applyBorder="1" applyAlignment="1" applyProtection="1">
      <alignment horizontal="right" vertical="center" indent="1"/>
      <protection locked="0"/>
    </xf>
    <xf numFmtId="0" fontId="168" fillId="28" borderId="20" xfId="0" applyFont="1" applyFill="1" applyBorder="1" applyAlignment="1" applyProtection="1">
      <alignment horizontal="center"/>
      <protection locked="0"/>
    </xf>
    <xf numFmtId="0" fontId="179" fillId="28" borderId="24" xfId="0" applyFont="1" applyFill="1" applyBorder="1" applyAlignment="1" applyProtection="1">
      <alignment horizontal="right" vertical="center"/>
      <protection locked="0"/>
    </xf>
    <xf numFmtId="0" fontId="179" fillId="28" borderId="25" xfId="0" applyFont="1" applyFill="1" applyBorder="1" applyAlignment="1" applyProtection="1">
      <alignment horizontal="left" vertical="center"/>
      <protection locked="0"/>
    </xf>
    <xf numFmtId="0" fontId="179" fillId="28" borderId="9" xfId="0" applyFont="1" applyFill="1" applyBorder="1" applyAlignment="1" applyProtection="1">
      <alignment horizontal="right" vertical="center"/>
      <protection locked="0"/>
    </xf>
    <xf numFmtId="0" fontId="179" fillId="28" borderId="250" xfId="0" applyFont="1" applyFill="1" applyBorder="1" applyAlignment="1" applyProtection="1">
      <alignment horizontal="left" vertical="center"/>
      <protection locked="0"/>
    </xf>
    <xf numFmtId="0" fontId="169" fillId="28" borderId="261" xfId="0" applyFont="1" applyFill="1" applyBorder="1" applyAlignment="1" applyProtection="1">
      <alignment horizontal="right" vertical="center"/>
      <protection locked="0"/>
    </xf>
    <xf numFmtId="0" fontId="169" fillId="28" borderId="262" xfId="0" applyFont="1" applyFill="1" applyBorder="1" applyAlignment="1" applyProtection="1">
      <alignment horizontal="left" vertical="center"/>
      <protection locked="0"/>
    </xf>
    <xf numFmtId="0" fontId="169" fillId="28" borderId="263" xfId="0" applyFont="1" applyFill="1" applyBorder="1" applyAlignment="1" applyProtection="1">
      <alignment horizontal="right" vertical="center"/>
      <protection locked="0"/>
    </xf>
    <xf numFmtId="0" fontId="169" fillId="28" borderId="252" xfId="0" applyFont="1" applyFill="1" applyBorder="1" applyAlignment="1" applyProtection="1">
      <alignment horizontal="left" vertical="center"/>
      <protection locked="0"/>
    </xf>
    <xf numFmtId="165" fontId="49" fillId="4" borderId="266" xfId="0" applyNumberFormat="1" applyFont="1" applyFill="1" applyBorder="1" applyAlignment="1" applyProtection="1">
      <alignment horizontal="center" vertical="center"/>
      <protection locked="0"/>
    </xf>
    <xf numFmtId="165" fontId="175" fillId="0" borderId="0" xfId="0" applyNumberFormat="1" applyFont="1" applyAlignment="1" applyProtection="1">
      <alignment horizontal="left" vertical="center"/>
      <protection hidden="1"/>
    </xf>
    <xf numFmtId="165" fontId="177" fillId="0" borderId="81" xfId="0" applyNumberFormat="1" applyFont="1" applyFill="1" applyBorder="1" applyAlignment="1" applyProtection="1">
      <alignment horizontal="center" vertical="center"/>
      <protection hidden="1"/>
    </xf>
    <xf numFmtId="165" fontId="144" fillId="0" borderId="81" xfId="0" applyNumberFormat="1" applyFont="1" applyFill="1" applyBorder="1" applyAlignment="1" applyProtection="1">
      <alignment horizontal="center" vertical="center"/>
      <protection hidden="1"/>
    </xf>
    <xf numFmtId="0" fontId="144" fillId="0" borderId="0" xfId="0" applyFont="1" applyFill="1" applyBorder="1" applyAlignment="1" applyProtection="1">
      <alignment vertical="center"/>
      <protection hidden="1"/>
    </xf>
    <xf numFmtId="0" fontId="143" fillId="0" borderId="0" xfId="0" applyFont="1" applyFill="1" applyBorder="1" applyAlignment="1" applyProtection="1">
      <alignment horizontal="right" vertical="center"/>
      <protection hidden="1"/>
    </xf>
    <xf numFmtId="9" fontId="59" fillId="28" borderId="81" xfId="0" applyNumberFormat="1" applyFont="1" applyFill="1" applyBorder="1" applyAlignment="1" applyProtection="1">
      <alignment horizontal="center" vertical="center"/>
      <protection hidden="1"/>
    </xf>
    <xf numFmtId="166" fontId="49" fillId="6" borderId="0" xfId="0" applyNumberFormat="1" applyFont="1" applyFill="1" applyBorder="1" applyAlignment="1" applyProtection="1">
      <alignment horizontal="center" vertical="center" wrapText="1"/>
      <protection hidden="1"/>
    </xf>
    <xf numFmtId="0" fontId="168" fillId="0" borderId="0" xfId="0" applyFont="1" applyFill="1" applyBorder="1" applyAlignment="1" applyProtection="1">
      <alignment horizontal="right" vertical="center"/>
      <protection hidden="1"/>
    </xf>
    <xf numFmtId="166" fontId="168" fillId="0" borderId="81" xfId="0" applyNumberFormat="1" applyFont="1" applyFill="1" applyBorder="1" applyAlignment="1" applyProtection="1">
      <alignment horizontal="center" vertical="center"/>
      <protection hidden="1"/>
    </xf>
    <xf numFmtId="0" fontId="237" fillId="0" borderId="0" xfId="0" applyFont="1" applyBorder="1" applyAlignment="1" applyProtection="1">
      <alignment horizontal="right" vertical="center"/>
      <protection hidden="1"/>
    </xf>
    <xf numFmtId="0" fontId="155" fillId="29" borderId="99" xfId="0" applyFont="1" applyFill="1" applyBorder="1" applyAlignment="1" applyProtection="1">
      <protection hidden="1"/>
    </xf>
    <xf numFmtId="164" fontId="44" fillId="29" borderId="101" xfId="0" applyNumberFormat="1" applyFont="1" applyFill="1" applyBorder="1" applyAlignment="1" applyProtection="1">
      <protection hidden="1"/>
    </xf>
    <xf numFmtId="164" fontId="44" fillId="29" borderId="199" xfId="0" applyNumberFormat="1" applyFont="1" applyFill="1" applyBorder="1" applyAlignment="1" applyProtection="1">
      <protection hidden="1"/>
    </xf>
    <xf numFmtId="0" fontId="22" fillId="19" borderId="17" xfId="0" applyFont="1" applyFill="1" applyBorder="1" applyAlignment="1" applyProtection="1">
      <protection hidden="1"/>
    </xf>
    <xf numFmtId="164" fontId="22" fillId="19" borderId="36" xfId="0" applyNumberFormat="1" applyFont="1" applyFill="1" applyBorder="1" applyAlignment="1" applyProtection="1">
      <protection hidden="1"/>
    </xf>
    <xf numFmtId="164" fontId="22" fillId="19" borderId="40" xfId="0" applyNumberFormat="1" applyFont="1" applyFill="1" applyBorder="1" applyAlignment="1" applyProtection="1">
      <protection hidden="1"/>
    </xf>
    <xf numFmtId="0" fontId="25" fillId="0" borderId="0" xfId="0" applyFont="1" applyAlignment="1" applyProtection="1">
      <protection locked="0"/>
    </xf>
    <xf numFmtId="164" fontId="22" fillId="19" borderId="47" xfId="0" applyNumberFormat="1" applyFont="1" applyFill="1" applyBorder="1" applyAlignment="1" applyProtection="1">
      <protection hidden="1"/>
    </xf>
    <xf numFmtId="164" fontId="22" fillId="19" borderId="217" xfId="0" applyNumberFormat="1" applyFont="1" applyFill="1" applyBorder="1" applyAlignment="1" applyProtection="1">
      <protection hidden="1"/>
    </xf>
    <xf numFmtId="0" fontId="22" fillId="19" borderId="6" xfId="0" applyFont="1" applyFill="1" applyBorder="1" applyAlignment="1" applyProtection="1">
      <protection hidden="1"/>
    </xf>
    <xf numFmtId="164" fontId="22" fillId="19" borderId="30" xfId="0" applyNumberFormat="1" applyFont="1" applyFill="1" applyBorder="1" applyAlignment="1" applyProtection="1">
      <protection hidden="1"/>
    </xf>
    <xf numFmtId="164" fontId="22" fillId="19" borderId="130" xfId="0" applyNumberFormat="1" applyFont="1" applyFill="1" applyBorder="1" applyAlignment="1" applyProtection="1">
      <protection hidden="1"/>
    </xf>
    <xf numFmtId="164" fontId="22" fillId="19" borderId="129" xfId="0" applyNumberFormat="1" applyFont="1" applyFill="1" applyBorder="1" applyAlignment="1" applyProtection="1">
      <protection hidden="1"/>
    </xf>
    <xf numFmtId="164" fontId="20" fillId="9" borderId="101" xfId="0" applyNumberFormat="1" applyFont="1" applyFill="1" applyBorder="1" applyAlignment="1" applyProtection="1">
      <protection hidden="1"/>
    </xf>
    <xf numFmtId="164" fontId="20" fillId="9" borderId="199" xfId="0" applyNumberFormat="1" applyFont="1" applyFill="1" applyBorder="1" applyAlignment="1" applyProtection="1">
      <protection hidden="1"/>
    </xf>
    <xf numFmtId="0" fontId="140" fillId="27" borderId="99" xfId="0" applyFont="1" applyFill="1" applyBorder="1" applyAlignment="1" applyProtection="1">
      <protection hidden="1"/>
    </xf>
    <xf numFmtId="164" fontId="20" fillId="27" borderId="101" xfId="0" applyNumberFormat="1" applyFont="1" applyFill="1" applyBorder="1" applyAlignment="1" applyProtection="1">
      <protection hidden="1"/>
    </xf>
    <xf numFmtId="164" fontId="20" fillId="27" borderId="199" xfId="0" applyNumberFormat="1" applyFont="1" applyFill="1" applyBorder="1" applyAlignment="1" applyProtection="1">
      <protection hidden="1"/>
    </xf>
    <xf numFmtId="164" fontId="20" fillId="27" borderId="230" xfId="0" applyNumberFormat="1" applyFont="1" applyFill="1" applyBorder="1" applyAlignment="1" applyProtection="1">
      <protection hidden="1"/>
    </xf>
    <xf numFmtId="0" fontId="22" fillId="18" borderId="5" xfId="0" applyFont="1" applyFill="1" applyBorder="1" applyAlignment="1" applyProtection="1">
      <protection hidden="1"/>
    </xf>
    <xf numFmtId="164" fontId="22" fillId="18" borderId="11" xfId="0" applyNumberFormat="1" applyFont="1" applyFill="1" applyBorder="1" applyAlignment="1" applyProtection="1">
      <protection hidden="1"/>
    </xf>
    <xf numFmtId="164" fontId="22" fillId="18" borderId="126" xfId="0" applyNumberFormat="1" applyFont="1" applyFill="1" applyBorder="1" applyAlignment="1" applyProtection="1">
      <protection hidden="1"/>
    </xf>
    <xf numFmtId="164" fontId="22" fillId="18" borderId="125" xfId="0" applyNumberFormat="1" applyFont="1" applyFill="1" applyBorder="1" applyAlignment="1" applyProtection="1">
      <protection hidden="1"/>
    </xf>
    <xf numFmtId="0" fontId="22" fillId="19" borderId="5" xfId="0" applyFont="1" applyFill="1" applyBorder="1" applyAlignment="1" applyProtection="1">
      <protection hidden="1"/>
    </xf>
    <xf numFmtId="164" fontId="22" fillId="19" borderId="11" xfId="0" applyNumberFormat="1" applyFont="1" applyFill="1" applyBorder="1" applyAlignment="1" applyProtection="1">
      <protection hidden="1"/>
    </xf>
    <xf numFmtId="164" fontId="22" fillId="19" borderId="126" xfId="0" applyNumberFormat="1" applyFont="1" applyFill="1" applyBorder="1" applyAlignment="1" applyProtection="1">
      <protection hidden="1"/>
    </xf>
    <xf numFmtId="164" fontId="22" fillId="19" borderId="125" xfId="0" applyNumberFormat="1" applyFont="1" applyFill="1" applyBorder="1" applyAlignment="1" applyProtection="1">
      <protection hidden="1"/>
    </xf>
    <xf numFmtId="0" fontId="168" fillId="27" borderId="99" xfId="0" applyFont="1" applyFill="1" applyBorder="1" applyAlignment="1" applyProtection="1">
      <protection hidden="1"/>
    </xf>
    <xf numFmtId="164" fontId="141" fillId="27" borderId="101" xfId="0" applyNumberFormat="1" applyFont="1" applyFill="1" applyBorder="1" applyAlignment="1" applyProtection="1">
      <protection hidden="1"/>
    </xf>
    <xf numFmtId="164" fontId="141" fillId="27" borderId="199" xfId="0" applyNumberFormat="1" applyFont="1" applyFill="1" applyBorder="1" applyAlignment="1" applyProtection="1">
      <protection hidden="1"/>
    </xf>
    <xf numFmtId="165" fontId="183" fillId="27" borderId="109" xfId="0" applyNumberFormat="1" applyFont="1" applyFill="1" applyBorder="1" applyAlignment="1" applyProtection="1">
      <alignment horizontal="center" vertical="top"/>
      <protection hidden="1"/>
    </xf>
    <xf numFmtId="165" fontId="183" fillId="27" borderId="204" xfId="0" applyNumberFormat="1" applyFont="1" applyFill="1" applyBorder="1" applyAlignment="1" applyProtection="1">
      <alignment horizontal="center" vertical="top"/>
      <protection hidden="1"/>
    </xf>
    <xf numFmtId="164" fontId="22" fillId="19" borderId="221" xfId="0" applyNumberFormat="1" applyFont="1" applyFill="1" applyBorder="1" applyAlignment="1" applyProtection="1">
      <protection hidden="1"/>
    </xf>
    <xf numFmtId="164" fontId="22" fillId="19" borderId="89" xfId="0" applyNumberFormat="1" applyFont="1" applyFill="1" applyBorder="1" applyAlignment="1" applyProtection="1">
      <protection hidden="1"/>
    </xf>
    <xf numFmtId="0" fontId="22" fillId="4" borderId="17" xfId="0" applyFont="1" applyFill="1" applyBorder="1" applyAlignment="1" applyProtection="1">
      <protection hidden="1"/>
    </xf>
    <xf numFmtId="0" fontId="22" fillId="22" borderId="0" xfId="0" applyFont="1" applyFill="1" applyBorder="1" applyAlignment="1" applyProtection="1">
      <protection hidden="1"/>
    </xf>
    <xf numFmtId="164" fontId="22" fillId="23" borderId="36" xfId="0" applyNumberFormat="1" applyFont="1" applyFill="1" applyBorder="1" applyAlignment="1" applyProtection="1">
      <protection hidden="1"/>
    </xf>
    <xf numFmtId="164" fontId="22" fillId="4" borderId="36" xfId="0" applyNumberFormat="1" applyFont="1" applyFill="1" applyBorder="1" applyAlignment="1" applyProtection="1">
      <protection hidden="1"/>
    </xf>
    <xf numFmtId="164" fontId="22" fillId="4" borderId="45" xfId="0" applyNumberFormat="1" applyFont="1" applyFill="1" applyBorder="1" applyAlignment="1" applyProtection="1">
      <protection hidden="1"/>
    </xf>
    <xf numFmtId="164" fontId="22" fillId="23" borderId="47" xfId="0" applyNumberFormat="1" applyFont="1" applyFill="1" applyBorder="1" applyAlignment="1" applyProtection="1">
      <protection hidden="1"/>
    </xf>
    <xf numFmtId="164" fontId="22" fillId="22" borderId="125" xfId="0" applyNumberFormat="1" applyFont="1" applyFill="1" applyBorder="1" applyAlignment="1" applyProtection="1">
      <protection hidden="1"/>
    </xf>
    <xf numFmtId="164" fontId="22" fillId="22" borderId="11" xfId="0" applyNumberFormat="1" applyFont="1" applyFill="1" applyBorder="1" applyAlignment="1" applyProtection="1">
      <protection hidden="1"/>
    </xf>
    <xf numFmtId="164" fontId="22" fillId="22" borderId="223" xfId="0" applyNumberFormat="1" applyFont="1" applyFill="1" applyBorder="1" applyAlignment="1" applyProtection="1">
      <protection hidden="1"/>
    </xf>
    <xf numFmtId="0" fontId="179" fillId="0" borderId="17" xfId="0" applyFont="1" applyBorder="1" applyAlignment="1" applyProtection="1">
      <protection hidden="1"/>
    </xf>
    <xf numFmtId="164" fontId="12" fillId="0" borderId="40" xfId="0" applyNumberFormat="1" applyFont="1" applyBorder="1" applyAlignment="1" applyProtection="1">
      <alignment horizontal="right"/>
      <protection hidden="1"/>
    </xf>
    <xf numFmtId="164" fontId="12" fillId="0" borderId="14" xfId="0" applyNumberFormat="1" applyFont="1" applyBorder="1" applyAlignment="1" applyProtection="1">
      <alignment horizontal="right"/>
      <protection hidden="1"/>
    </xf>
    <xf numFmtId="0" fontId="221" fillId="28" borderId="17" xfId="0" applyFont="1" applyFill="1" applyBorder="1" applyAlignment="1" applyProtection="1">
      <protection hidden="1"/>
    </xf>
    <xf numFmtId="164" fontId="147" fillId="28" borderId="40" xfId="0" applyNumberFormat="1" applyFont="1" applyFill="1" applyBorder="1" applyAlignment="1" applyProtection="1">
      <alignment horizontal="right"/>
      <protection hidden="1"/>
    </xf>
    <xf numFmtId="165" fontId="177" fillId="28" borderId="94" xfId="0" applyNumberFormat="1" applyFont="1" applyFill="1" applyBorder="1" applyAlignment="1" applyProtection="1">
      <alignment horizontal="center" vertical="top"/>
      <protection hidden="1"/>
    </xf>
    <xf numFmtId="164" fontId="147" fillId="28" borderId="14" xfId="0" applyNumberFormat="1" applyFont="1" applyFill="1" applyBorder="1" applyAlignment="1" applyProtection="1">
      <alignment horizontal="right"/>
      <protection hidden="1"/>
    </xf>
    <xf numFmtId="165" fontId="177" fillId="28" borderId="74" xfId="0" applyNumberFormat="1" applyFont="1" applyFill="1" applyBorder="1" applyAlignment="1" applyProtection="1">
      <alignment horizontal="center" vertical="top"/>
      <protection hidden="1"/>
    </xf>
    <xf numFmtId="0" fontId="155" fillId="30" borderId="0" xfId="0" applyFont="1" applyFill="1" applyBorder="1" applyAlignment="1" applyProtection="1">
      <protection hidden="1"/>
    </xf>
    <xf numFmtId="164" fontId="44" fillId="30" borderId="94" xfId="0" applyNumberFormat="1" applyFont="1" applyFill="1" applyBorder="1" applyAlignment="1" applyProtection="1">
      <protection hidden="1"/>
    </xf>
    <xf numFmtId="164" fontId="44" fillId="30" borderId="74" xfId="0" applyNumberFormat="1" applyFont="1" applyFill="1" applyBorder="1" applyAlignment="1" applyProtection="1">
      <protection hidden="1"/>
    </xf>
    <xf numFmtId="0" fontId="15" fillId="0" borderId="0" xfId="0" applyFont="1" applyAlignment="1" applyProtection="1">
      <alignment vertical="top"/>
      <protection locked="0"/>
    </xf>
    <xf numFmtId="165" fontId="31" fillId="0" borderId="106" xfId="0" applyNumberFormat="1" applyFont="1" applyBorder="1" applyAlignment="1" applyProtection="1">
      <alignment horizontal="center" vertical="top"/>
      <protection hidden="1"/>
    </xf>
    <xf numFmtId="165" fontId="157" fillId="0" borderId="104" xfId="0" applyNumberFormat="1" applyFont="1" applyBorder="1" applyAlignment="1" applyProtection="1">
      <alignment horizontal="center" vertical="top"/>
      <protection hidden="1"/>
    </xf>
    <xf numFmtId="165" fontId="157" fillId="0" borderId="200" xfId="0" applyNumberFormat="1" applyFont="1" applyBorder="1" applyAlignment="1" applyProtection="1">
      <alignment horizontal="center" vertical="top"/>
      <protection hidden="1"/>
    </xf>
    <xf numFmtId="164" fontId="21" fillId="0" borderId="0" xfId="0" applyNumberFormat="1" applyFont="1" applyBorder="1" applyAlignment="1" applyProtection="1">
      <protection locked="0"/>
    </xf>
    <xf numFmtId="0" fontId="12" fillId="0" borderId="0" xfId="0" applyFont="1" applyAlignment="1" applyProtection="1">
      <protection locked="0"/>
    </xf>
    <xf numFmtId="164" fontId="21" fillId="0" borderId="74" xfId="0" applyNumberFormat="1" applyFont="1" applyBorder="1" applyAlignment="1" applyProtection="1">
      <protection locked="0"/>
    </xf>
    <xf numFmtId="0" fontId="13" fillId="0" borderId="0" xfId="0" applyFont="1" applyAlignment="1" applyProtection="1">
      <protection locked="0"/>
    </xf>
    <xf numFmtId="165" fontId="42" fillId="0" borderId="90" xfId="0" applyNumberFormat="1" applyFont="1" applyBorder="1" applyAlignment="1" applyProtection="1">
      <alignment horizontal="center" vertical="top"/>
      <protection hidden="1"/>
    </xf>
    <xf numFmtId="165" fontId="206" fillId="0" borderId="0" xfId="0" applyNumberFormat="1" applyFont="1" applyBorder="1" applyAlignment="1" applyProtection="1">
      <alignment horizontal="center" vertical="top"/>
      <protection hidden="1"/>
    </xf>
    <xf numFmtId="165" fontId="206" fillId="0" borderId="74" xfId="0" applyNumberFormat="1" applyFont="1" applyBorder="1" applyAlignment="1" applyProtection="1">
      <alignment horizontal="center" vertical="top"/>
      <protection hidden="1"/>
    </xf>
    <xf numFmtId="164" fontId="206" fillId="0" borderId="0" xfId="0" applyNumberFormat="1" applyFont="1" applyBorder="1" applyAlignment="1" applyProtection="1">
      <protection locked="0"/>
    </xf>
    <xf numFmtId="165" fontId="31" fillId="0" borderId="90" xfId="0" applyNumberFormat="1" applyFont="1" applyBorder="1" applyAlignment="1" applyProtection="1">
      <alignment horizontal="center"/>
      <protection hidden="1"/>
    </xf>
    <xf numFmtId="164" fontId="206" fillId="0" borderId="74" xfId="0" applyNumberFormat="1" applyFont="1" applyBorder="1" applyAlignment="1" applyProtection="1">
      <protection locked="0"/>
    </xf>
    <xf numFmtId="165" fontId="63" fillId="0" borderId="0" xfId="0" applyNumberFormat="1" applyFont="1" applyBorder="1" applyAlignment="1" applyProtection="1">
      <alignment horizontal="center" vertical="top"/>
      <protection hidden="1"/>
    </xf>
    <xf numFmtId="165" fontId="63" fillId="0" borderId="74" xfId="0" applyNumberFormat="1" applyFont="1" applyBorder="1" applyAlignment="1" applyProtection="1">
      <alignment horizontal="center" vertical="top"/>
      <protection hidden="1"/>
    </xf>
    <xf numFmtId="164" fontId="20" fillId="0" borderId="17" xfId="0" applyNumberFormat="1" applyFont="1" applyBorder="1" applyAlignment="1" applyProtection="1">
      <protection hidden="1"/>
    </xf>
    <xf numFmtId="164" fontId="20" fillId="0" borderId="14" xfId="0" applyNumberFormat="1" applyFont="1" applyBorder="1" applyAlignment="1" applyProtection="1">
      <protection hidden="1"/>
    </xf>
    <xf numFmtId="174" fontId="238" fillId="5" borderId="105" xfId="0" applyNumberFormat="1" applyFont="1" applyFill="1" applyBorder="1" applyAlignment="1" applyProtection="1">
      <alignment horizontal="center" vertical="top"/>
      <protection hidden="1"/>
    </xf>
    <xf numFmtId="165" fontId="15" fillId="5" borderId="107" xfId="0" applyNumberFormat="1" applyFont="1" applyFill="1" applyBorder="1" applyAlignment="1" applyProtection="1">
      <alignment horizontal="center" vertical="top"/>
      <protection hidden="1"/>
    </xf>
    <xf numFmtId="174" fontId="238" fillId="5" borderId="204" xfId="0" applyNumberFormat="1" applyFont="1" applyFill="1" applyBorder="1" applyAlignment="1" applyProtection="1">
      <alignment horizontal="center" vertical="top"/>
      <protection hidden="1"/>
    </xf>
    <xf numFmtId="164" fontId="15" fillId="5" borderId="99" xfId="0" applyNumberFormat="1" applyFont="1" applyFill="1" applyBorder="1" applyAlignment="1" applyProtection="1">
      <protection hidden="1"/>
    </xf>
    <xf numFmtId="165" fontId="15" fillId="5" borderId="100" xfId="0" applyNumberFormat="1" applyFont="1" applyFill="1" applyBorder="1" applyAlignment="1" applyProtection="1">
      <alignment horizontal="center"/>
      <protection hidden="1"/>
    </xf>
    <xf numFmtId="164" fontId="15" fillId="5" borderId="199" xfId="0" applyNumberFormat="1" applyFont="1" applyFill="1" applyBorder="1" applyAlignment="1" applyProtection="1">
      <protection hidden="1"/>
    </xf>
    <xf numFmtId="0" fontId="169" fillId="28" borderId="94" xfId="0" applyFont="1" applyFill="1" applyBorder="1" applyAlignment="1" applyProtection="1">
      <alignment horizontal="left"/>
      <protection locked="0"/>
    </xf>
    <xf numFmtId="164" fontId="21" fillId="0" borderId="199" xfId="0" applyNumberFormat="1" applyFont="1" applyBorder="1" applyAlignment="1" applyProtection="1">
      <protection locked="0"/>
    </xf>
    <xf numFmtId="164" fontId="21" fillId="0" borderId="99" xfId="0" applyNumberFormat="1" applyFont="1" applyBorder="1" applyAlignment="1" applyProtection="1">
      <protection locked="0"/>
    </xf>
    <xf numFmtId="165" fontId="157" fillId="0" borderId="105" xfId="0" applyNumberFormat="1" applyFont="1" applyBorder="1" applyAlignment="1" applyProtection="1">
      <alignment horizontal="center" vertical="top"/>
      <protection hidden="1"/>
    </xf>
    <xf numFmtId="165" fontId="31" fillId="0" borderId="107" xfId="0" applyNumberFormat="1" applyFont="1" applyBorder="1" applyAlignment="1" applyProtection="1">
      <alignment horizontal="center" vertical="top"/>
      <protection hidden="1"/>
    </xf>
    <xf numFmtId="165" fontId="157" fillId="0" borderId="74" xfId="0" applyNumberFormat="1" applyFont="1" applyBorder="1" applyAlignment="1" applyProtection="1">
      <alignment horizontal="center" vertical="top"/>
      <protection hidden="1"/>
    </xf>
    <xf numFmtId="165" fontId="157" fillId="0" borderId="0" xfId="0" applyNumberFormat="1" applyFont="1" applyBorder="1" applyAlignment="1" applyProtection="1">
      <alignment horizontal="center" vertical="top"/>
      <protection hidden="1"/>
    </xf>
    <xf numFmtId="165" fontId="157" fillId="0" borderId="204" xfId="0" applyNumberFormat="1" applyFont="1" applyBorder="1" applyAlignment="1" applyProtection="1">
      <alignment horizontal="center" vertical="top"/>
      <protection hidden="1"/>
    </xf>
    <xf numFmtId="174" fontId="238" fillId="28" borderId="105" xfId="0" applyNumberFormat="1" applyFont="1" applyFill="1" applyBorder="1" applyAlignment="1" applyProtection="1">
      <alignment horizontal="center" vertical="top"/>
      <protection hidden="1"/>
    </xf>
    <xf numFmtId="165" fontId="15" fillId="28" borderId="107" xfId="0" applyNumberFormat="1" applyFont="1" applyFill="1" applyBorder="1" applyAlignment="1" applyProtection="1">
      <alignment horizontal="center" vertical="top"/>
      <protection hidden="1"/>
    </xf>
    <xf numFmtId="174" fontId="238" fillId="28" borderId="204" xfId="0" applyNumberFormat="1" applyFont="1" applyFill="1" applyBorder="1" applyAlignment="1" applyProtection="1">
      <alignment horizontal="center" vertical="top"/>
      <protection hidden="1"/>
    </xf>
    <xf numFmtId="165" fontId="157" fillId="0" borderId="0" xfId="0" applyNumberFormat="1" applyFont="1" applyBorder="1" applyAlignment="1" applyProtection="1">
      <alignment horizontal="center" vertical="center"/>
      <protection hidden="1"/>
    </xf>
    <xf numFmtId="165" fontId="157" fillId="0" borderId="74" xfId="0" applyNumberFormat="1" applyFont="1" applyBorder="1" applyAlignment="1" applyProtection="1">
      <alignment horizontal="center" vertical="center"/>
      <protection hidden="1"/>
    </xf>
    <xf numFmtId="0" fontId="168" fillId="28" borderId="268" xfId="0" applyFont="1" applyFill="1" applyBorder="1" applyAlignment="1" applyProtection="1">
      <alignment horizontal="left" vertical="center" indent="1"/>
      <protection locked="0"/>
    </xf>
    <xf numFmtId="0" fontId="15" fillId="28" borderId="269" xfId="0" applyFont="1" applyFill="1" applyBorder="1" applyAlignment="1" applyProtection="1">
      <alignment horizontal="left" vertical="center" indent="1"/>
      <protection locked="0"/>
    </xf>
    <xf numFmtId="0" fontId="168" fillId="28" borderId="74" xfId="0" applyFont="1" applyFill="1" applyBorder="1" applyAlignment="1" applyProtection="1">
      <alignment horizontal="left" vertical="center" indent="1"/>
      <protection locked="0"/>
    </xf>
    <xf numFmtId="0" fontId="136" fillId="0" borderId="0" xfId="0" applyFont="1" applyFill="1" applyBorder="1" applyProtection="1">
      <protection hidden="1"/>
    </xf>
    <xf numFmtId="0" fontId="136" fillId="0" borderId="0" xfId="0" applyFont="1" applyFill="1" applyProtection="1">
      <protection hidden="1"/>
    </xf>
    <xf numFmtId="0" fontId="160" fillId="0" borderId="0" xfId="0" applyFont="1" applyFill="1" applyAlignment="1" applyProtection="1">
      <alignment horizontal="center" vertical="center" wrapText="1"/>
      <protection hidden="1"/>
    </xf>
    <xf numFmtId="164" fontId="12" fillId="5" borderId="77" xfId="0" applyNumberFormat="1" applyFont="1" applyFill="1" applyBorder="1" applyAlignment="1" applyProtection="1">
      <alignment horizontal="right"/>
      <protection hidden="1"/>
    </xf>
    <xf numFmtId="0" fontId="135" fillId="0" borderId="0" xfId="0" applyFont="1" applyFill="1" applyAlignment="1" applyProtection="1">
      <alignment horizontal="center" vertical="center" wrapText="1"/>
      <protection hidden="1"/>
    </xf>
    <xf numFmtId="0" fontId="135" fillId="0" borderId="0" xfId="0" applyFont="1" applyFill="1" applyBorder="1" applyProtection="1">
      <protection hidden="1"/>
    </xf>
    <xf numFmtId="0" fontId="135" fillId="0" borderId="0" xfId="0" applyFont="1" applyFill="1" applyProtection="1">
      <protection hidden="1"/>
    </xf>
    <xf numFmtId="164" fontId="44" fillId="29" borderId="77" xfId="0" applyNumberFormat="1" applyFont="1" applyFill="1" applyBorder="1" applyAlignment="1" applyProtection="1">
      <protection hidden="1"/>
    </xf>
    <xf numFmtId="165" fontId="26" fillId="18" borderId="17" xfId="0" applyNumberFormat="1" applyFont="1" applyFill="1" applyBorder="1" applyAlignment="1" applyProtection="1">
      <alignment horizontal="right"/>
      <protection hidden="1"/>
    </xf>
    <xf numFmtId="165" fontId="26" fillId="18" borderId="5" xfId="0" applyNumberFormat="1" applyFont="1" applyFill="1" applyBorder="1" applyAlignment="1" applyProtection="1">
      <alignment horizontal="right"/>
      <protection hidden="1"/>
    </xf>
    <xf numFmtId="165" fontId="26" fillId="18" borderId="0" xfId="0" applyNumberFormat="1" applyFont="1" applyFill="1" applyBorder="1" applyAlignment="1" applyProtection="1">
      <alignment horizontal="right"/>
      <protection hidden="1"/>
    </xf>
    <xf numFmtId="165" fontId="22" fillId="18" borderId="6" xfId="0" applyNumberFormat="1" applyFont="1" applyFill="1" applyBorder="1" applyAlignment="1" applyProtection="1">
      <alignment horizontal="right"/>
      <protection hidden="1"/>
    </xf>
    <xf numFmtId="165" fontId="26" fillId="18" borderId="40" xfId="0" applyNumberFormat="1" applyFont="1" applyFill="1" applyBorder="1" applyAlignment="1" applyProtection="1">
      <alignment horizontal="center"/>
      <protection hidden="1"/>
    </xf>
    <xf numFmtId="165" fontId="26" fillId="18" borderId="126" xfId="0" applyNumberFormat="1" applyFont="1" applyFill="1" applyBorder="1" applyAlignment="1" applyProtection="1">
      <alignment horizontal="center"/>
      <protection hidden="1"/>
    </xf>
    <xf numFmtId="165" fontId="26" fillId="18" borderId="94" xfId="0" applyNumberFormat="1" applyFont="1" applyFill="1" applyBorder="1" applyAlignment="1" applyProtection="1">
      <alignment horizontal="center"/>
      <protection hidden="1"/>
    </xf>
    <xf numFmtId="165" fontId="26" fillId="18" borderId="130" xfId="0" applyNumberFormat="1" applyFont="1" applyFill="1" applyBorder="1" applyAlignment="1" applyProtection="1">
      <alignment horizontal="center"/>
      <protection hidden="1"/>
    </xf>
    <xf numFmtId="164" fontId="26" fillId="18" borderId="77" xfId="0" applyNumberFormat="1" applyFont="1" applyFill="1" applyBorder="1" applyAlignment="1" applyProtection="1">
      <alignment horizontal="right"/>
      <protection hidden="1"/>
    </xf>
    <xf numFmtId="164" fontId="26" fillId="18" borderId="133" xfId="0" applyNumberFormat="1" applyFont="1" applyFill="1" applyBorder="1" applyAlignment="1" applyProtection="1">
      <alignment horizontal="right"/>
      <protection hidden="1"/>
    </xf>
    <xf numFmtId="164" fontId="26" fillId="18" borderId="80" xfId="0" applyNumberFormat="1" applyFont="1" applyFill="1" applyBorder="1" applyAlignment="1" applyProtection="1">
      <alignment horizontal="right"/>
      <protection hidden="1"/>
    </xf>
    <xf numFmtId="164" fontId="22" fillId="18" borderId="134" xfId="0" applyNumberFormat="1" applyFont="1" applyFill="1" applyBorder="1" applyAlignment="1" applyProtection="1">
      <alignment horizontal="right"/>
      <protection hidden="1"/>
    </xf>
    <xf numFmtId="165" fontId="26" fillId="18" borderId="80" xfId="0" applyNumberFormat="1" applyFont="1" applyFill="1" applyBorder="1" applyAlignment="1" applyProtection="1">
      <alignment horizontal="center" vertical="top"/>
      <protection hidden="1"/>
    </xf>
    <xf numFmtId="165" fontId="26" fillId="18" borderId="79" xfId="0" applyNumberFormat="1" applyFont="1" applyFill="1" applyBorder="1" applyAlignment="1" applyProtection="1">
      <alignment horizontal="center" vertical="top"/>
      <protection hidden="1"/>
    </xf>
    <xf numFmtId="165" fontId="22" fillId="18" borderId="80" xfId="0" applyNumberFormat="1" applyFont="1" applyFill="1" applyBorder="1" applyAlignment="1" applyProtection="1">
      <alignment horizontal="center" vertical="top"/>
      <protection hidden="1"/>
    </xf>
    <xf numFmtId="165" fontId="26" fillId="18" borderId="0" xfId="0" applyNumberFormat="1" applyFont="1" applyFill="1" applyBorder="1" applyAlignment="1" applyProtection="1">
      <alignment horizontal="center"/>
      <protection hidden="1"/>
    </xf>
    <xf numFmtId="165" fontId="26" fillId="18" borderId="94" xfId="0" applyNumberFormat="1" applyFont="1" applyFill="1" applyBorder="1" applyAlignment="1" applyProtection="1">
      <alignment horizontal="right" vertical="top" indent="1"/>
      <protection hidden="1"/>
    </xf>
    <xf numFmtId="165" fontId="26" fillId="18" borderId="128" xfId="0" applyNumberFormat="1" applyFont="1" applyFill="1" applyBorder="1" applyAlignment="1" applyProtection="1">
      <alignment horizontal="right" vertical="top" indent="1"/>
      <protection hidden="1"/>
    </xf>
    <xf numFmtId="0" fontId="13" fillId="0" borderId="0" xfId="0" applyFont="1" applyAlignment="1" applyProtection="1">
      <alignment horizontal="center" vertical="center" wrapText="1"/>
      <protection hidden="1"/>
    </xf>
    <xf numFmtId="0" fontId="191" fillId="0" borderId="272" xfId="0" applyFont="1" applyFill="1" applyBorder="1" applyAlignment="1" applyProtection="1">
      <alignment horizontal="center" vertical="center"/>
      <protection hidden="1"/>
    </xf>
    <xf numFmtId="164" fontId="190" fillId="0" borderId="248" xfId="0" applyNumberFormat="1" applyFont="1" applyFill="1" applyBorder="1" applyAlignment="1" applyProtection="1">
      <alignment horizontal="right" vertical="center"/>
      <protection hidden="1"/>
    </xf>
    <xf numFmtId="0" fontId="193" fillId="0" borderId="94" xfId="0" applyFont="1" applyFill="1" applyBorder="1" applyAlignment="1" applyProtection="1">
      <alignment horizontal="center" vertical="center"/>
      <protection hidden="1"/>
    </xf>
    <xf numFmtId="164" fontId="192" fillId="0" borderId="80" xfId="0" applyNumberFormat="1" applyFont="1" applyFill="1" applyBorder="1" applyAlignment="1" applyProtection="1">
      <alignment horizontal="right" vertical="center"/>
      <protection hidden="1"/>
    </xf>
    <xf numFmtId="0" fontId="129" fillId="42" borderId="160" xfId="0" applyFont="1" applyFill="1" applyBorder="1" applyAlignment="1" applyProtection="1">
      <alignment horizontal="center" vertical="center"/>
      <protection hidden="1"/>
    </xf>
    <xf numFmtId="164" fontId="128" fillId="42" borderId="87" xfId="0" applyNumberFormat="1" applyFont="1" applyFill="1" applyBorder="1" applyAlignment="1" applyProtection="1">
      <alignment horizontal="right" vertical="center"/>
      <protection hidden="1"/>
    </xf>
    <xf numFmtId="0" fontId="26" fillId="4" borderId="165" xfId="0" applyFont="1" applyFill="1" applyBorder="1" applyAlignment="1" applyProtection="1">
      <alignment horizontal="right"/>
      <protection hidden="1"/>
    </xf>
    <xf numFmtId="0" fontId="26" fillId="4" borderId="70" xfId="0" applyFont="1" applyFill="1" applyBorder="1" applyAlignment="1" applyProtection="1">
      <alignment horizontal="right"/>
      <protection hidden="1"/>
    </xf>
    <xf numFmtId="0" fontId="26" fillId="4" borderId="40" xfId="0" applyFont="1" applyFill="1" applyBorder="1" applyAlignment="1" applyProtection="1">
      <alignment horizontal="center"/>
      <protection hidden="1"/>
    </xf>
    <xf numFmtId="0" fontId="26" fillId="4" borderId="126" xfId="0" applyFont="1" applyFill="1" applyBorder="1" applyAlignment="1" applyProtection="1">
      <alignment horizontal="center"/>
      <protection hidden="1"/>
    </xf>
    <xf numFmtId="164" fontId="26" fillId="4" borderId="77" xfId="0" applyNumberFormat="1" applyFont="1" applyFill="1" applyBorder="1" applyAlignment="1" applyProtection="1">
      <alignment horizontal="right"/>
      <protection hidden="1"/>
    </xf>
    <xf numFmtId="164" fontId="12" fillId="4" borderId="77" xfId="0" applyNumberFormat="1" applyFont="1" applyFill="1" applyBorder="1" applyAlignment="1" applyProtection="1">
      <alignment horizontal="right"/>
      <protection hidden="1"/>
    </xf>
    <xf numFmtId="164" fontId="22" fillId="4" borderId="133" xfId="0" applyNumberFormat="1" applyFont="1" applyFill="1" applyBorder="1" applyAlignment="1" applyProtection="1">
      <alignment horizontal="right"/>
      <protection hidden="1"/>
    </xf>
    <xf numFmtId="164" fontId="12" fillId="0" borderId="268" xfId="0" applyNumberFormat="1" applyFont="1" applyBorder="1" applyAlignment="1" applyProtection="1">
      <alignment vertical="center"/>
      <protection locked="0"/>
    </xf>
    <xf numFmtId="164" fontId="12" fillId="0" borderId="273" xfId="0" applyNumberFormat="1" applyFont="1" applyBorder="1" applyAlignment="1" applyProtection="1">
      <alignment vertical="center"/>
      <protection locked="0"/>
    </xf>
    <xf numFmtId="164" fontId="12" fillId="0" borderId="212" xfId="0" applyNumberFormat="1" applyFont="1" applyBorder="1" applyAlignment="1" applyProtection="1">
      <alignment vertical="center"/>
      <protection hidden="1"/>
    </xf>
    <xf numFmtId="164" fontId="12" fillId="0" borderId="211" xfId="0" applyNumberFormat="1" applyFont="1" applyBorder="1" applyAlignment="1" applyProtection="1">
      <alignment vertical="center"/>
      <protection hidden="1"/>
    </xf>
    <xf numFmtId="0" fontId="205" fillId="0" borderId="0" xfId="0" applyFont="1" applyAlignment="1" applyProtection="1">
      <alignment vertical="center"/>
      <protection hidden="1"/>
    </xf>
    <xf numFmtId="0" fontId="205" fillId="2" borderId="0" xfId="0" applyFont="1" applyFill="1" applyAlignment="1" applyProtection="1">
      <alignment vertical="center"/>
      <protection hidden="1"/>
    </xf>
    <xf numFmtId="0" fontId="205" fillId="0" borderId="0" xfId="0" applyFont="1" applyFill="1" applyAlignment="1" applyProtection="1">
      <alignment vertical="center"/>
      <protection hidden="1"/>
    </xf>
    <xf numFmtId="0" fontId="205" fillId="0" borderId="0" xfId="0" applyFont="1" applyFill="1" applyBorder="1" applyAlignment="1" applyProtection="1">
      <alignment vertical="center"/>
      <protection hidden="1"/>
    </xf>
    <xf numFmtId="0" fontId="239" fillId="0" borderId="0" xfId="0" applyFont="1" applyAlignment="1" applyProtection="1">
      <alignment vertical="center"/>
      <protection hidden="1"/>
    </xf>
    <xf numFmtId="0" fontId="212" fillId="0" borderId="0" xfId="0" applyFont="1" applyAlignment="1" applyProtection="1">
      <alignment vertical="center"/>
      <protection hidden="1"/>
    </xf>
    <xf numFmtId="0" fontId="240" fillId="0" borderId="0" xfId="0" applyFont="1" applyAlignment="1" applyProtection="1">
      <alignment horizontal="center" vertical="center"/>
      <protection hidden="1"/>
    </xf>
    <xf numFmtId="165" fontId="26" fillId="11" borderId="85" xfId="0" applyNumberFormat="1" applyFont="1" applyFill="1" applyBorder="1" applyAlignment="1" applyProtection="1">
      <alignment horizontal="center" vertical="top"/>
      <protection hidden="1"/>
    </xf>
    <xf numFmtId="2" fontId="72" fillId="11" borderId="81" xfId="0" applyNumberFormat="1" applyFont="1" applyFill="1" applyBorder="1" applyAlignment="1" applyProtection="1">
      <alignment horizontal="center" vertical="center"/>
      <protection hidden="1"/>
    </xf>
    <xf numFmtId="2" fontId="22" fillId="11" borderId="81" xfId="0" applyNumberFormat="1" applyFont="1" applyFill="1" applyBorder="1" applyAlignment="1" applyProtection="1">
      <alignment horizontal="center" vertical="center"/>
      <protection hidden="1"/>
    </xf>
    <xf numFmtId="2" fontId="49" fillId="11" borderId="81" xfId="0" applyNumberFormat="1" applyFont="1" applyFill="1" applyBorder="1" applyAlignment="1" applyProtection="1">
      <alignment horizontal="center" vertical="center" wrapText="1"/>
      <protection hidden="1"/>
    </xf>
    <xf numFmtId="2" fontId="159" fillId="11" borderId="81" xfId="0" applyNumberFormat="1" applyFont="1" applyFill="1" applyBorder="1" applyAlignment="1" applyProtection="1">
      <alignment horizontal="center" vertical="center" wrapText="1"/>
      <protection hidden="1"/>
    </xf>
    <xf numFmtId="169" fontId="22" fillId="19" borderId="81" xfId="0" applyNumberFormat="1" applyFont="1" applyFill="1" applyBorder="1" applyAlignment="1" applyProtection="1">
      <alignment horizontal="center" vertical="center"/>
      <protection hidden="1"/>
    </xf>
    <xf numFmtId="165" fontId="156" fillId="0" borderId="42" xfId="0" applyNumberFormat="1" applyFont="1" applyBorder="1" applyAlignment="1" applyProtection="1">
      <alignment horizontal="center" vertical="center"/>
      <protection hidden="1"/>
    </xf>
    <xf numFmtId="165" fontId="161" fillId="0" borderId="42" xfId="0" applyNumberFormat="1" applyFont="1" applyBorder="1" applyAlignment="1" applyProtection="1">
      <alignment horizontal="center" vertical="center"/>
      <protection hidden="1"/>
    </xf>
    <xf numFmtId="165" fontId="161" fillId="0" borderId="16" xfId="0" applyNumberFormat="1" applyFont="1" applyBorder="1" applyAlignment="1" applyProtection="1">
      <alignment horizontal="center" vertical="center"/>
      <protection hidden="1"/>
    </xf>
    <xf numFmtId="2" fontId="11" fillId="11" borderId="43" xfId="0" applyNumberFormat="1" applyFont="1" applyFill="1" applyBorder="1" applyAlignment="1" applyProtection="1">
      <alignment horizontal="center" vertical="center"/>
      <protection hidden="1"/>
    </xf>
    <xf numFmtId="0" fontId="241" fillId="2" borderId="0" xfId="0" applyFont="1" applyFill="1" applyBorder="1" applyAlignment="1" applyProtection="1">
      <alignment horizontal="left"/>
      <protection hidden="1"/>
    </xf>
    <xf numFmtId="0" fontId="18" fillId="18" borderId="169" xfId="0" applyFont="1" applyFill="1" applyBorder="1" applyAlignment="1" applyProtection="1">
      <alignment horizontal="left" vertical="center" indent="1"/>
      <protection locked="0"/>
    </xf>
    <xf numFmtId="0" fontId="18" fillId="18" borderId="42" xfId="0" applyFont="1" applyFill="1" applyBorder="1" applyAlignment="1" applyProtection="1">
      <alignment horizontal="left" vertical="center" indent="1"/>
      <protection hidden="1"/>
    </xf>
    <xf numFmtId="0" fontId="12" fillId="0" borderId="0" xfId="0" applyFont="1" applyAlignment="1" applyProtection="1">
      <alignment vertical="center"/>
      <protection hidden="1"/>
    </xf>
    <xf numFmtId="0" fontId="168" fillId="28" borderId="77" xfId="0" applyFont="1" applyFill="1" applyBorder="1" applyAlignment="1">
      <alignment horizontal="left" vertical="center" indent="1"/>
    </xf>
    <xf numFmtId="0" fontId="169" fillId="28" borderId="80" xfId="0" quotePrefix="1" applyFont="1" applyFill="1" applyBorder="1" applyAlignment="1">
      <alignment horizontal="left" vertical="center" indent="1"/>
    </xf>
    <xf numFmtId="0" fontId="168" fillId="28" borderId="80" xfId="0" applyFont="1" applyFill="1" applyBorder="1" applyAlignment="1">
      <alignment horizontal="left" vertical="top" indent="1"/>
    </xf>
    <xf numFmtId="0" fontId="169" fillId="28" borderId="168" xfId="0" applyFont="1" applyFill="1" applyBorder="1" applyAlignment="1">
      <alignment horizontal="left" vertical="center" wrapText="1" indent="1"/>
    </xf>
    <xf numFmtId="0" fontId="179" fillId="28" borderId="168" xfId="0" applyFont="1" applyFill="1" applyBorder="1" applyAlignment="1">
      <alignment horizontal="left" vertical="center" wrapText="1" indent="1"/>
    </xf>
    <xf numFmtId="0" fontId="179" fillId="28" borderId="85" xfId="0" applyFont="1" applyFill="1" applyBorder="1" applyAlignment="1">
      <alignment horizontal="left" vertical="center" wrapText="1" indent="1"/>
    </xf>
    <xf numFmtId="0" fontId="168" fillId="28" borderId="81" xfId="0" applyFont="1" applyFill="1" applyBorder="1" applyAlignment="1" applyProtection="1">
      <alignment horizontal="center" vertical="center"/>
      <protection locked="0"/>
    </xf>
    <xf numFmtId="0" fontId="168" fillId="0" borderId="0" xfId="0" applyFont="1" applyFill="1" applyBorder="1" applyAlignment="1" applyProtection="1">
      <alignment horizontal="right" vertical="center" indent="1"/>
      <protection locked="0"/>
    </xf>
    <xf numFmtId="0" fontId="129" fillId="2" borderId="0" xfId="0" applyFont="1" applyFill="1" applyAlignment="1" applyProtection="1">
      <alignment horizontal="center" vertical="center"/>
      <protection hidden="1"/>
    </xf>
    <xf numFmtId="0" fontId="169" fillId="0" borderId="78" xfId="0" applyFont="1" applyBorder="1" applyAlignment="1" applyProtection="1">
      <alignment horizontal="left" vertical="center" indent="1"/>
      <protection locked="0"/>
    </xf>
    <xf numFmtId="0" fontId="169" fillId="0" borderId="203" xfId="0" applyFont="1" applyBorder="1" applyAlignment="1" applyProtection="1">
      <alignment horizontal="left" vertical="center" indent="1"/>
      <protection locked="0"/>
    </xf>
    <xf numFmtId="0" fontId="169" fillId="0" borderId="80" xfId="0" applyFont="1" applyBorder="1" applyAlignment="1" applyProtection="1">
      <alignment horizontal="left" vertical="center" indent="1"/>
      <protection locked="0"/>
    </xf>
    <xf numFmtId="0" fontId="169" fillId="28" borderId="0" xfId="0" applyFont="1" applyFill="1" applyBorder="1" applyAlignment="1" applyProtection="1">
      <alignment horizontal="right"/>
      <protection locked="0"/>
    </xf>
    <xf numFmtId="0" fontId="169" fillId="28" borderId="0" xfId="0" applyFont="1" applyFill="1" applyBorder="1" applyAlignment="1" applyProtection="1">
      <alignment horizontal="right" vertical="top"/>
      <protection locked="0"/>
    </xf>
    <xf numFmtId="0" fontId="157" fillId="0" borderId="80" xfId="0" applyFont="1" applyBorder="1" applyAlignment="1" applyProtection="1">
      <alignment horizontal="left" vertical="top" indent="1"/>
      <protection locked="0"/>
    </xf>
    <xf numFmtId="0" fontId="21" fillId="0" borderId="227" xfId="0" applyFont="1" applyBorder="1" applyAlignment="1" applyProtection="1">
      <alignment horizontal="left" vertical="center" indent="1"/>
      <protection locked="0"/>
    </xf>
    <xf numFmtId="0" fontId="179" fillId="0" borderId="77" xfId="0" applyFont="1" applyFill="1" applyBorder="1" applyAlignment="1" applyProtection="1">
      <alignment horizontal="left" vertical="center" indent="1"/>
      <protection locked="0"/>
    </xf>
    <xf numFmtId="0" fontId="179" fillId="0" borderId="122" xfId="0" applyFont="1" applyFill="1" applyBorder="1" applyAlignment="1" applyProtection="1">
      <alignment horizontal="left" vertical="center" indent="1"/>
      <protection locked="0"/>
    </xf>
    <xf numFmtId="0" fontId="169" fillId="0" borderId="86" xfId="0" applyFont="1" applyBorder="1" applyAlignment="1" applyProtection="1">
      <alignment horizontal="left" vertical="center" indent="1"/>
      <protection locked="0"/>
    </xf>
    <xf numFmtId="164" fontId="12" fillId="0" borderId="209" xfId="0" applyNumberFormat="1" applyFont="1" applyBorder="1" applyAlignment="1" applyProtection="1">
      <alignment horizontal="right" vertical="center"/>
      <protection locked="0"/>
    </xf>
    <xf numFmtId="164" fontId="12" fillId="0" borderId="208" xfId="0" applyNumberFormat="1" applyFont="1" applyBorder="1" applyAlignment="1" applyProtection="1">
      <alignment horizontal="right" vertical="center"/>
      <protection locked="0"/>
    </xf>
    <xf numFmtId="0" fontId="185" fillId="28" borderId="0" xfId="0" applyFont="1" applyFill="1" applyBorder="1" applyAlignment="1">
      <alignment vertical="center"/>
    </xf>
    <xf numFmtId="164" fontId="22" fillId="4" borderId="81" xfId="0" applyNumberFormat="1" applyFont="1" applyFill="1" applyBorder="1" applyAlignment="1" applyProtection="1">
      <alignment horizontal="right" vertical="center"/>
      <protection hidden="1"/>
    </xf>
    <xf numFmtId="165" fontId="27" fillId="0" borderId="253" xfId="0" applyNumberFormat="1" applyFont="1" applyFill="1" applyBorder="1" applyAlignment="1" applyProtection="1">
      <alignment horizontal="center" vertical="center"/>
      <protection hidden="1"/>
    </xf>
    <xf numFmtId="165" fontId="27" fillId="0" borderId="253" xfId="0" applyNumberFormat="1" applyFont="1" applyFill="1" applyBorder="1" applyAlignment="1" applyProtection="1">
      <alignment horizontal="center" vertical="center"/>
      <protection locked="0"/>
    </xf>
    <xf numFmtId="174" fontId="87" fillId="0" borderId="74" xfId="0" applyNumberFormat="1" applyFont="1" applyFill="1" applyBorder="1" applyAlignment="1" applyProtection="1">
      <alignment horizontal="center" vertical="center"/>
      <protection locked="0"/>
    </xf>
    <xf numFmtId="174" fontId="87" fillId="0" borderId="94" xfId="0" applyNumberFormat="1" applyFont="1" applyFill="1" applyBorder="1" applyAlignment="1" applyProtection="1">
      <alignment horizontal="center" vertical="center"/>
      <protection locked="0"/>
    </xf>
    <xf numFmtId="165" fontId="42" fillId="28" borderId="253" xfId="0" applyNumberFormat="1" applyFont="1" applyFill="1" applyBorder="1" applyAlignment="1" applyProtection="1">
      <alignment horizontal="center" vertical="center"/>
      <protection hidden="1"/>
    </xf>
    <xf numFmtId="0" fontId="211" fillId="28" borderId="81" xfId="0" applyFont="1" applyFill="1" applyBorder="1" applyAlignment="1" applyProtection="1">
      <alignment horizontal="center" vertical="center"/>
      <protection hidden="1"/>
    </xf>
    <xf numFmtId="10" fontId="166" fillId="0" borderId="0" xfId="0" applyNumberFormat="1" applyFont="1" applyBorder="1" applyAlignment="1" applyProtection="1">
      <alignment horizontal="center" vertical="center"/>
      <protection locked="0"/>
    </xf>
    <xf numFmtId="0" fontId="27" fillId="0" borderId="74" xfId="0" applyFont="1" applyBorder="1" applyAlignment="1" applyProtection="1">
      <alignment horizontal="left" vertical="center" indent="1"/>
      <protection locked="0"/>
    </xf>
    <xf numFmtId="0" fontId="169" fillId="0" borderId="74" xfId="0" applyFont="1" applyBorder="1" applyAlignment="1" applyProtection="1">
      <alignment horizontal="left" vertical="center" indent="1"/>
      <protection locked="0"/>
    </xf>
    <xf numFmtId="0" fontId="169" fillId="0" borderId="14" xfId="0" applyFont="1" applyBorder="1" applyAlignment="1" applyProtection="1">
      <alignment horizontal="left" vertical="center" indent="1"/>
      <protection locked="0"/>
    </xf>
    <xf numFmtId="0" fontId="169" fillId="28" borderId="24" xfId="0" applyFont="1" applyFill="1" applyBorder="1" applyAlignment="1" applyProtection="1">
      <alignment horizontal="right" vertical="center"/>
      <protection locked="0"/>
    </xf>
    <xf numFmtId="0" fontId="169" fillId="28" borderId="9" xfId="0" applyFont="1" applyFill="1" applyBorder="1" applyAlignment="1" applyProtection="1">
      <alignment horizontal="right" vertical="center"/>
      <protection locked="0"/>
    </xf>
    <xf numFmtId="0" fontId="15" fillId="28" borderId="0" xfId="0" applyFont="1" applyFill="1" applyBorder="1" applyAlignment="1" applyProtection="1">
      <alignment horizontal="left" vertical="center" indent="1"/>
      <protection locked="0"/>
    </xf>
    <xf numFmtId="164" fontId="12" fillId="0" borderId="9" xfId="0" applyNumberFormat="1" applyFont="1" applyBorder="1" applyAlignment="1" applyProtection="1">
      <alignment vertical="center"/>
      <protection hidden="1"/>
    </xf>
    <xf numFmtId="164" fontId="12" fillId="0" borderId="9" xfId="0" applyNumberFormat="1" applyFont="1" applyFill="1" applyBorder="1" applyAlignment="1" applyProtection="1">
      <alignment vertical="center"/>
      <protection hidden="1"/>
    </xf>
    <xf numFmtId="165" fontId="24" fillId="41" borderId="276" xfId="0" applyNumberFormat="1" applyFont="1" applyFill="1" applyBorder="1" applyAlignment="1" applyProtection="1">
      <alignment horizontal="center" vertical="center"/>
      <protection hidden="1"/>
    </xf>
    <xf numFmtId="164" fontId="168" fillId="47" borderId="247" xfId="0" applyNumberFormat="1" applyFont="1" applyFill="1" applyBorder="1" applyAlignment="1" applyProtection="1">
      <alignment vertical="center"/>
      <protection hidden="1"/>
    </xf>
    <xf numFmtId="164" fontId="168" fillId="47" borderId="53" xfId="0" applyNumberFormat="1" applyFont="1" applyFill="1" applyBorder="1" applyAlignment="1" applyProtection="1">
      <alignment vertical="center"/>
      <protection hidden="1"/>
    </xf>
    <xf numFmtId="0" fontId="134" fillId="19" borderId="16" xfId="0" applyFont="1" applyFill="1" applyBorder="1" applyAlignment="1" applyProtection="1">
      <alignment horizontal="right" vertical="center"/>
      <protection hidden="1"/>
    </xf>
    <xf numFmtId="9" fontId="186" fillId="19" borderId="276" xfId="0" applyNumberFormat="1" applyFont="1" applyFill="1" applyBorder="1" applyAlignment="1" applyProtection="1">
      <alignment horizontal="center" vertical="center"/>
      <protection hidden="1"/>
    </xf>
    <xf numFmtId="0" fontId="169" fillId="48" borderId="167" xfId="0" applyFont="1" applyFill="1" applyBorder="1" applyAlignment="1" applyProtection="1">
      <alignment horizontal="left" vertical="center" indent="1"/>
      <protection locked="0"/>
    </xf>
    <xf numFmtId="0" fontId="244" fillId="48" borderId="7" xfId="0" applyFont="1" applyFill="1" applyBorder="1" applyAlignment="1" applyProtection="1">
      <alignment horizontal="left" vertical="center" indent="1"/>
      <protection locked="0"/>
    </xf>
    <xf numFmtId="164" fontId="169" fillId="48" borderId="55" xfId="0" applyNumberFormat="1" applyFont="1" applyFill="1" applyBorder="1" applyAlignment="1" applyProtection="1">
      <alignment vertical="center"/>
      <protection hidden="1"/>
    </xf>
    <xf numFmtId="164" fontId="169" fillId="48" borderId="7" xfId="0" applyNumberFormat="1" applyFont="1" applyFill="1" applyBorder="1" applyAlignment="1" applyProtection="1">
      <alignment vertical="center"/>
      <protection hidden="1"/>
    </xf>
    <xf numFmtId="0" fontId="222" fillId="0" borderId="74" xfId="0" applyFont="1" applyBorder="1" applyAlignment="1">
      <alignment horizontal="left" vertical="center" indent="1"/>
    </xf>
    <xf numFmtId="0" fontId="222" fillId="0" borderId="0" xfId="0" applyFont="1" applyBorder="1" applyAlignment="1">
      <alignment horizontal="left" vertical="center" indent="1"/>
    </xf>
    <xf numFmtId="164" fontId="222" fillId="0" borderId="9" xfId="0" applyNumberFormat="1" applyFont="1" applyBorder="1" applyAlignment="1" applyProtection="1">
      <alignment vertical="center"/>
      <protection hidden="1"/>
    </xf>
    <xf numFmtId="0" fontId="222" fillId="0" borderId="74" xfId="0" applyFont="1" applyBorder="1" applyAlignment="1" applyProtection="1">
      <alignment horizontal="left" vertical="center" indent="1"/>
      <protection locked="0"/>
    </xf>
    <xf numFmtId="0" fontId="222" fillId="0" borderId="0" xfId="0" applyFont="1" applyBorder="1" applyAlignment="1" applyProtection="1">
      <alignment horizontal="left" vertical="center" indent="1"/>
      <protection locked="0"/>
    </xf>
    <xf numFmtId="0" fontId="236" fillId="28" borderId="167" xfId="0" applyFont="1" applyFill="1" applyBorder="1" applyAlignment="1" applyProtection="1">
      <alignment horizontal="left" vertical="center" indent="1"/>
      <protection locked="0"/>
    </xf>
    <xf numFmtId="0" fontId="236" fillId="28" borderId="7" xfId="0" applyFont="1" applyFill="1" applyBorder="1" applyAlignment="1" applyProtection="1">
      <alignment horizontal="left" vertical="center" indent="1"/>
      <protection locked="0"/>
    </xf>
    <xf numFmtId="164" fontId="236" fillId="28" borderId="55" xfId="0" applyNumberFormat="1" applyFont="1" applyFill="1" applyBorder="1" applyAlignment="1" applyProtection="1">
      <alignment vertical="center"/>
      <protection hidden="1"/>
    </xf>
    <xf numFmtId="164" fontId="15" fillId="28" borderId="275" xfId="0" applyNumberFormat="1" applyFont="1" applyFill="1" applyBorder="1" applyAlignment="1" applyProtection="1">
      <alignment vertical="center"/>
      <protection hidden="1"/>
    </xf>
    <xf numFmtId="164" fontId="15" fillId="28" borderId="9" xfId="0" applyNumberFormat="1" applyFont="1" applyFill="1" applyBorder="1" applyAlignment="1" applyProtection="1">
      <alignment vertical="center"/>
      <protection hidden="1"/>
    </xf>
    <xf numFmtId="1" fontId="128" fillId="19" borderId="16" xfId="0" applyNumberFormat="1" applyFont="1" applyFill="1" applyBorder="1" applyAlignment="1" applyProtection="1">
      <alignment horizontal="center" vertical="center"/>
      <protection hidden="1"/>
    </xf>
    <xf numFmtId="164" fontId="236" fillId="28" borderId="7" xfId="0" applyNumberFormat="1" applyFont="1" applyFill="1" applyBorder="1" applyAlignment="1" applyProtection="1">
      <alignment vertical="center"/>
      <protection hidden="1"/>
    </xf>
    <xf numFmtId="164" fontId="15" fillId="28" borderId="269" xfId="0" applyNumberFormat="1" applyFont="1" applyFill="1" applyBorder="1" applyAlignment="1" applyProtection="1">
      <alignment vertical="center"/>
      <protection hidden="1"/>
    </xf>
    <xf numFmtId="164" fontId="22" fillId="41" borderId="16" xfId="0" applyNumberFormat="1" applyFont="1" applyFill="1" applyBorder="1" applyAlignment="1" applyProtection="1">
      <alignment vertical="center"/>
      <protection hidden="1"/>
    </xf>
    <xf numFmtId="164" fontId="15" fillId="28" borderId="0" xfId="0" applyNumberFormat="1" applyFont="1" applyFill="1" applyBorder="1" applyAlignment="1" applyProtection="1">
      <alignment vertical="center"/>
      <protection hidden="1"/>
    </xf>
    <xf numFmtId="165" fontId="177" fillId="0" borderId="277" xfId="0" applyNumberFormat="1" applyFont="1" applyBorder="1" applyAlignment="1" applyProtection="1">
      <alignment horizontal="center" vertical="center"/>
      <protection hidden="1"/>
    </xf>
    <xf numFmtId="165" fontId="31" fillId="0" borderId="277" xfId="0" applyNumberFormat="1" applyFont="1" applyBorder="1" applyAlignment="1" applyProtection="1">
      <alignment horizontal="center" vertical="center"/>
      <protection hidden="1"/>
    </xf>
    <xf numFmtId="165" fontId="177" fillId="48" borderId="278" xfId="0" applyNumberFormat="1" applyFont="1" applyFill="1" applyBorder="1" applyAlignment="1" applyProtection="1">
      <alignment horizontal="center" vertical="center"/>
      <protection hidden="1"/>
    </xf>
    <xf numFmtId="165" fontId="172" fillId="47" borderId="279" xfId="0" applyNumberFormat="1" applyFont="1" applyFill="1" applyBorder="1" applyAlignment="1" applyProtection="1">
      <alignment horizontal="center" vertical="center"/>
      <protection hidden="1"/>
    </xf>
    <xf numFmtId="165" fontId="245" fillId="0" borderId="277" xfId="0" applyNumberFormat="1" applyFont="1" applyBorder="1" applyAlignment="1" applyProtection="1">
      <alignment horizontal="center" vertical="center"/>
      <protection hidden="1"/>
    </xf>
    <xf numFmtId="165" fontId="231" fillId="28" borderId="278" xfId="0" applyNumberFormat="1" applyFont="1" applyFill="1" applyBorder="1" applyAlignment="1" applyProtection="1">
      <alignment horizontal="center" vertical="center"/>
      <protection hidden="1"/>
    </xf>
    <xf numFmtId="165" fontId="177" fillId="0" borderId="277" xfId="0" applyNumberFormat="1" applyFont="1" applyFill="1" applyBorder="1" applyAlignment="1" applyProtection="1">
      <alignment horizontal="center" vertical="center"/>
      <protection hidden="1"/>
    </xf>
    <xf numFmtId="165" fontId="172" fillId="28" borderId="280" xfId="0" applyNumberFormat="1" applyFont="1" applyFill="1" applyBorder="1" applyAlignment="1" applyProtection="1">
      <alignment horizontal="center" vertical="center"/>
      <protection hidden="1"/>
    </xf>
    <xf numFmtId="165" fontId="31" fillId="0" borderId="277" xfId="0" applyNumberFormat="1" applyFont="1" applyFill="1" applyBorder="1" applyAlignment="1">
      <alignment horizontal="center" vertical="center"/>
    </xf>
    <xf numFmtId="165" fontId="31" fillId="0" borderId="57" xfId="0" applyNumberFormat="1" applyFont="1" applyBorder="1" applyAlignment="1" applyProtection="1">
      <alignment horizontal="center" vertical="center"/>
      <protection hidden="1"/>
    </xf>
    <xf numFmtId="165" fontId="177" fillId="48" borderId="282" xfId="0" applyNumberFormat="1" applyFont="1" applyFill="1" applyBorder="1" applyAlignment="1" applyProtection="1">
      <alignment horizontal="center" vertical="center"/>
      <protection hidden="1"/>
    </xf>
    <xf numFmtId="165" fontId="172" fillId="47" borderId="283" xfId="0" applyNumberFormat="1" applyFont="1" applyFill="1" applyBorder="1" applyAlignment="1" applyProtection="1">
      <alignment horizontal="center" vertical="center"/>
      <protection hidden="1"/>
    </xf>
    <xf numFmtId="165" fontId="245" fillId="0" borderId="57" xfId="0" applyNumberFormat="1" applyFont="1" applyBorder="1" applyAlignment="1" applyProtection="1">
      <alignment horizontal="center" vertical="center"/>
      <protection hidden="1"/>
    </xf>
    <xf numFmtId="165" fontId="231" fillId="28" borderId="282" xfId="0" applyNumberFormat="1" applyFont="1" applyFill="1" applyBorder="1" applyAlignment="1" applyProtection="1">
      <alignment horizontal="center" vertical="center"/>
      <protection hidden="1"/>
    </xf>
    <xf numFmtId="165" fontId="177" fillId="0" borderId="57" xfId="0" applyNumberFormat="1" applyFont="1" applyFill="1" applyBorder="1" applyAlignment="1" applyProtection="1">
      <alignment horizontal="center" vertical="center"/>
      <protection hidden="1"/>
    </xf>
    <xf numFmtId="165" fontId="172" fillId="28" borderId="284" xfId="0" applyNumberFormat="1" applyFont="1" applyFill="1" applyBorder="1" applyAlignment="1" applyProtection="1">
      <alignment horizontal="center" vertical="center"/>
      <protection hidden="1"/>
    </xf>
    <xf numFmtId="165" fontId="31" fillId="0" borderId="57" xfId="0" applyNumberFormat="1" applyFont="1" applyFill="1" applyBorder="1" applyAlignment="1">
      <alignment horizontal="center" vertical="center"/>
    </xf>
    <xf numFmtId="165" fontId="172" fillId="28" borderId="57" xfId="0" applyNumberFormat="1" applyFont="1" applyFill="1" applyBorder="1" applyAlignment="1" applyProtection="1">
      <alignment horizontal="center" vertical="center"/>
      <protection hidden="1"/>
    </xf>
    <xf numFmtId="9" fontId="186" fillId="19" borderId="285" xfId="0" applyNumberFormat="1" applyFont="1" applyFill="1" applyBorder="1" applyAlignment="1" applyProtection="1">
      <alignment horizontal="center" vertical="center"/>
      <protection hidden="1"/>
    </xf>
    <xf numFmtId="165" fontId="31" fillId="0" borderId="110" xfId="0" applyNumberFormat="1" applyFont="1" applyBorder="1" applyAlignment="1">
      <alignment horizontal="center" vertical="center"/>
    </xf>
    <xf numFmtId="165" fontId="177" fillId="48" borderId="111" xfId="0" applyNumberFormat="1" applyFont="1" applyFill="1" applyBorder="1" applyAlignment="1">
      <alignment horizontal="center" vertical="center"/>
    </xf>
    <xf numFmtId="165" fontId="172" fillId="47" borderId="286" xfId="0" applyNumberFormat="1" applyFont="1" applyFill="1" applyBorder="1" applyAlignment="1">
      <alignment horizontal="center" vertical="center"/>
    </xf>
    <xf numFmtId="165" fontId="245" fillId="0" borderId="110" xfId="0" applyNumberFormat="1" applyFont="1" applyBorder="1" applyAlignment="1">
      <alignment horizontal="center" vertical="center"/>
    </xf>
    <xf numFmtId="165" fontId="231" fillId="28" borderId="111" xfId="0" applyNumberFormat="1" applyFont="1" applyFill="1" applyBorder="1" applyAlignment="1">
      <alignment horizontal="center" vertical="center"/>
    </xf>
    <xf numFmtId="165" fontId="177" fillId="0" borderId="110" xfId="0" applyNumberFormat="1" applyFont="1" applyFill="1" applyBorder="1" applyAlignment="1">
      <alignment horizontal="center" vertical="center"/>
    </xf>
    <xf numFmtId="165" fontId="172" fillId="28" borderId="287" xfId="0" applyNumberFormat="1" applyFont="1" applyFill="1" applyBorder="1" applyAlignment="1">
      <alignment horizontal="center" vertical="center"/>
    </xf>
    <xf numFmtId="165" fontId="110" fillId="41" borderId="285" xfId="0" applyNumberFormat="1" applyFont="1" applyFill="1" applyBorder="1" applyAlignment="1">
      <alignment horizontal="center" vertical="center"/>
    </xf>
    <xf numFmtId="165" fontId="31" fillId="0" borderId="110" xfId="0" applyNumberFormat="1" applyFont="1" applyFill="1" applyBorder="1" applyAlignment="1">
      <alignment horizontal="center" vertical="center"/>
    </xf>
    <xf numFmtId="165" fontId="172" fillId="28" borderId="110" xfId="0" applyNumberFormat="1" applyFont="1" applyFill="1" applyBorder="1" applyAlignment="1">
      <alignment horizontal="center" vertical="center"/>
    </xf>
    <xf numFmtId="0" fontId="169" fillId="28" borderId="167" xfId="0" applyFont="1" applyFill="1" applyBorder="1" applyAlignment="1" applyProtection="1">
      <alignment horizontal="left" vertical="center" indent="1"/>
      <protection locked="0"/>
    </xf>
    <xf numFmtId="0" fontId="12" fillId="28" borderId="7" xfId="0" applyFont="1" applyFill="1" applyBorder="1" applyAlignment="1" applyProtection="1">
      <alignment horizontal="left" vertical="center" indent="1"/>
      <protection locked="0"/>
    </xf>
    <xf numFmtId="164" fontId="12" fillId="28" borderId="55" xfId="0" applyNumberFormat="1" applyFont="1" applyFill="1" applyBorder="1" applyAlignment="1" applyProtection="1">
      <alignment vertical="center"/>
      <protection hidden="1"/>
    </xf>
    <xf numFmtId="165" fontId="177" fillId="28" borderId="278" xfId="0" applyNumberFormat="1" applyFont="1" applyFill="1" applyBorder="1" applyAlignment="1" applyProtection="1">
      <alignment horizontal="center" vertical="center"/>
      <protection hidden="1"/>
    </xf>
    <xf numFmtId="164" fontId="12" fillId="28" borderId="7" xfId="0" applyNumberFormat="1" applyFont="1" applyFill="1" applyBorder="1" applyAlignment="1" applyProtection="1">
      <alignment vertical="center"/>
      <protection hidden="1"/>
    </xf>
    <xf numFmtId="165" fontId="177" fillId="28" borderId="282" xfId="0" applyNumberFormat="1" applyFont="1" applyFill="1" applyBorder="1" applyAlignment="1" applyProtection="1">
      <alignment horizontal="center" vertical="center"/>
      <protection hidden="1"/>
    </xf>
    <xf numFmtId="165" fontId="177" fillId="28" borderId="111" xfId="0" applyNumberFormat="1" applyFont="1" applyFill="1" applyBorder="1" applyAlignment="1">
      <alignment horizontal="center" vertical="center"/>
    </xf>
    <xf numFmtId="10" fontId="157" fillId="40" borderId="9" xfId="0" applyNumberFormat="1" applyFont="1" applyFill="1" applyBorder="1" applyAlignment="1" applyProtection="1">
      <alignment horizontal="center" vertical="center"/>
      <protection locked="0"/>
    </xf>
    <xf numFmtId="10" fontId="157" fillId="40" borderId="121" xfId="0" applyNumberFormat="1" applyFont="1" applyFill="1" applyBorder="1" applyAlignment="1" applyProtection="1">
      <alignment horizontal="center" vertical="center"/>
      <protection locked="0"/>
    </xf>
    <xf numFmtId="164" fontId="175" fillId="0" borderId="236" xfId="0" applyNumberFormat="1" applyFont="1" applyBorder="1" applyAlignment="1" applyProtection="1">
      <alignment vertical="center"/>
      <protection hidden="1"/>
    </xf>
    <xf numFmtId="164" fontId="175" fillId="28" borderId="277" xfId="0" applyNumberFormat="1" applyFont="1" applyFill="1" applyBorder="1" applyAlignment="1" applyProtection="1">
      <alignment vertical="center"/>
      <protection hidden="1"/>
    </xf>
    <xf numFmtId="164" fontId="175" fillId="0" borderId="238" xfId="0" applyNumberFormat="1" applyFont="1" applyBorder="1" applyAlignment="1" applyProtection="1">
      <alignment vertical="center"/>
      <protection hidden="1"/>
    </xf>
    <xf numFmtId="164" fontId="175" fillId="28" borderId="281" xfId="0" applyNumberFormat="1" applyFont="1" applyFill="1" applyBorder="1" applyAlignment="1" applyProtection="1">
      <alignment vertical="center"/>
      <protection hidden="1"/>
    </xf>
    <xf numFmtId="164" fontId="175" fillId="28" borderId="9" xfId="0" applyNumberFormat="1" applyFont="1" applyFill="1" applyBorder="1" applyAlignment="1" applyProtection="1">
      <alignment vertical="center"/>
      <protection hidden="1"/>
    </xf>
    <xf numFmtId="164" fontId="175" fillId="28" borderId="121" xfId="0" applyNumberFormat="1" applyFont="1" applyFill="1" applyBorder="1" applyAlignment="1" applyProtection="1">
      <alignment vertical="center"/>
      <protection hidden="1"/>
    </xf>
    <xf numFmtId="0" fontId="106" fillId="28" borderId="94" xfId="0" applyFont="1" applyFill="1" applyBorder="1" applyAlignment="1">
      <alignment vertical="center"/>
    </xf>
    <xf numFmtId="0" fontId="106" fillId="28" borderId="41" xfId="0" applyFont="1" applyFill="1" applyBorder="1" applyAlignment="1">
      <alignment vertical="center"/>
    </xf>
    <xf numFmtId="164" fontId="12" fillId="0" borderId="236" xfId="0" applyNumberFormat="1" applyFont="1" applyBorder="1" applyAlignment="1" applyProtection="1">
      <alignment vertical="center"/>
      <protection hidden="1"/>
    </xf>
    <xf numFmtId="9" fontId="31" fillId="0" borderId="277" xfId="0" applyNumberFormat="1" applyFont="1" applyBorder="1" applyAlignment="1" applyProtection="1">
      <alignment horizontal="center" vertical="center"/>
      <protection hidden="1"/>
    </xf>
    <xf numFmtId="9" fontId="31" fillId="0" borderId="9" xfId="0" applyNumberFormat="1" applyFont="1" applyBorder="1" applyAlignment="1" applyProtection="1">
      <alignment horizontal="center" vertical="center"/>
      <protection hidden="1"/>
    </xf>
    <xf numFmtId="1" fontId="22" fillId="32" borderId="290" xfId="0" applyNumberFormat="1" applyFont="1" applyFill="1" applyBorder="1" applyAlignment="1" applyProtection="1">
      <alignment horizontal="center" vertical="center"/>
      <protection hidden="1"/>
    </xf>
    <xf numFmtId="9" fontId="24" fillId="32" borderId="291" xfId="0" applyNumberFormat="1" applyFont="1" applyFill="1" applyBorder="1" applyAlignment="1" applyProtection="1">
      <alignment horizontal="center" vertical="center"/>
      <protection hidden="1"/>
    </xf>
    <xf numFmtId="1" fontId="22" fillId="32" borderId="292" xfId="0" applyNumberFormat="1" applyFont="1" applyFill="1" applyBorder="1" applyAlignment="1" applyProtection="1">
      <alignment horizontal="center" vertical="center"/>
      <protection hidden="1"/>
    </xf>
    <xf numFmtId="9" fontId="24" fillId="32" borderId="293" xfId="0" applyNumberFormat="1" applyFont="1" applyFill="1" applyBorder="1" applyAlignment="1" applyProtection="1">
      <alignment horizontal="center" vertical="center"/>
      <protection hidden="1"/>
    </xf>
    <xf numFmtId="1" fontId="22" fillId="32" borderId="294" xfId="0" applyNumberFormat="1" applyFont="1" applyFill="1" applyBorder="1" applyAlignment="1" applyProtection="1">
      <alignment horizontal="center" vertical="center"/>
      <protection hidden="1"/>
    </xf>
    <xf numFmtId="1" fontId="22" fillId="32" borderId="295" xfId="0" applyNumberFormat="1" applyFont="1" applyFill="1" applyBorder="1" applyAlignment="1" applyProtection="1">
      <alignment horizontal="center" vertical="center"/>
      <protection hidden="1"/>
    </xf>
    <xf numFmtId="9" fontId="24" fillId="32" borderId="296" xfId="0" applyNumberFormat="1" applyFont="1" applyFill="1" applyBorder="1" applyAlignment="1" applyProtection="1">
      <alignment horizontal="center" vertical="center"/>
      <protection hidden="1"/>
    </xf>
    <xf numFmtId="0" fontId="169" fillId="21" borderId="167" xfId="0" applyFont="1" applyFill="1" applyBorder="1" applyAlignment="1">
      <alignment horizontal="left" vertical="center" indent="1"/>
    </xf>
    <xf numFmtId="0" fontId="12" fillId="21" borderId="7" xfId="0" applyFont="1" applyFill="1" applyBorder="1" applyAlignment="1">
      <alignment horizontal="left" vertical="center" indent="1"/>
    </xf>
    <xf numFmtId="164" fontId="12" fillId="21" borderId="237" xfId="0" applyNumberFormat="1" applyFont="1" applyFill="1" applyBorder="1" applyAlignment="1" applyProtection="1">
      <alignment vertical="center"/>
      <protection hidden="1"/>
    </xf>
    <xf numFmtId="9" fontId="31" fillId="21" borderId="278" xfId="0" applyNumberFormat="1" applyFont="1" applyFill="1" applyBorder="1" applyAlignment="1" applyProtection="1">
      <alignment horizontal="center" vertical="center"/>
      <protection hidden="1"/>
    </xf>
    <xf numFmtId="164" fontId="12" fillId="21" borderId="7" xfId="0" applyNumberFormat="1" applyFont="1" applyFill="1" applyBorder="1" applyAlignment="1" applyProtection="1">
      <alignment vertical="center"/>
      <protection hidden="1"/>
    </xf>
    <xf numFmtId="9" fontId="31" fillId="21" borderId="55" xfId="0" applyNumberFormat="1" applyFont="1" applyFill="1" applyBorder="1" applyAlignment="1" applyProtection="1">
      <alignment horizontal="center" vertical="center"/>
      <protection hidden="1"/>
    </xf>
    <xf numFmtId="9" fontId="31" fillId="21" borderId="96" xfId="0" applyNumberFormat="1" applyFont="1" applyFill="1" applyBorder="1" applyAlignment="1" applyProtection="1">
      <alignment horizontal="center" vertical="center"/>
      <protection hidden="1"/>
    </xf>
    <xf numFmtId="164" fontId="22" fillId="21" borderId="235" xfId="0" applyNumberFormat="1" applyFont="1" applyFill="1" applyBorder="1" applyAlignment="1" applyProtection="1">
      <alignment vertical="center"/>
      <protection hidden="1"/>
    </xf>
    <xf numFmtId="164" fontId="22" fillId="21" borderId="189" xfId="0" applyNumberFormat="1" applyFont="1" applyFill="1" applyBorder="1" applyAlignment="1" applyProtection="1">
      <alignment vertical="center"/>
      <protection hidden="1"/>
    </xf>
    <xf numFmtId="0" fontId="246" fillId="19" borderId="42" xfId="0" applyFont="1" applyFill="1" applyBorder="1" applyAlignment="1">
      <alignment horizontal="left" vertical="center" indent="1"/>
    </xf>
    <xf numFmtId="1" fontId="128" fillId="19" borderId="21" xfId="0" applyNumberFormat="1" applyFont="1" applyFill="1" applyBorder="1" applyAlignment="1" applyProtection="1">
      <alignment horizontal="center" vertical="center"/>
      <protection hidden="1"/>
    </xf>
    <xf numFmtId="9" fontId="186" fillId="19" borderId="191" xfId="0" applyNumberFormat="1" applyFont="1" applyFill="1" applyBorder="1" applyAlignment="1" applyProtection="1">
      <alignment horizontal="center" vertical="center"/>
      <protection hidden="1"/>
    </xf>
    <xf numFmtId="1" fontId="128" fillId="19" borderId="190" xfId="0" applyNumberFormat="1" applyFont="1" applyFill="1" applyBorder="1" applyAlignment="1" applyProtection="1">
      <alignment horizontal="center" vertical="center"/>
      <protection hidden="1"/>
    </xf>
    <xf numFmtId="164" fontId="22" fillId="41" borderId="21" xfId="0" applyNumberFormat="1" applyFont="1" applyFill="1" applyBorder="1" applyAlignment="1" applyProtection="1">
      <alignment vertical="center"/>
      <protection hidden="1"/>
    </xf>
    <xf numFmtId="165" fontId="172" fillId="28" borderId="277" xfId="0" applyNumberFormat="1" applyFont="1" applyFill="1" applyBorder="1" applyAlignment="1" applyProtection="1">
      <alignment horizontal="center" vertical="center"/>
      <protection hidden="1"/>
    </xf>
    <xf numFmtId="0" fontId="22" fillId="4" borderId="159" xfId="0" applyFont="1" applyFill="1" applyBorder="1" applyAlignment="1" applyProtection="1">
      <alignment horizontal="left" vertical="center" indent="1"/>
      <protection locked="0"/>
    </xf>
    <xf numFmtId="0" fontId="22" fillId="4" borderId="54" xfId="0" applyFont="1" applyFill="1" applyBorder="1" applyAlignment="1" applyProtection="1">
      <alignment horizontal="left" vertical="center" indent="1"/>
      <protection locked="0"/>
    </xf>
    <xf numFmtId="164" fontId="22" fillId="23" borderId="299" xfId="0" applyNumberFormat="1" applyFont="1" applyFill="1" applyBorder="1" applyAlignment="1" applyProtection="1">
      <alignment vertical="center"/>
      <protection hidden="1"/>
    </xf>
    <xf numFmtId="165" fontId="24" fillId="4" borderId="300" xfId="0" applyNumberFormat="1" applyFont="1" applyFill="1" applyBorder="1" applyAlignment="1" applyProtection="1">
      <alignment horizontal="center" vertical="center"/>
      <protection hidden="1"/>
    </xf>
    <xf numFmtId="164" fontId="22" fillId="4" borderId="54" xfId="0" applyNumberFormat="1" applyFont="1" applyFill="1" applyBorder="1" applyAlignment="1" applyProtection="1">
      <alignment vertical="center"/>
      <protection hidden="1"/>
    </xf>
    <xf numFmtId="165" fontId="24" fillId="4" borderId="298" xfId="0" applyNumberFormat="1" applyFont="1" applyFill="1" applyBorder="1" applyAlignment="1" applyProtection="1">
      <alignment horizontal="center" vertical="center"/>
      <protection hidden="1"/>
    </xf>
    <xf numFmtId="164" fontId="22" fillId="4" borderId="299" xfId="0" applyNumberFormat="1" applyFont="1" applyFill="1" applyBorder="1" applyAlignment="1" applyProtection="1">
      <alignment vertical="center"/>
      <protection hidden="1"/>
    </xf>
    <xf numFmtId="165" fontId="110" fillId="4" borderId="181" xfId="0" applyNumberFormat="1" applyFont="1" applyFill="1" applyBorder="1" applyAlignment="1">
      <alignment horizontal="center" vertical="center"/>
    </xf>
    <xf numFmtId="164" fontId="168" fillId="28" borderId="237" xfId="0" applyNumberFormat="1" applyFont="1" applyFill="1" applyBorder="1" applyAlignment="1" applyProtection="1">
      <alignment vertical="center"/>
      <protection hidden="1"/>
    </xf>
    <xf numFmtId="9" fontId="143" fillId="28" borderId="278" xfId="0" applyNumberFormat="1" applyFont="1" applyFill="1" applyBorder="1" applyAlignment="1">
      <alignment horizontal="center" vertical="center"/>
    </xf>
    <xf numFmtId="164" fontId="168" fillId="28" borderId="7" xfId="0" applyNumberFormat="1" applyFont="1" applyFill="1" applyBorder="1" applyAlignment="1" applyProtection="1">
      <alignment vertical="center"/>
      <protection hidden="1"/>
    </xf>
    <xf numFmtId="9" fontId="143" fillId="28" borderId="55" xfId="0" applyNumberFormat="1" applyFont="1" applyFill="1" applyBorder="1" applyAlignment="1">
      <alignment horizontal="center" vertical="center"/>
    </xf>
    <xf numFmtId="9" fontId="143" fillId="28" borderId="96" xfId="0" applyNumberFormat="1" applyFont="1" applyFill="1" applyBorder="1" applyAlignment="1">
      <alignment horizontal="center" vertical="center"/>
    </xf>
    <xf numFmtId="0" fontId="169" fillId="47" borderId="17" xfId="0" applyFont="1" applyFill="1" applyBorder="1" applyAlignment="1" applyProtection="1">
      <protection hidden="1"/>
    </xf>
    <xf numFmtId="0" fontId="169" fillId="28" borderId="17" xfId="0" applyFont="1" applyFill="1" applyBorder="1" applyAlignment="1" applyProtection="1">
      <protection locked="0"/>
    </xf>
    <xf numFmtId="164" fontId="26" fillId="47" borderId="40" xfId="0" applyNumberFormat="1" applyFont="1" applyFill="1" applyBorder="1" applyAlignment="1" applyProtection="1">
      <protection hidden="1"/>
    </xf>
    <xf numFmtId="165" fontId="177" fillId="28" borderId="41" xfId="0" applyNumberFormat="1" applyFont="1" applyFill="1" applyBorder="1" applyAlignment="1" applyProtection="1">
      <alignment horizontal="center" vertical="top"/>
      <protection hidden="1"/>
    </xf>
    <xf numFmtId="165" fontId="177" fillId="47" borderId="41" xfId="0" applyNumberFormat="1" applyFont="1" applyFill="1" applyBorder="1" applyAlignment="1" applyProtection="1">
      <alignment horizontal="center" vertical="top"/>
      <protection hidden="1"/>
    </xf>
    <xf numFmtId="165" fontId="177" fillId="28" borderId="15" xfId="0" applyNumberFormat="1" applyFont="1" applyFill="1" applyBorder="1" applyAlignment="1" applyProtection="1">
      <alignment horizontal="center" vertical="top"/>
      <protection hidden="1"/>
    </xf>
    <xf numFmtId="1" fontId="22" fillId="32" borderId="36" xfId="0" applyNumberFormat="1" applyFont="1" applyFill="1" applyBorder="1" applyAlignment="1" applyProtection="1">
      <alignment horizontal="center"/>
      <protection hidden="1"/>
    </xf>
    <xf numFmtId="0" fontId="169" fillId="0" borderId="14" xfId="0" applyFont="1" applyBorder="1" applyAlignment="1" applyProtection="1">
      <alignment horizontal="left" vertical="center" indent="1"/>
      <protection locked="0"/>
    </xf>
    <xf numFmtId="0" fontId="169" fillId="28" borderId="24" xfId="0" applyFont="1" applyFill="1" applyBorder="1" applyAlignment="1" applyProtection="1">
      <alignment horizontal="right" vertical="center"/>
      <protection locked="0"/>
    </xf>
    <xf numFmtId="0" fontId="169" fillId="28" borderId="9" xfId="0" applyFont="1" applyFill="1" applyBorder="1" applyAlignment="1" applyProtection="1">
      <alignment horizontal="right" vertical="center"/>
      <protection locked="0"/>
    </xf>
    <xf numFmtId="0" fontId="169" fillId="28" borderId="25" xfId="0" applyFont="1" applyFill="1" applyBorder="1" applyAlignment="1" applyProtection="1">
      <alignment horizontal="left" vertical="center"/>
      <protection locked="0"/>
    </xf>
    <xf numFmtId="0" fontId="169" fillId="28" borderId="250" xfId="0" applyFont="1" applyFill="1" applyBorder="1" applyAlignment="1" applyProtection="1">
      <alignment horizontal="left" vertical="center"/>
      <protection locked="0"/>
    </xf>
    <xf numFmtId="164" fontId="12" fillId="43" borderId="93" xfId="0" applyNumberFormat="1" applyFont="1" applyFill="1" applyBorder="1" applyAlignment="1" applyProtection="1">
      <alignment vertical="center"/>
      <protection locked="0"/>
    </xf>
    <xf numFmtId="0" fontId="0" fillId="43" borderId="90" xfId="0" applyFill="1" applyBorder="1" applyAlignment="1">
      <alignment vertical="center"/>
    </xf>
    <xf numFmtId="0" fontId="0" fillId="43" borderId="107" xfId="0" applyFill="1" applyBorder="1" applyAlignment="1">
      <alignment vertical="center"/>
    </xf>
    <xf numFmtId="0" fontId="169" fillId="0" borderId="74" xfId="0" applyFont="1" applyBorder="1" applyAlignment="1" applyProtection="1">
      <alignment horizontal="left" vertical="center" indent="1"/>
      <protection locked="0"/>
    </xf>
    <xf numFmtId="0" fontId="28" fillId="0" borderId="74" xfId="0" applyFont="1" applyBorder="1" applyAlignment="1" applyProtection="1">
      <alignment horizontal="left" vertical="center" indent="1"/>
      <protection locked="0"/>
    </xf>
    <xf numFmtId="0" fontId="12" fillId="0" borderId="74" xfId="0" applyFont="1" applyBorder="1" applyAlignment="1" applyProtection="1">
      <alignment horizontal="left" vertical="center" indent="1"/>
      <protection locked="0"/>
    </xf>
    <xf numFmtId="0" fontId="27" fillId="0" borderId="74" xfId="0" applyFont="1" applyBorder="1" applyAlignment="1" applyProtection="1">
      <alignment horizontal="left" vertical="center" indent="1"/>
      <protection locked="0"/>
    </xf>
    <xf numFmtId="0" fontId="22" fillId="49" borderId="42" xfId="0" applyFont="1" applyFill="1" applyBorder="1" applyAlignment="1" applyProtection="1">
      <alignment horizontal="left" vertical="center" indent="1"/>
      <protection locked="0"/>
    </xf>
    <xf numFmtId="0" fontId="22" fillId="49" borderId="207" xfId="0" applyFont="1" applyFill="1" applyBorder="1" applyAlignment="1" applyProtection="1">
      <alignment horizontal="right" vertical="center"/>
      <protection locked="0"/>
    </xf>
    <xf numFmtId="0" fontId="22" fillId="49" borderId="16" xfId="0" applyFont="1" applyFill="1" applyBorder="1" applyAlignment="1" applyProtection="1">
      <alignment vertical="center"/>
      <protection locked="0"/>
    </xf>
    <xf numFmtId="164" fontId="22" fillId="49" borderId="19" xfId="0" applyNumberFormat="1" applyFont="1" applyFill="1" applyBorder="1" applyAlignment="1" applyProtection="1">
      <alignment vertical="center"/>
      <protection hidden="1"/>
    </xf>
    <xf numFmtId="164" fontId="22" fillId="49" borderId="43" xfId="0" applyNumberFormat="1" applyFont="1" applyFill="1" applyBorder="1" applyAlignment="1" applyProtection="1">
      <alignment vertical="center"/>
      <protection hidden="1"/>
    </xf>
    <xf numFmtId="164" fontId="22" fillId="49" borderId="42" xfId="0" applyNumberFormat="1" applyFont="1" applyFill="1" applyBorder="1" applyAlignment="1" applyProtection="1">
      <alignment vertical="center"/>
      <protection hidden="1"/>
    </xf>
    <xf numFmtId="164" fontId="20" fillId="27" borderId="159" xfId="0" applyNumberFormat="1" applyFont="1" applyFill="1" applyBorder="1" applyAlignment="1" applyProtection="1">
      <alignment vertical="center"/>
      <protection hidden="1"/>
    </xf>
    <xf numFmtId="0" fontId="169" fillId="50" borderId="17" xfId="0" applyFont="1" applyFill="1" applyBorder="1" applyAlignment="1" applyProtection="1">
      <protection hidden="1"/>
    </xf>
    <xf numFmtId="164" fontId="85" fillId="50" borderId="40" xfId="0" applyNumberFormat="1" applyFont="1" applyFill="1" applyBorder="1" applyAlignment="1" applyProtection="1">
      <protection locked="0"/>
    </xf>
    <xf numFmtId="165" fontId="177" fillId="50" borderId="41" xfId="0" applyNumberFormat="1" applyFont="1" applyFill="1" applyBorder="1" applyAlignment="1" applyProtection="1">
      <alignment horizontal="center" vertical="top"/>
      <protection hidden="1"/>
    </xf>
    <xf numFmtId="164" fontId="85" fillId="50" borderId="14" xfId="0" applyNumberFormat="1" applyFont="1" applyFill="1" applyBorder="1" applyAlignment="1" applyProtection="1">
      <protection locked="0"/>
    </xf>
    <xf numFmtId="165" fontId="177" fillId="50" borderId="15" xfId="0" applyNumberFormat="1" applyFont="1" applyFill="1" applyBorder="1" applyAlignment="1" applyProtection="1">
      <alignment horizontal="center" vertical="top"/>
      <protection hidden="1"/>
    </xf>
    <xf numFmtId="164" fontId="26" fillId="47" borderId="14" xfId="0" applyNumberFormat="1" applyFont="1" applyFill="1" applyBorder="1" applyAlignment="1" applyProtection="1">
      <protection hidden="1"/>
    </xf>
    <xf numFmtId="165" fontId="177" fillId="47" borderId="15" xfId="0" applyNumberFormat="1" applyFont="1" applyFill="1" applyBorder="1" applyAlignment="1" applyProtection="1">
      <alignment horizontal="center" vertical="top"/>
      <protection hidden="1"/>
    </xf>
    <xf numFmtId="0" fontId="169" fillId="28" borderId="274" xfId="0" applyFont="1" applyFill="1" applyBorder="1" applyAlignment="1" applyProtection="1">
      <alignment vertical="center"/>
      <protection locked="0"/>
    </xf>
    <xf numFmtId="165" fontId="177" fillId="28" borderId="49" xfId="0" applyNumberFormat="1" applyFont="1" applyFill="1" applyBorder="1" applyAlignment="1" applyProtection="1">
      <alignment horizontal="center" vertical="top"/>
      <protection hidden="1"/>
    </xf>
    <xf numFmtId="164" fontId="85" fillId="50" borderId="301" xfId="0" applyNumberFormat="1" applyFont="1" applyFill="1" applyBorder="1" applyAlignment="1" applyProtection="1">
      <protection locked="0"/>
    </xf>
    <xf numFmtId="165" fontId="177" fillId="50" borderId="49" xfId="0" applyNumberFormat="1" applyFont="1" applyFill="1" applyBorder="1" applyAlignment="1" applyProtection="1">
      <alignment horizontal="center" vertical="top"/>
      <protection hidden="1"/>
    </xf>
    <xf numFmtId="164" fontId="26" fillId="47" borderId="301" xfId="0" applyNumberFormat="1" applyFont="1" applyFill="1" applyBorder="1" applyAlignment="1" applyProtection="1">
      <protection hidden="1"/>
    </xf>
    <xf numFmtId="165" fontId="177" fillId="47" borderId="49" xfId="0" applyNumberFormat="1" applyFont="1" applyFill="1" applyBorder="1" applyAlignment="1" applyProtection="1">
      <alignment horizontal="center" vertical="top"/>
      <protection hidden="1"/>
    </xf>
    <xf numFmtId="164" fontId="12" fillId="0" borderId="301" xfId="0" applyNumberFormat="1" applyFont="1" applyBorder="1" applyAlignment="1" applyProtection="1">
      <alignment vertical="center"/>
      <protection locked="0"/>
    </xf>
    <xf numFmtId="164" fontId="12" fillId="0" borderId="10" xfId="0" applyNumberFormat="1" applyFont="1" applyBorder="1" applyAlignment="1" applyProtection="1">
      <alignment vertical="center"/>
      <protection locked="0"/>
    </xf>
    <xf numFmtId="164" fontId="12" fillId="0" borderId="302" xfId="0" applyNumberFormat="1" applyFont="1" applyBorder="1" applyAlignment="1" applyProtection="1">
      <alignment vertical="center"/>
      <protection locked="0"/>
    </xf>
    <xf numFmtId="164" fontId="27" fillId="0" borderId="302" xfId="0" applyNumberFormat="1" applyFont="1" applyBorder="1" applyAlignment="1" applyProtection="1">
      <alignment vertical="center"/>
      <protection hidden="1"/>
    </xf>
    <xf numFmtId="164" fontId="28" fillId="0" borderId="10" xfId="0" applyNumberFormat="1" applyFont="1" applyBorder="1" applyAlignment="1" applyProtection="1">
      <alignment vertical="center"/>
      <protection locked="0"/>
    </xf>
    <xf numFmtId="164" fontId="20" fillId="27" borderId="244" xfId="0" applyNumberFormat="1" applyFont="1" applyFill="1" applyBorder="1" applyAlignment="1" applyProtection="1">
      <alignment vertical="center"/>
      <protection hidden="1"/>
    </xf>
    <xf numFmtId="164" fontId="20" fillId="9" borderId="244" xfId="0" applyNumberFormat="1" applyFont="1" applyFill="1" applyBorder="1" applyAlignment="1" applyProtection="1">
      <alignment vertical="center"/>
      <protection hidden="1"/>
    </xf>
    <xf numFmtId="164" fontId="31" fillId="0" borderId="302" xfId="0" applyNumberFormat="1" applyFont="1" applyBorder="1" applyAlignment="1" applyProtection="1">
      <alignment vertical="center"/>
      <protection locked="0"/>
    </xf>
    <xf numFmtId="164" fontId="80" fillId="0" borderId="302" xfId="0" applyNumberFormat="1" applyFont="1" applyBorder="1" applyAlignment="1" applyProtection="1">
      <alignment vertical="center"/>
      <protection locked="0"/>
    </xf>
    <xf numFmtId="164" fontId="31" fillId="0" borderId="10" xfId="0" applyNumberFormat="1" applyFont="1" applyFill="1" applyBorder="1" applyAlignment="1" applyProtection="1">
      <alignment vertical="center"/>
      <protection locked="0"/>
    </xf>
    <xf numFmtId="164" fontId="31" fillId="0" borderId="10" xfId="0" applyNumberFormat="1" applyFont="1" applyBorder="1" applyAlignment="1" applyProtection="1">
      <alignment vertical="center"/>
      <protection locked="0"/>
    </xf>
    <xf numFmtId="164" fontId="20" fillId="27" borderId="71" xfId="0" applyNumberFormat="1" applyFont="1" applyFill="1" applyBorder="1" applyAlignment="1" applyProtection="1">
      <protection hidden="1"/>
    </xf>
    <xf numFmtId="164" fontId="20" fillId="9" borderId="71" xfId="0" applyNumberFormat="1" applyFont="1" applyFill="1" applyBorder="1" applyAlignment="1" applyProtection="1">
      <protection hidden="1"/>
    </xf>
    <xf numFmtId="165" fontId="172" fillId="9" borderId="49" xfId="0" applyNumberFormat="1" applyFont="1" applyFill="1" applyBorder="1" applyAlignment="1" applyProtection="1">
      <alignment horizontal="center" vertical="top"/>
      <protection hidden="1"/>
    </xf>
    <xf numFmtId="164" fontId="12" fillId="0" borderId="302" xfId="0" applyNumberFormat="1" applyFont="1" applyFill="1" applyBorder="1" applyAlignment="1" applyProtection="1">
      <alignment vertical="center"/>
      <protection locked="0"/>
    </xf>
    <xf numFmtId="164" fontId="12" fillId="0" borderId="303" xfId="0" applyNumberFormat="1" applyFont="1" applyBorder="1" applyAlignment="1" applyProtection="1">
      <alignment vertical="center"/>
      <protection hidden="1"/>
    </xf>
    <xf numFmtId="165" fontId="102" fillId="0" borderId="304" xfId="0" applyNumberFormat="1" applyFont="1" applyBorder="1" applyAlignment="1" applyProtection="1">
      <alignment horizontal="center" vertical="top"/>
      <protection hidden="1"/>
    </xf>
    <xf numFmtId="164" fontId="27" fillId="0" borderId="10" xfId="0" applyNumberFormat="1" applyFont="1" applyFill="1" applyBorder="1" applyAlignment="1" applyProtection="1">
      <alignment vertical="center"/>
      <protection hidden="1"/>
    </xf>
    <xf numFmtId="164" fontId="140" fillId="27" borderId="71" xfId="0" applyNumberFormat="1" applyFont="1" applyFill="1" applyBorder="1" applyAlignment="1" applyProtection="1">
      <protection hidden="1"/>
    </xf>
    <xf numFmtId="165" fontId="172" fillId="27" borderId="10" xfId="0" applyNumberFormat="1" applyFont="1" applyFill="1" applyBorder="1" applyAlignment="1" applyProtection="1">
      <alignment horizontal="center" vertical="top"/>
      <protection hidden="1"/>
    </xf>
    <xf numFmtId="165" fontId="42" fillId="27" borderId="10" xfId="0" applyNumberFormat="1" applyFont="1" applyFill="1" applyBorder="1" applyAlignment="1" applyProtection="1">
      <alignment horizontal="center" vertical="top"/>
      <protection hidden="1"/>
    </xf>
    <xf numFmtId="165" fontId="183" fillId="27" borderId="253" xfId="0" applyNumberFormat="1" applyFont="1" applyFill="1" applyBorder="1" applyAlignment="1" applyProtection="1">
      <alignment horizontal="center" vertical="center"/>
      <protection hidden="1"/>
    </xf>
    <xf numFmtId="164" fontId="12" fillId="0" borderId="305" xfId="0" applyNumberFormat="1" applyFont="1" applyBorder="1" applyAlignment="1" applyProtection="1">
      <alignment vertical="center"/>
      <protection locked="0"/>
    </xf>
    <xf numFmtId="0" fontId="169" fillId="0" borderId="208" xfId="0" applyFont="1" applyBorder="1" applyAlignment="1" applyProtection="1">
      <alignment horizontal="left" vertical="center" indent="1"/>
      <protection locked="0"/>
    </xf>
    <xf numFmtId="0" fontId="12" fillId="0" borderId="208" xfId="0" applyFont="1" applyBorder="1" applyAlignment="1" applyProtection="1">
      <alignment horizontal="left" vertical="center" wrapText="1" indent="1"/>
      <protection locked="0"/>
    </xf>
    <xf numFmtId="0" fontId="27" fillId="0" borderId="208" xfId="0" applyFont="1" applyBorder="1" applyAlignment="1" applyProtection="1">
      <alignment horizontal="left" vertical="center" indent="1"/>
      <protection locked="0"/>
    </xf>
    <xf numFmtId="0" fontId="169" fillId="28" borderId="24" xfId="0" applyFont="1" applyFill="1" applyBorder="1" applyAlignment="1" applyProtection="1">
      <alignment horizontal="right"/>
      <protection locked="0"/>
    </xf>
    <xf numFmtId="0" fontId="169" fillId="28" borderId="306" xfId="0" applyFont="1" applyFill="1" applyBorder="1" applyAlignment="1" applyProtection="1">
      <alignment horizontal="right" vertical="center"/>
      <protection locked="0"/>
    </xf>
    <xf numFmtId="0" fontId="169" fillId="28" borderId="307" xfId="0" applyFont="1" applyFill="1" applyBorder="1" applyAlignment="1" applyProtection="1">
      <alignment horizontal="right" vertical="center"/>
      <protection locked="0"/>
    </xf>
    <xf numFmtId="0" fontId="169" fillId="0" borderId="24" xfId="0" applyFont="1" applyBorder="1" applyAlignment="1" applyProtection="1">
      <alignment horizontal="left" vertical="center" indent="1"/>
      <protection locked="0"/>
    </xf>
    <xf numFmtId="0" fontId="169" fillId="0" borderId="307" xfId="0" applyFont="1" applyBorder="1" applyAlignment="1" applyProtection="1">
      <alignment horizontal="left" vertical="center" indent="1"/>
      <protection locked="0"/>
    </xf>
    <xf numFmtId="0" fontId="12" fillId="0" borderId="307" xfId="0" applyFont="1" applyBorder="1" applyAlignment="1" applyProtection="1">
      <alignment horizontal="left" vertical="center" wrapText="1" indent="1"/>
      <protection locked="0"/>
    </xf>
    <xf numFmtId="0" fontId="27" fillId="0" borderId="307" xfId="0" applyFont="1" applyBorder="1" applyAlignment="1" applyProtection="1">
      <alignment horizontal="left" vertical="center" indent="1"/>
      <protection locked="0"/>
    </xf>
    <xf numFmtId="0" fontId="169" fillId="0" borderId="9" xfId="0" applyFont="1" applyBorder="1" applyAlignment="1" applyProtection="1">
      <alignment horizontal="left" vertical="center" indent="1"/>
      <protection locked="0"/>
    </xf>
    <xf numFmtId="0" fontId="31" fillId="0" borderId="208" xfId="0" quotePrefix="1" applyFont="1" applyBorder="1" applyAlignment="1" applyProtection="1">
      <alignment horizontal="left" vertical="center" indent="1"/>
      <protection locked="0"/>
    </xf>
    <xf numFmtId="0" fontId="32" fillId="0" borderId="208" xfId="0" applyFont="1" applyBorder="1" applyAlignment="1" applyProtection="1">
      <alignment horizontal="left" vertical="center" indent="3"/>
      <protection locked="0"/>
    </xf>
    <xf numFmtId="0" fontId="31" fillId="0" borderId="74" xfId="0" quotePrefix="1" applyFont="1" applyBorder="1" applyAlignment="1" applyProtection="1">
      <alignment horizontal="left" vertical="center" indent="1"/>
      <protection locked="0"/>
    </xf>
    <xf numFmtId="0" fontId="169" fillId="0" borderId="166" xfId="0" applyFont="1" applyBorder="1" applyAlignment="1" applyProtection="1">
      <alignment horizontal="left" vertical="center" indent="1"/>
      <protection locked="0"/>
    </xf>
    <xf numFmtId="0" fontId="169" fillId="0" borderId="204" xfId="0" applyFont="1" applyBorder="1" applyAlignment="1" applyProtection="1">
      <alignment horizontal="left" vertical="center" indent="1"/>
      <protection locked="0"/>
    </xf>
    <xf numFmtId="0" fontId="169" fillId="40" borderId="307" xfId="0" applyFont="1" applyFill="1" applyBorder="1" applyAlignment="1" applyProtection="1">
      <alignment horizontal="right" vertical="center"/>
      <protection locked="0"/>
    </xf>
    <xf numFmtId="0" fontId="169" fillId="28" borderId="247" xfId="0" applyFont="1" applyFill="1" applyBorder="1" applyAlignment="1" applyProtection="1">
      <alignment horizontal="right" vertical="center"/>
      <protection locked="0"/>
    </xf>
    <xf numFmtId="0" fontId="169" fillId="0" borderId="211" xfId="0" quotePrefix="1" applyFont="1" applyBorder="1" applyAlignment="1" applyProtection="1">
      <alignment horizontal="left" vertical="center" indent="1"/>
      <protection locked="0"/>
    </xf>
    <xf numFmtId="0" fontId="102" fillId="0" borderId="213" xfId="0" applyFont="1" applyBorder="1" applyAlignment="1" applyProtection="1">
      <alignment horizontal="left" vertical="top" indent="2"/>
      <protection locked="0"/>
    </xf>
    <xf numFmtId="0" fontId="27" fillId="0" borderId="204" xfId="0" applyFont="1" applyBorder="1" applyAlignment="1" applyProtection="1">
      <alignment horizontal="left" vertical="center" indent="1"/>
      <protection locked="0"/>
    </xf>
    <xf numFmtId="0" fontId="31" fillId="0" borderId="208" xfId="0" quotePrefix="1" applyFont="1" applyBorder="1" applyAlignment="1" applyProtection="1">
      <alignment horizontal="left" vertical="center" indent="1"/>
      <protection hidden="1"/>
    </xf>
    <xf numFmtId="0" fontId="169" fillId="0" borderId="215" xfId="0" applyFont="1" applyBorder="1" applyAlignment="1" applyProtection="1">
      <alignment horizontal="left" vertical="center" indent="1"/>
      <protection locked="0"/>
    </xf>
    <xf numFmtId="0" fontId="144" fillId="0" borderId="208" xfId="0" applyFont="1" applyBorder="1" applyAlignment="1" applyProtection="1">
      <alignment horizontal="left" vertical="center" indent="1"/>
      <protection locked="0"/>
    </xf>
    <xf numFmtId="0" fontId="144" fillId="0" borderId="211" xfId="0" applyFont="1" applyBorder="1" applyAlignment="1" applyProtection="1">
      <alignment horizontal="left" vertical="center" indent="1"/>
      <protection locked="0"/>
    </xf>
    <xf numFmtId="0" fontId="22" fillId="28" borderId="312" xfId="0" applyFont="1" applyFill="1" applyBorder="1" applyAlignment="1" applyProtection="1">
      <alignment horizontal="right" vertical="center"/>
      <protection locked="0"/>
    </xf>
    <xf numFmtId="0" fontId="22" fillId="28" borderId="313" xfId="0" applyFont="1" applyFill="1" applyBorder="1" applyAlignment="1" applyProtection="1">
      <alignment horizontal="right" vertical="center"/>
      <protection locked="0"/>
    </xf>
    <xf numFmtId="0" fontId="22" fillId="28" borderId="9" xfId="0" applyFont="1" applyFill="1" applyBorder="1" applyAlignment="1" applyProtection="1">
      <alignment horizontal="right" vertical="center"/>
      <protection locked="0"/>
    </xf>
    <xf numFmtId="0" fontId="169" fillId="40" borderId="9" xfId="0" applyFont="1" applyFill="1" applyBorder="1" applyAlignment="1" applyProtection="1">
      <alignment horizontal="right" vertical="center"/>
      <protection locked="0"/>
    </xf>
    <xf numFmtId="0" fontId="194" fillId="28" borderId="307" xfId="0" applyFont="1" applyFill="1" applyBorder="1" applyAlignment="1" applyProtection="1">
      <alignment horizontal="right" vertical="center"/>
      <protection hidden="1"/>
    </xf>
    <xf numFmtId="0" fontId="169" fillId="28" borderId="311" xfId="0" applyFont="1" applyFill="1" applyBorder="1" applyAlignment="1" applyProtection="1">
      <alignment horizontal="right" vertical="center"/>
      <protection locked="0"/>
    </xf>
    <xf numFmtId="9" fontId="169" fillId="28" borderId="314" xfId="0" applyNumberFormat="1" applyFont="1" applyFill="1" applyBorder="1" applyAlignment="1" applyProtection="1">
      <alignment vertical="center"/>
      <protection locked="0"/>
    </xf>
    <xf numFmtId="0" fontId="169" fillId="0" borderId="199" xfId="0" applyFont="1" applyBorder="1" applyAlignment="1" applyProtection="1">
      <alignment horizontal="left" vertical="center" indent="1"/>
      <protection locked="0"/>
    </xf>
    <xf numFmtId="0" fontId="169" fillId="0" borderId="197" xfId="0" applyFont="1" applyFill="1" applyBorder="1" applyAlignment="1" applyProtection="1">
      <alignment horizontal="left" vertical="center" indent="1"/>
      <protection locked="0"/>
    </xf>
    <xf numFmtId="9" fontId="169" fillId="28" borderId="105" xfId="0" applyNumberFormat="1" applyFont="1" applyFill="1" applyBorder="1" applyAlignment="1" applyProtection="1">
      <alignment vertical="center"/>
      <protection locked="0"/>
    </xf>
    <xf numFmtId="0" fontId="31" fillId="0" borderId="208" xfId="0" applyFont="1" applyBorder="1" applyAlignment="1" applyProtection="1">
      <alignment horizontal="left" vertical="center" indent="2"/>
      <protection locked="0"/>
    </xf>
    <xf numFmtId="0" fontId="169" fillId="0" borderId="222" xfId="0" applyFont="1" applyBorder="1" applyAlignment="1" applyProtection="1">
      <alignment horizontal="left" vertical="center" indent="1"/>
      <protection locked="0"/>
    </xf>
    <xf numFmtId="0" fontId="31" fillId="0" borderId="204" xfId="0" applyFont="1" applyBorder="1" applyAlignment="1" applyProtection="1">
      <alignment horizontal="left" vertical="center" indent="2"/>
      <protection locked="0"/>
    </xf>
    <xf numFmtId="0" fontId="178" fillId="43" borderId="197" xfId="1" applyFont="1" applyFill="1" applyBorder="1" applyAlignment="1" applyProtection="1">
      <alignment horizontal="left" vertical="center" indent="1"/>
      <protection locked="0"/>
    </xf>
    <xf numFmtId="0" fontId="12" fillId="0" borderId="268" xfId="0" applyFont="1" applyBorder="1" applyAlignment="1" applyProtection="1">
      <alignment horizontal="left" vertical="center" indent="1"/>
      <protection locked="0"/>
    </xf>
    <xf numFmtId="0" fontId="169" fillId="28" borderId="315" xfId="0" applyFont="1" applyFill="1" applyBorder="1" applyAlignment="1" applyProtection="1">
      <alignment horizontal="right" vertical="center"/>
      <protection locked="0"/>
    </xf>
    <xf numFmtId="0" fontId="146" fillId="43" borderId="247" xfId="1" applyFont="1" applyFill="1" applyBorder="1" applyAlignment="1" applyProtection="1">
      <alignment horizontal="right" vertical="center"/>
      <protection locked="0"/>
    </xf>
    <xf numFmtId="164" fontId="12" fillId="0" borderId="316" xfId="0" applyNumberFormat="1" applyFont="1" applyBorder="1" applyAlignment="1" applyProtection="1">
      <alignment vertical="center"/>
      <protection locked="0"/>
    </xf>
    <xf numFmtId="164" fontId="184" fillId="28" borderId="253" xfId="0" applyNumberFormat="1" applyFont="1" applyFill="1" applyBorder="1" applyAlignment="1" applyProtection="1">
      <alignment vertical="center"/>
      <protection hidden="1"/>
    </xf>
    <xf numFmtId="164" fontId="27" fillId="0" borderId="302" xfId="0" applyNumberFormat="1" applyFont="1" applyFill="1" applyBorder="1" applyAlignment="1" applyProtection="1">
      <alignment vertical="center"/>
      <protection hidden="1"/>
    </xf>
    <xf numFmtId="164" fontId="146" fillId="43" borderId="253" xfId="1" applyNumberFormat="1" applyFont="1" applyFill="1" applyBorder="1" applyAlignment="1" applyProtection="1">
      <alignment vertical="center"/>
      <protection hidden="1"/>
    </xf>
    <xf numFmtId="164" fontId="12" fillId="0" borderId="317" xfId="0" applyNumberFormat="1" applyFont="1" applyBorder="1" applyAlignment="1" applyProtection="1">
      <alignment vertical="center"/>
      <protection locked="0"/>
    </xf>
    <xf numFmtId="164" fontId="12" fillId="0" borderId="318" xfId="0" applyNumberFormat="1" applyFont="1" applyBorder="1" applyAlignment="1" applyProtection="1">
      <alignment vertical="center"/>
      <protection locked="0"/>
    </xf>
    <xf numFmtId="164" fontId="27" fillId="0" borderId="319" xfId="0" applyNumberFormat="1" applyFont="1" applyFill="1" applyBorder="1" applyAlignment="1" applyProtection="1">
      <alignment vertical="center"/>
      <protection hidden="1"/>
    </xf>
    <xf numFmtId="164" fontId="15" fillId="0" borderId="253" xfId="0" applyNumberFormat="1" applyFont="1" applyFill="1" applyBorder="1" applyAlignment="1" applyProtection="1">
      <alignment vertical="center"/>
      <protection hidden="1"/>
    </xf>
    <xf numFmtId="164" fontId="141" fillId="27" borderId="71" xfId="0" applyNumberFormat="1" applyFont="1" applyFill="1" applyBorder="1" applyAlignment="1" applyProtection="1">
      <protection hidden="1"/>
    </xf>
    <xf numFmtId="165" fontId="183" fillId="27" borderId="73" xfId="0" applyNumberFormat="1" applyFont="1" applyFill="1" applyBorder="1" applyAlignment="1" applyProtection="1">
      <alignment horizontal="center" vertical="top"/>
      <protection hidden="1"/>
    </xf>
    <xf numFmtId="164" fontId="13" fillId="0" borderId="10" xfId="0" applyNumberFormat="1" applyFont="1" applyBorder="1" applyAlignment="1" applyProtection="1">
      <alignment vertical="center"/>
      <protection locked="0"/>
    </xf>
    <xf numFmtId="164" fontId="15" fillId="28" borderId="243" xfId="0" applyNumberFormat="1" applyFont="1" applyFill="1" applyBorder="1" applyAlignment="1" applyProtection="1">
      <alignment vertical="center"/>
      <protection hidden="1"/>
    </xf>
    <xf numFmtId="164" fontId="12" fillId="0" borderId="301" xfId="0" applyNumberFormat="1" applyFont="1" applyBorder="1" applyAlignment="1" applyProtection="1">
      <alignment horizontal="right"/>
      <protection hidden="1"/>
    </xf>
    <xf numFmtId="165" fontId="177" fillId="0" borderId="10" xfId="0" applyNumberFormat="1" applyFont="1" applyBorder="1" applyAlignment="1" applyProtection="1">
      <alignment horizontal="center" vertical="top"/>
      <protection hidden="1"/>
    </xf>
    <xf numFmtId="165" fontId="177" fillId="0" borderId="49" xfId="0" applyNumberFormat="1" applyFont="1" applyBorder="1" applyAlignment="1" applyProtection="1">
      <alignment horizontal="center" vertical="top"/>
      <protection hidden="1"/>
    </xf>
    <xf numFmtId="164" fontId="12" fillId="0" borderId="320" xfId="0" applyNumberFormat="1" applyFont="1" applyBorder="1" applyAlignment="1" applyProtection="1">
      <alignment horizontal="right" vertical="center"/>
      <protection hidden="1"/>
    </xf>
    <xf numFmtId="164" fontId="12" fillId="0" borderId="49" xfId="0" applyNumberFormat="1" applyFont="1" applyBorder="1" applyAlignment="1" applyProtection="1">
      <alignment horizontal="right" vertical="center"/>
      <protection hidden="1"/>
    </xf>
    <xf numFmtId="164" fontId="147" fillId="28" borderId="301" xfId="0" applyNumberFormat="1" applyFont="1" applyFill="1" applyBorder="1" applyAlignment="1" applyProtection="1">
      <alignment horizontal="right"/>
      <protection hidden="1"/>
    </xf>
    <xf numFmtId="165" fontId="177" fillId="28" borderId="10" xfId="0" applyNumberFormat="1" applyFont="1" applyFill="1" applyBorder="1" applyAlignment="1" applyProtection="1">
      <alignment horizontal="center" vertical="top"/>
      <protection hidden="1"/>
    </xf>
    <xf numFmtId="164" fontId="44" fillId="29" borderId="71" xfId="0" applyNumberFormat="1" applyFont="1" applyFill="1" applyBorder="1" applyAlignment="1" applyProtection="1">
      <protection hidden="1"/>
    </xf>
    <xf numFmtId="165" fontId="176" fillId="7" borderId="73" xfId="0" applyNumberFormat="1" applyFont="1" applyFill="1" applyBorder="1" applyAlignment="1" applyProtection="1">
      <alignment horizontal="center" vertical="top"/>
      <protection hidden="1"/>
    </xf>
    <xf numFmtId="164" fontId="44" fillId="30" borderId="10" xfId="0" applyNumberFormat="1" applyFont="1" applyFill="1" applyBorder="1" applyAlignment="1" applyProtection="1">
      <protection hidden="1"/>
    </xf>
    <xf numFmtId="165" fontId="176" fillId="30" borderId="49" xfId="0" applyNumberFormat="1" applyFont="1" applyFill="1" applyBorder="1" applyAlignment="1" applyProtection="1">
      <alignment horizontal="center" vertical="top"/>
      <protection hidden="1"/>
    </xf>
    <xf numFmtId="164" fontId="12" fillId="0" borderId="320" xfId="0" applyNumberFormat="1" applyFont="1" applyBorder="1" applyAlignment="1" applyProtection="1">
      <alignment horizontal="right" vertical="center"/>
      <protection locked="0"/>
    </xf>
    <xf numFmtId="164" fontId="12" fillId="0" borderId="10" xfId="0" applyNumberFormat="1" applyFont="1" applyBorder="1" applyAlignment="1" applyProtection="1">
      <alignment horizontal="right" vertical="center"/>
      <protection locked="0"/>
    </xf>
    <xf numFmtId="164" fontId="12" fillId="0" borderId="302" xfId="0" applyNumberFormat="1" applyFont="1" applyBorder="1" applyAlignment="1" applyProtection="1">
      <alignment horizontal="right" vertical="center"/>
      <protection locked="0"/>
    </xf>
    <xf numFmtId="164" fontId="15" fillId="28" borderId="244" xfId="0" applyNumberFormat="1" applyFont="1" applyFill="1" applyBorder="1" applyAlignment="1" applyProtection="1">
      <alignment vertical="center"/>
      <protection locked="0"/>
    </xf>
    <xf numFmtId="2" fontId="56" fillId="25" borderId="301" xfId="0" applyNumberFormat="1" applyFont="1" applyFill="1" applyBorder="1" applyAlignment="1" applyProtection="1">
      <alignment horizontal="center" vertical="center"/>
      <protection hidden="1"/>
    </xf>
    <xf numFmtId="2" fontId="56" fillId="5" borderId="301" xfId="0" applyNumberFormat="1" applyFont="1" applyFill="1" applyBorder="1" applyAlignment="1" applyProtection="1">
      <alignment horizontal="center" vertical="center"/>
      <protection hidden="1"/>
    </xf>
    <xf numFmtId="2" fontId="157" fillId="28" borderId="243" xfId="0" applyNumberFormat="1" applyFont="1" applyFill="1" applyBorder="1" applyAlignment="1" applyProtection="1">
      <alignment horizontal="center" vertical="center"/>
      <protection locked="0"/>
    </xf>
    <xf numFmtId="164" fontId="12" fillId="0" borderId="301" xfId="0" applyNumberFormat="1" applyFont="1" applyBorder="1" applyAlignment="1" applyProtection="1">
      <alignment horizontal="right" vertical="center"/>
      <protection locked="0"/>
    </xf>
    <xf numFmtId="164" fontId="12" fillId="0" borderId="321" xfId="0" applyNumberFormat="1" applyFont="1" applyBorder="1" applyAlignment="1" applyProtection="1">
      <alignment horizontal="right" vertical="center"/>
      <protection locked="0"/>
    </xf>
    <xf numFmtId="164" fontId="15" fillId="28" borderId="253" xfId="0" applyNumberFormat="1" applyFont="1" applyFill="1" applyBorder="1" applyAlignment="1" applyProtection="1">
      <alignment horizontal="right" vertical="center"/>
      <protection hidden="1"/>
    </xf>
    <xf numFmtId="164" fontId="12" fillId="0" borderId="10" xfId="0" applyNumberFormat="1" applyFont="1" applyBorder="1" applyAlignment="1" applyProtection="1">
      <alignment horizontal="right" vertical="center"/>
      <protection hidden="1"/>
    </xf>
    <xf numFmtId="164" fontId="12" fillId="0" borderId="321" xfId="0" applyNumberFormat="1" applyFont="1" applyBorder="1" applyAlignment="1" applyProtection="1">
      <alignment horizontal="right" vertical="center"/>
      <protection hidden="1"/>
    </xf>
    <xf numFmtId="164" fontId="15" fillId="28" borderId="244" xfId="0" applyNumberFormat="1" applyFont="1" applyFill="1" applyBorder="1" applyAlignment="1" applyProtection="1">
      <alignment horizontal="right" vertical="center"/>
      <protection hidden="1"/>
    </xf>
    <xf numFmtId="164" fontId="205" fillId="0" borderId="18" xfId="0" applyNumberFormat="1" applyFont="1" applyBorder="1" applyAlignment="1" applyProtection="1">
      <alignment vertical="center"/>
      <protection hidden="1"/>
    </xf>
    <xf numFmtId="164" fontId="184" fillId="28" borderId="244" xfId="0" applyNumberFormat="1" applyFont="1" applyFill="1" applyBorder="1" applyAlignment="1" applyProtection="1">
      <alignment vertical="center"/>
      <protection hidden="1"/>
    </xf>
    <xf numFmtId="164" fontId="184" fillId="28" borderId="160" xfId="0" applyNumberFormat="1" applyFont="1" applyFill="1" applyBorder="1" applyAlignment="1" applyProtection="1">
      <alignment vertical="center"/>
      <protection hidden="1"/>
    </xf>
    <xf numFmtId="164" fontId="184" fillId="28" borderId="159" xfId="0" applyNumberFormat="1" applyFont="1" applyFill="1" applyBorder="1" applyAlignment="1" applyProtection="1">
      <alignment vertical="center"/>
      <protection hidden="1"/>
    </xf>
    <xf numFmtId="0" fontId="205" fillId="0" borderId="16" xfId="0" applyFont="1" applyFill="1" applyBorder="1" applyProtection="1">
      <protection locked="0"/>
    </xf>
    <xf numFmtId="0" fontId="140" fillId="27" borderId="310" xfId="0" applyFont="1" applyFill="1" applyBorder="1" applyAlignment="1">
      <alignment horizontal="left" indent="3"/>
    </xf>
    <xf numFmtId="164" fontId="22" fillId="18" borderId="324" xfId="0" applyNumberFormat="1" applyFont="1" applyFill="1" applyBorder="1" applyAlignment="1" applyProtection="1">
      <protection hidden="1"/>
    </xf>
    <xf numFmtId="165" fontId="24" fillId="18" borderId="44" xfId="0" applyNumberFormat="1" applyFont="1" applyFill="1" applyBorder="1" applyAlignment="1" applyProtection="1">
      <alignment horizontal="center" vertical="top"/>
      <protection hidden="1"/>
    </xf>
    <xf numFmtId="165" fontId="24" fillId="18" borderId="62" xfId="0" applyNumberFormat="1" applyFont="1" applyFill="1" applyBorder="1" applyAlignment="1" applyProtection="1">
      <alignment horizontal="center" vertical="center"/>
      <protection hidden="1"/>
    </xf>
    <xf numFmtId="164" fontId="22" fillId="19" borderId="324" xfId="0" applyNumberFormat="1" applyFont="1" applyFill="1" applyBorder="1" applyAlignment="1" applyProtection="1">
      <protection hidden="1"/>
    </xf>
    <xf numFmtId="165" fontId="24" fillId="19" borderId="44" xfId="0" applyNumberFormat="1" applyFont="1" applyFill="1" applyBorder="1" applyAlignment="1" applyProtection="1">
      <alignment horizontal="center" vertical="top"/>
      <protection hidden="1"/>
    </xf>
    <xf numFmtId="165" fontId="24" fillId="19" borderId="62" xfId="0" applyNumberFormat="1" applyFont="1" applyFill="1" applyBorder="1" applyAlignment="1" applyProtection="1">
      <alignment horizontal="center" vertical="center"/>
      <protection hidden="1"/>
    </xf>
    <xf numFmtId="0" fontId="22" fillId="18" borderId="61" xfId="0" applyFont="1" applyFill="1" applyBorder="1" applyAlignment="1" applyProtection="1">
      <alignment horizontal="left" indent="2"/>
      <protection locked="0"/>
    </xf>
    <xf numFmtId="0" fontId="22" fillId="19" borderId="61" xfId="0" applyFont="1" applyFill="1" applyBorder="1" applyAlignment="1" applyProtection="1">
      <alignment horizontal="left" indent="2"/>
      <protection locked="0"/>
    </xf>
    <xf numFmtId="0" fontId="168" fillId="27" borderId="310" xfId="0" applyFont="1" applyFill="1" applyBorder="1" applyAlignment="1">
      <alignment horizontal="left" indent="2"/>
    </xf>
    <xf numFmtId="0" fontId="22" fillId="19" borderId="23" xfId="0" applyFont="1" applyFill="1" applyBorder="1" applyAlignment="1" applyProtection="1">
      <alignment horizontal="left" indent="2"/>
      <protection locked="0"/>
    </xf>
    <xf numFmtId="0" fontId="22" fillId="4" borderId="23" xfId="0" applyFont="1" applyFill="1" applyBorder="1" applyAlignment="1" applyProtection="1">
      <alignment horizontal="left" indent="2"/>
      <protection locked="0"/>
    </xf>
    <xf numFmtId="0" fontId="22" fillId="22" borderId="28" xfId="0" applyFont="1" applyFill="1" applyBorder="1" applyAlignment="1" applyProtection="1">
      <alignment horizontal="left" indent="2"/>
      <protection locked="0"/>
    </xf>
    <xf numFmtId="0" fontId="168" fillId="28" borderId="20" xfId="0" applyFont="1" applyFill="1" applyBorder="1" applyAlignment="1" applyProtection="1">
      <alignment horizontal="left" vertical="center" indent="2"/>
      <protection locked="0"/>
    </xf>
    <xf numFmtId="0" fontId="179" fillId="0" borderId="24" xfId="0" applyFont="1" applyBorder="1" applyAlignment="1" applyProtection="1">
      <alignment horizontal="left" indent="2"/>
      <protection hidden="1"/>
    </xf>
    <xf numFmtId="0" fontId="221" fillId="28" borderId="56" xfId="0" applyFont="1" applyFill="1" applyBorder="1" applyAlignment="1" applyProtection="1">
      <alignment horizontal="left" indent="2"/>
      <protection hidden="1"/>
    </xf>
    <xf numFmtId="0" fontId="155" fillId="29" borderId="226" xfId="0" applyFont="1" applyFill="1" applyBorder="1" applyAlignment="1" applyProtection="1">
      <alignment horizontal="left" indent="2"/>
      <protection hidden="1"/>
    </xf>
    <xf numFmtId="0" fontId="155" fillId="30" borderId="60" xfId="0" applyFont="1" applyFill="1" applyBorder="1" applyAlignment="1" applyProtection="1">
      <alignment horizontal="left" indent="2"/>
      <protection hidden="1"/>
    </xf>
    <xf numFmtId="0" fontId="169" fillId="50" borderId="24" xfId="0" applyFont="1" applyFill="1" applyBorder="1" applyAlignment="1" applyProtection="1">
      <alignment horizontal="left" indent="2"/>
      <protection locked="0"/>
    </xf>
    <xf numFmtId="0" fontId="169" fillId="47" borderId="24" xfId="0" applyFont="1" applyFill="1" applyBorder="1" applyAlignment="1" applyProtection="1">
      <alignment horizontal="left" indent="2"/>
      <protection locked="0"/>
    </xf>
    <xf numFmtId="0" fontId="22" fillId="19" borderId="29" xfId="0" applyFont="1" applyFill="1" applyBorder="1" applyAlignment="1" applyProtection="1">
      <alignment horizontal="left" indent="2"/>
      <protection locked="0"/>
    </xf>
    <xf numFmtId="0" fontId="140" fillId="27" borderId="310" xfId="0" applyFont="1" applyFill="1" applyBorder="1" applyAlignment="1">
      <alignment horizontal="left" indent="2"/>
    </xf>
    <xf numFmtId="164" fontId="12" fillId="0" borderId="49" xfId="0" applyNumberFormat="1" applyFont="1" applyBorder="1" applyAlignment="1" applyProtection="1">
      <alignment vertical="center"/>
      <protection locked="0"/>
    </xf>
    <xf numFmtId="0" fontId="169" fillId="0" borderId="313" xfId="0" applyFont="1" applyBorder="1" applyAlignment="1" applyProtection="1">
      <alignment horizontal="left" vertical="center" indent="1"/>
      <protection locked="0"/>
    </xf>
    <xf numFmtId="0" fontId="169" fillId="28" borderId="313" xfId="0" applyFont="1" applyFill="1" applyBorder="1" applyAlignment="1" applyProtection="1">
      <alignment horizontal="right" vertical="center"/>
      <protection locked="0"/>
    </xf>
    <xf numFmtId="0" fontId="169" fillId="28" borderId="84" xfId="0" applyFont="1" applyFill="1" applyBorder="1" applyAlignment="1" applyProtection="1">
      <alignment vertical="center"/>
      <protection locked="0"/>
    </xf>
    <xf numFmtId="164" fontId="12" fillId="0" borderId="304" xfId="0" applyNumberFormat="1" applyFont="1" applyBorder="1" applyAlignment="1" applyProtection="1">
      <alignment vertical="center"/>
      <protection locked="0"/>
    </xf>
    <xf numFmtId="164" fontId="12" fillId="0" borderId="214" xfId="0" applyNumberFormat="1" applyFont="1" applyBorder="1" applyAlignment="1" applyProtection="1">
      <alignment vertical="center"/>
      <protection locked="0"/>
    </xf>
    <xf numFmtId="164" fontId="22" fillId="19" borderId="326" xfId="0" applyNumberFormat="1" applyFont="1" applyFill="1" applyBorder="1" applyAlignment="1" applyProtection="1">
      <protection hidden="1"/>
    </xf>
    <xf numFmtId="164" fontId="22" fillId="19" borderId="327" xfId="0" applyNumberFormat="1" applyFont="1" applyFill="1" applyBorder="1" applyAlignment="1" applyProtection="1">
      <protection hidden="1"/>
    </xf>
    <xf numFmtId="164" fontId="22" fillId="19" borderId="101" xfId="0" applyNumberFormat="1" applyFont="1" applyFill="1" applyBorder="1" applyAlignment="1" applyProtection="1">
      <protection hidden="1"/>
    </xf>
    <xf numFmtId="164" fontId="27" fillId="0" borderId="303" xfId="0" applyNumberFormat="1" applyFont="1" applyFill="1" applyBorder="1" applyAlignment="1" applyProtection="1">
      <alignment vertical="center"/>
      <protection hidden="1"/>
    </xf>
    <xf numFmtId="164" fontId="15" fillId="0" borderId="301" xfId="0" applyNumberFormat="1" applyFont="1" applyBorder="1" applyAlignment="1" applyProtection="1">
      <alignment horizontal="right" vertical="center"/>
      <protection locked="0"/>
    </xf>
    <xf numFmtId="164" fontId="15" fillId="0" borderId="55" xfId="0" applyNumberFormat="1" applyFont="1" applyBorder="1" applyAlignment="1" applyProtection="1">
      <alignment vertical="center"/>
      <protection locked="0"/>
    </xf>
    <xf numFmtId="164" fontId="28" fillId="0" borderId="55" xfId="0" applyNumberFormat="1" applyFont="1" applyBorder="1" applyAlignment="1" applyProtection="1">
      <alignment vertical="center"/>
      <protection locked="0"/>
    </xf>
    <xf numFmtId="164" fontId="12" fillId="0" borderId="55" xfId="0" applyNumberFormat="1" applyFont="1" applyBorder="1" applyAlignment="1" applyProtection="1">
      <alignment vertical="center"/>
      <protection locked="0"/>
    </xf>
    <xf numFmtId="164" fontId="27" fillId="0" borderId="55" xfId="0" applyNumberFormat="1" applyFont="1" applyBorder="1" applyAlignment="1" applyProtection="1">
      <alignment vertical="center"/>
      <protection locked="0"/>
    </xf>
    <xf numFmtId="164" fontId="28" fillId="0" borderId="9" xfId="0" applyNumberFormat="1" applyFont="1" applyBorder="1" applyAlignment="1" applyProtection="1">
      <alignment vertical="center"/>
      <protection locked="0"/>
    </xf>
    <xf numFmtId="164" fontId="28" fillId="0" borderId="310" xfId="0" applyNumberFormat="1" applyFont="1" applyBorder="1" applyAlignment="1" applyProtection="1">
      <alignment vertical="center"/>
      <protection hidden="1"/>
    </xf>
    <xf numFmtId="164" fontId="15" fillId="28" borderId="247" xfId="0" applyNumberFormat="1" applyFont="1" applyFill="1" applyBorder="1" applyAlignment="1" applyProtection="1">
      <alignment vertical="center"/>
      <protection hidden="1"/>
    </xf>
    <xf numFmtId="164" fontId="12" fillId="0" borderId="9" xfId="0" applyNumberFormat="1" applyFont="1" applyFill="1" applyBorder="1" applyAlignment="1" applyProtection="1">
      <alignment vertical="center"/>
      <protection locked="0"/>
    </xf>
    <xf numFmtId="164" fontId="12" fillId="0" borderId="55" xfId="0" applyNumberFormat="1" applyFont="1" applyFill="1" applyBorder="1" applyAlignment="1" applyProtection="1">
      <alignment vertical="center"/>
      <protection locked="0"/>
    </xf>
    <xf numFmtId="164" fontId="15" fillId="21" borderId="247" xfId="0" applyNumberFormat="1" applyFont="1" applyFill="1" applyBorder="1" applyAlignment="1" applyProtection="1">
      <alignment vertical="center"/>
      <protection hidden="1"/>
    </xf>
    <xf numFmtId="164" fontId="106" fillId="0" borderId="9" xfId="0" applyNumberFormat="1" applyFont="1" applyFill="1" applyBorder="1" applyAlignment="1" applyProtection="1">
      <alignment vertical="center"/>
      <protection locked="0"/>
    </xf>
    <xf numFmtId="164" fontId="15" fillId="28" borderId="245" xfId="0" applyNumberFormat="1" applyFont="1" applyFill="1" applyBorder="1" applyAlignment="1" applyProtection="1">
      <alignment vertical="center"/>
      <protection hidden="1"/>
    </xf>
    <xf numFmtId="164" fontId="15" fillId="28" borderId="183" xfId="0" applyNumberFormat="1" applyFont="1" applyFill="1" applyBorder="1" applyAlignment="1" applyProtection="1">
      <alignment vertical="center"/>
      <protection hidden="1"/>
    </xf>
    <xf numFmtId="164" fontId="15" fillId="21" borderId="264" xfId="0" applyNumberFormat="1" applyFont="1" applyFill="1" applyBorder="1" applyAlignment="1" applyProtection="1">
      <alignment vertical="center"/>
      <protection locked="0"/>
    </xf>
    <xf numFmtId="164" fontId="12" fillId="0" borderId="9" xfId="0" applyNumberFormat="1" applyFont="1" applyBorder="1" applyAlignment="1" applyProtection="1">
      <alignment vertical="center"/>
      <protection locked="0"/>
    </xf>
    <xf numFmtId="164" fontId="27" fillId="0" borderId="261" xfId="0" applyNumberFormat="1" applyFont="1" applyBorder="1" applyAlignment="1" applyProtection="1">
      <alignment vertical="center"/>
      <protection locked="0"/>
    </xf>
    <xf numFmtId="164" fontId="31" fillId="0" borderId="9" xfId="0" applyNumberFormat="1" applyFont="1" applyBorder="1" applyAlignment="1" applyProtection="1">
      <alignment vertical="center"/>
      <protection locked="0"/>
    </xf>
    <xf numFmtId="164" fontId="27" fillId="0" borderId="55" xfId="0" applyNumberFormat="1" applyFont="1" applyBorder="1" applyAlignment="1" applyProtection="1">
      <alignment vertical="center"/>
      <protection hidden="1"/>
    </xf>
    <xf numFmtId="165" fontId="206" fillId="0" borderId="9" xfId="0" applyNumberFormat="1" applyFont="1" applyBorder="1" applyAlignment="1" applyProtection="1">
      <alignment horizontal="center" vertical="top"/>
      <protection hidden="1"/>
    </xf>
    <xf numFmtId="164" fontId="12" fillId="0" borderId="24" xfId="0" applyNumberFormat="1" applyFont="1" applyBorder="1" applyAlignment="1" applyProtection="1">
      <alignment vertical="center"/>
      <protection locked="0"/>
    </xf>
    <xf numFmtId="164" fontId="15" fillId="5" borderId="247" xfId="0" applyNumberFormat="1" applyFont="1" applyFill="1" applyBorder="1" applyAlignment="1" applyProtection="1">
      <alignment vertical="center"/>
      <protection hidden="1"/>
    </xf>
    <xf numFmtId="164" fontId="21" fillId="0" borderId="9" xfId="0" applyNumberFormat="1" applyFont="1" applyBorder="1" applyAlignment="1" applyProtection="1">
      <protection locked="0"/>
    </xf>
    <xf numFmtId="165" fontId="157" fillId="0" borderId="328" xfId="0" applyNumberFormat="1" applyFont="1" applyBorder="1" applyAlignment="1" applyProtection="1">
      <alignment horizontal="center" vertical="top"/>
      <protection hidden="1"/>
    </xf>
    <xf numFmtId="164" fontId="206" fillId="0" borderId="9" xfId="0" applyNumberFormat="1" applyFont="1" applyBorder="1" applyAlignment="1" applyProtection="1">
      <protection locked="0"/>
    </xf>
    <xf numFmtId="164" fontId="20" fillId="0" borderId="24" xfId="0" applyNumberFormat="1" applyFont="1" applyBorder="1" applyAlignment="1" applyProtection="1">
      <protection hidden="1"/>
    </xf>
    <xf numFmtId="165" fontId="63" fillId="0" borderId="121" xfId="0" applyNumberFormat="1" applyFont="1" applyBorder="1" applyAlignment="1" applyProtection="1">
      <alignment horizontal="center" vertical="top"/>
      <protection hidden="1"/>
    </xf>
    <xf numFmtId="164" fontId="15" fillId="5" borderId="310" xfId="0" applyNumberFormat="1" applyFont="1" applyFill="1" applyBorder="1" applyAlignment="1" applyProtection="1">
      <protection hidden="1"/>
    </xf>
    <xf numFmtId="174" fontId="238" fillId="5" borderId="263" xfId="0" applyNumberFormat="1" applyFont="1" applyFill="1" applyBorder="1" applyAlignment="1" applyProtection="1">
      <alignment horizontal="center" vertical="top"/>
      <protection hidden="1"/>
    </xf>
    <xf numFmtId="165" fontId="157" fillId="0" borderId="263" xfId="0" applyNumberFormat="1" applyFont="1" applyBorder="1" applyAlignment="1" applyProtection="1">
      <alignment horizontal="center" vertical="top"/>
      <protection hidden="1"/>
    </xf>
    <xf numFmtId="165" fontId="157" fillId="0" borderId="9" xfId="0" applyNumberFormat="1" applyFont="1" applyBorder="1" applyAlignment="1" applyProtection="1">
      <alignment horizontal="center" vertical="top"/>
      <protection hidden="1"/>
    </xf>
    <xf numFmtId="164" fontId="21" fillId="0" borderId="310" xfId="0" applyNumberFormat="1" applyFont="1" applyBorder="1" applyAlignment="1" applyProtection="1">
      <protection locked="0"/>
    </xf>
    <xf numFmtId="165" fontId="63" fillId="0" borderId="9" xfId="0" applyNumberFormat="1" applyFont="1" applyBorder="1" applyAlignment="1" applyProtection="1">
      <alignment horizontal="center" vertical="top"/>
      <protection hidden="1"/>
    </xf>
    <xf numFmtId="164" fontId="12" fillId="0" borderId="55" xfId="0" applyNumberFormat="1" applyFont="1" applyBorder="1" applyAlignment="1" applyProtection="1">
      <alignment vertical="center"/>
      <protection hidden="1"/>
    </xf>
    <xf numFmtId="165" fontId="103" fillId="0" borderId="9" xfId="0" applyNumberFormat="1" applyFont="1" applyBorder="1" applyAlignment="1" applyProtection="1">
      <alignment horizontal="center" vertical="center"/>
      <protection hidden="1"/>
    </xf>
    <xf numFmtId="164" fontId="15" fillId="28" borderId="310" xfId="0" applyNumberFormat="1" applyFont="1" applyFill="1" applyBorder="1" applyAlignment="1" applyProtection="1">
      <alignment vertical="center"/>
      <protection hidden="1"/>
    </xf>
    <xf numFmtId="174" fontId="238" fillId="28" borderId="263" xfId="0" applyNumberFormat="1" applyFont="1" applyFill="1" applyBorder="1" applyAlignment="1" applyProtection="1">
      <alignment horizontal="center" vertical="top"/>
      <protection hidden="1"/>
    </xf>
    <xf numFmtId="164" fontId="31" fillId="0" borderId="55" xfId="0" applyNumberFormat="1" applyFont="1" applyBorder="1" applyAlignment="1" applyProtection="1">
      <alignment vertical="center"/>
      <protection locked="0"/>
    </xf>
    <xf numFmtId="164" fontId="21" fillId="0" borderId="9" xfId="0" applyNumberFormat="1" applyFont="1" applyBorder="1" applyAlignment="1" applyProtection="1">
      <alignment vertical="center"/>
      <protection locked="0"/>
    </xf>
    <xf numFmtId="164" fontId="21" fillId="0" borderId="55" xfId="0" applyNumberFormat="1" applyFont="1" applyBorder="1" applyAlignment="1" applyProtection="1">
      <alignment vertical="center"/>
      <protection locked="0"/>
    </xf>
    <xf numFmtId="165" fontId="157" fillId="0" borderId="9" xfId="0" applyNumberFormat="1" applyFont="1" applyBorder="1" applyAlignment="1" applyProtection="1">
      <alignment horizontal="center" vertical="center"/>
      <protection hidden="1"/>
    </xf>
    <xf numFmtId="164" fontId="27" fillId="0" borderId="9" xfId="0" applyNumberFormat="1" applyFont="1" applyBorder="1" applyAlignment="1" applyProtection="1">
      <alignment vertical="center"/>
      <protection hidden="1"/>
    </xf>
    <xf numFmtId="164" fontId="12" fillId="0" borderId="261" xfId="0" applyNumberFormat="1" applyFont="1" applyBorder="1" applyAlignment="1" applyProtection="1">
      <alignment vertical="center"/>
      <protection locked="0"/>
    </xf>
    <xf numFmtId="164" fontId="177" fillId="0" borderId="329" xfId="0" applyNumberFormat="1" applyFont="1" applyBorder="1" applyAlignment="1" applyProtection="1">
      <alignment vertical="center"/>
      <protection locked="0"/>
    </xf>
    <xf numFmtId="164" fontId="222" fillId="0" borderId="55" xfId="0" applyNumberFormat="1" applyFont="1" applyBorder="1" applyAlignment="1" applyProtection="1">
      <alignment vertical="center"/>
      <protection hidden="1"/>
    </xf>
    <xf numFmtId="164" fontId="222" fillId="0" borderId="55" xfId="0" applyNumberFormat="1" applyFont="1" applyBorder="1" applyAlignment="1" applyProtection="1">
      <alignment vertical="center"/>
      <protection locked="0"/>
    </xf>
    <xf numFmtId="9" fontId="222" fillId="0" borderId="330" xfId="0" applyNumberFormat="1" applyFont="1" applyBorder="1" applyAlignment="1" applyProtection="1">
      <alignment horizontal="center"/>
      <protection hidden="1"/>
    </xf>
    <xf numFmtId="165" fontId="29" fillId="0" borderId="278" xfId="0" applyNumberFormat="1" applyFont="1" applyBorder="1" applyAlignment="1" applyProtection="1">
      <alignment horizontal="center"/>
      <protection locked="0"/>
    </xf>
    <xf numFmtId="165" fontId="27" fillId="0" borderId="278" xfId="0" applyNumberFormat="1" applyFont="1" applyBorder="1" applyAlignment="1" applyProtection="1">
      <alignment horizontal="center"/>
      <protection locked="0"/>
    </xf>
    <xf numFmtId="165" fontId="27" fillId="0" borderId="277" xfId="0" applyNumberFormat="1" applyFont="1" applyBorder="1" applyAlignment="1" applyProtection="1">
      <alignment horizontal="center"/>
      <protection locked="0"/>
    </xf>
    <xf numFmtId="165" fontId="28" fillId="0" borderId="332" xfId="0" applyNumberFormat="1" applyFont="1" applyBorder="1" applyAlignment="1" applyProtection="1">
      <alignment horizontal="center" vertical="center"/>
      <protection locked="0"/>
    </xf>
    <xf numFmtId="165" fontId="143" fillId="28" borderId="279" xfId="0" applyNumberFormat="1" applyFont="1" applyFill="1" applyBorder="1" applyAlignment="1" applyProtection="1">
      <alignment horizontal="center" vertical="center"/>
      <protection hidden="1"/>
    </xf>
    <xf numFmtId="165" fontId="144" fillId="0" borderId="277" xfId="0" applyNumberFormat="1" applyFont="1" applyFill="1" applyBorder="1" applyAlignment="1" applyProtection="1">
      <alignment horizontal="center"/>
      <protection locked="0"/>
    </xf>
    <xf numFmtId="165" fontId="144" fillId="0" borderId="278" xfId="0" applyNumberFormat="1" applyFont="1" applyFill="1" applyBorder="1" applyAlignment="1" applyProtection="1">
      <alignment horizontal="center"/>
      <protection locked="0"/>
    </xf>
    <xf numFmtId="165" fontId="143" fillId="21" borderId="279" xfId="0" applyNumberFormat="1" applyFont="1" applyFill="1" applyBorder="1" applyAlignment="1" applyProtection="1">
      <alignment horizontal="center" vertical="center"/>
      <protection hidden="1"/>
    </xf>
    <xf numFmtId="165" fontId="177" fillId="0" borderId="277" xfId="0" applyNumberFormat="1" applyFont="1" applyFill="1" applyBorder="1" applyAlignment="1" applyProtection="1">
      <alignment horizontal="center"/>
      <protection locked="0"/>
    </xf>
    <xf numFmtId="165" fontId="143" fillId="28" borderId="297" xfId="0" applyNumberFormat="1" applyFont="1" applyFill="1" applyBorder="1" applyAlignment="1" applyProtection="1">
      <alignment horizontal="center" vertical="center"/>
      <protection hidden="1"/>
    </xf>
    <xf numFmtId="165" fontId="29" fillId="21" borderId="288" xfId="0" applyNumberFormat="1" applyFont="1" applyFill="1" applyBorder="1" applyAlignment="1" applyProtection="1">
      <alignment horizontal="center" vertical="center"/>
      <protection hidden="1"/>
    </xf>
    <xf numFmtId="165" fontId="27" fillId="0" borderId="333" xfId="0" applyNumberFormat="1" applyFont="1" applyBorder="1" applyAlignment="1" applyProtection="1">
      <alignment horizontal="center"/>
      <protection locked="0"/>
    </xf>
    <xf numFmtId="165" fontId="29" fillId="21" borderId="279" xfId="0" applyNumberFormat="1" applyFont="1" applyFill="1" applyBorder="1" applyAlignment="1" applyProtection="1">
      <alignment horizontal="center" vertical="center"/>
      <protection hidden="1"/>
    </xf>
    <xf numFmtId="165" fontId="31" fillId="0" borderId="277" xfId="0" applyNumberFormat="1" applyFont="1" applyBorder="1" applyAlignment="1" applyProtection="1">
      <alignment horizontal="center"/>
      <protection locked="0"/>
    </xf>
    <xf numFmtId="165" fontId="27" fillId="0" borderId="278" xfId="0" applyNumberFormat="1" applyFont="1" applyBorder="1" applyAlignment="1" applyProtection="1">
      <alignment horizontal="center"/>
      <protection hidden="1"/>
    </xf>
    <xf numFmtId="165" fontId="74" fillId="28" borderId="297" xfId="0" applyNumberFormat="1" applyFont="1" applyFill="1" applyBorder="1" applyAlignment="1" applyProtection="1">
      <alignment horizontal="center" vertical="center"/>
      <protection hidden="1"/>
    </xf>
    <xf numFmtId="165" fontId="22" fillId="19" borderId="191" xfId="0" applyNumberFormat="1" applyFont="1" applyFill="1" applyBorder="1" applyAlignment="1" applyProtection="1">
      <alignment horizontal="center" vertical="center"/>
      <protection hidden="1"/>
    </xf>
    <xf numFmtId="165" fontId="27" fillId="0" borderId="334" xfId="0" applyNumberFormat="1" applyFont="1" applyBorder="1" applyAlignment="1" applyProtection="1">
      <alignment horizontal="center"/>
      <protection locked="0"/>
    </xf>
    <xf numFmtId="165" fontId="15" fillId="5" borderId="279" xfId="0" applyNumberFormat="1" applyFont="1" applyFill="1" applyBorder="1" applyAlignment="1" applyProtection="1">
      <alignment horizontal="center" vertical="center"/>
      <protection hidden="1"/>
    </xf>
    <xf numFmtId="165" fontId="31" fillId="0" borderId="335" xfId="0" applyNumberFormat="1" applyFont="1" applyBorder="1" applyAlignment="1" applyProtection="1">
      <alignment horizontal="center" vertical="top"/>
      <protection hidden="1"/>
    </xf>
    <xf numFmtId="165" fontId="31" fillId="0" borderId="277" xfId="0" applyNumberFormat="1" applyFont="1" applyBorder="1" applyAlignment="1" applyProtection="1">
      <alignment horizontal="center"/>
      <protection hidden="1"/>
    </xf>
    <xf numFmtId="165" fontId="206" fillId="0" borderId="277" xfId="0" applyNumberFormat="1" applyFont="1" applyBorder="1" applyAlignment="1" applyProtection="1">
      <alignment horizontal="center" vertical="top"/>
      <protection hidden="1"/>
    </xf>
    <xf numFmtId="165" fontId="29" fillId="0" borderId="334" xfId="0" applyNumberFormat="1" applyFont="1" applyBorder="1" applyAlignment="1" applyProtection="1">
      <alignment horizontal="center"/>
      <protection hidden="1"/>
    </xf>
    <xf numFmtId="165" fontId="42" fillId="0" borderId="281" xfId="0" applyNumberFormat="1" applyFont="1" applyBorder="1" applyAlignment="1" applyProtection="1">
      <alignment horizontal="center" vertical="top"/>
      <protection hidden="1"/>
    </xf>
    <xf numFmtId="165" fontId="128" fillId="19" borderId="191" xfId="0" applyNumberFormat="1" applyFont="1" applyFill="1" applyBorder="1" applyAlignment="1" applyProtection="1">
      <alignment horizontal="center" vertical="center"/>
      <protection hidden="1"/>
    </xf>
    <xf numFmtId="165" fontId="15" fillId="5" borderId="332" xfId="0" applyNumberFormat="1" applyFont="1" applyFill="1" applyBorder="1" applyAlignment="1" applyProtection="1">
      <alignment horizontal="center"/>
      <protection hidden="1"/>
    </xf>
    <xf numFmtId="165" fontId="15" fillId="5" borderId="336" xfId="0" applyNumberFormat="1" applyFont="1" applyFill="1" applyBorder="1" applyAlignment="1" applyProtection="1">
      <alignment horizontal="center" vertical="top"/>
      <protection hidden="1"/>
    </xf>
    <xf numFmtId="165" fontId="31" fillId="0" borderId="336" xfId="0" applyNumberFormat="1" applyFont="1" applyBorder="1" applyAlignment="1" applyProtection="1">
      <alignment horizontal="center" vertical="top"/>
      <protection hidden="1"/>
    </xf>
    <xf numFmtId="165" fontId="31" fillId="0" borderId="277" xfId="0" applyNumberFormat="1" applyFont="1" applyBorder="1" applyAlignment="1" applyProtection="1">
      <alignment horizontal="center" vertical="top"/>
      <protection hidden="1"/>
    </xf>
    <xf numFmtId="165" fontId="27" fillId="0" borderId="332" xfId="0" applyNumberFormat="1" applyFont="1" applyBorder="1" applyAlignment="1" applyProtection="1">
      <alignment horizontal="center"/>
      <protection locked="0"/>
    </xf>
    <xf numFmtId="165" fontId="42" fillId="0" borderId="277" xfId="0" applyNumberFormat="1" applyFont="1" applyBorder="1" applyAlignment="1" applyProtection="1">
      <alignment horizontal="center" vertical="top"/>
      <protection hidden="1"/>
    </xf>
    <xf numFmtId="165" fontId="74" fillId="28" borderId="279" xfId="0" applyNumberFormat="1" applyFont="1" applyFill="1" applyBorder="1" applyAlignment="1" applyProtection="1">
      <alignment horizontal="center" vertical="center"/>
      <protection hidden="1"/>
    </xf>
    <xf numFmtId="165" fontId="41" fillId="0" borderId="277" xfId="0" applyNumberFormat="1" applyFont="1" applyBorder="1" applyAlignment="1" applyProtection="1">
      <alignment horizontal="center" vertical="top"/>
      <protection hidden="1"/>
    </xf>
    <xf numFmtId="165" fontId="29" fillId="28" borderId="332" xfId="0" applyNumberFormat="1" applyFont="1" applyFill="1" applyBorder="1" applyAlignment="1" applyProtection="1">
      <alignment horizontal="center" vertical="center"/>
      <protection hidden="1"/>
    </xf>
    <xf numFmtId="165" fontId="15" fillId="28" borderId="336" xfId="0" applyNumberFormat="1" applyFont="1" applyFill="1" applyBorder="1" applyAlignment="1" applyProtection="1">
      <alignment horizontal="center" vertical="top"/>
      <protection hidden="1"/>
    </xf>
    <xf numFmtId="165" fontId="31" fillId="0" borderId="278" xfId="0" applyNumberFormat="1" applyFont="1" applyBorder="1" applyAlignment="1" applyProtection="1">
      <alignment horizontal="center"/>
      <protection locked="0"/>
    </xf>
    <xf numFmtId="164" fontId="15" fillId="5" borderId="279" xfId="0" applyNumberFormat="1" applyFont="1" applyFill="1" applyBorder="1" applyAlignment="1" applyProtection="1">
      <alignment vertical="center"/>
      <protection hidden="1"/>
    </xf>
    <xf numFmtId="165" fontId="29" fillId="28" borderId="279" xfId="0" applyNumberFormat="1" applyFont="1" applyFill="1" applyBorder="1" applyAlignment="1" applyProtection="1">
      <alignment horizontal="center" vertical="center"/>
      <protection hidden="1"/>
    </xf>
    <xf numFmtId="165" fontId="29" fillId="28" borderId="297" xfId="0" applyNumberFormat="1" applyFont="1" applyFill="1" applyBorder="1" applyAlignment="1" applyProtection="1">
      <alignment horizontal="center" vertical="center"/>
      <protection hidden="1"/>
    </xf>
    <xf numFmtId="165" fontId="27" fillId="0" borderId="277" xfId="0" applyNumberFormat="1" applyFont="1" applyBorder="1" applyAlignment="1" applyProtection="1">
      <alignment horizontal="center"/>
      <protection hidden="1"/>
    </xf>
    <xf numFmtId="9" fontId="22" fillId="4" borderId="276" xfId="0" applyNumberFormat="1" applyFont="1" applyFill="1" applyBorder="1" applyAlignment="1" applyProtection="1">
      <alignment horizontal="center" vertical="center"/>
      <protection hidden="1"/>
    </xf>
    <xf numFmtId="164" fontId="15" fillId="25" borderId="20" xfId="0" applyNumberFormat="1" applyFont="1" applyFill="1" applyBorder="1" applyAlignment="1" applyProtection="1">
      <alignment vertical="center"/>
      <protection hidden="1"/>
    </xf>
    <xf numFmtId="9" fontId="143" fillId="25" borderId="337" xfId="0" applyNumberFormat="1" applyFont="1" applyFill="1" applyBorder="1" applyAlignment="1" applyProtection="1">
      <alignment horizontal="center" vertical="center"/>
      <protection hidden="1"/>
    </xf>
    <xf numFmtId="9" fontId="27" fillId="0" borderId="334" xfId="0" applyNumberFormat="1" applyFont="1" applyBorder="1" applyAlignment="1" applyProtection="1">
      <alignment horizontal="center"/>
      <protection locked="0"/>
    </xf>
    <xf numFmtId="9" fontId="27" fillId="0" borderId="333" xfId="0" applyNumberFormat="1" applyFont="1" applyBorder="1" applyAlignment="1" applyProtection="1">
      <alignment horizontal="center"/>
      <protection locked="0"/>
    </xf>
    <xf numFmtId="165" fontId="31" fillId="0" borderId="338" xfId="0" applyNumberFormat="1" applyFont="1" applyBorder="1" applyAlignment="1" applyProtection="1">
      <alignment horizontal="center"/>
      <protection locked="0"/>
    </xf>
    <xf numFmtId="9" fontId="222" fillId="0" borderId="278" xfId="0" applyNumberFormat="1" applyFont="1" applyBorder="1" applyAlignment="1" applyProtection="1">
      <alignment horizontal="center"/>
      <protection hidden="1"/>
    </xf>
    <xf numFmtId="9" fontId="222" fillId="0" borderId="277" xfId="0" applyNumberFormat="1" applyFont="1" applyBorder="1" applyAlignment="1" applyProtection="1">
      <alignment horizontal="center"/>
      <protection hidden="1"/>
    </xf>
    <xf numFmtId="9" fontId="15" fillId="28" borderId="297" xfId="0" applyNumberFormat="1" applyFont="1" applyFill="1" applyBorder="1" applyAlignment="1" applyProtection="1">
      <alignment horizontal="center" vertical="center"/>
      <protection hidden="1"/>
    </xf>
    <xf numFmtId="164" fontId="12" fillId="0" borderId="0" xfId="0" applyNumberFormat="1" applyFont="1" applyBorder="1" applyAlignment="1" applyProtection="1">
      <alignment vertical="top"/>
      <protection locked="0" hidden="1"/>
    </xf>
    <xf numFmtId="164" fontId="15" fillId="21" borderId="204" xfId="0" applyNumberFormat="1" applyFont="1" applyFill="1" applyBorder="1" applyAlignment="1" applyProtection="1">
      <alignment vertical="center"/>
      <protection locked="0"/>
    </xf>
    <xf numFmtId="164" fontId="15" fillId="21" borderId="82" xfId="0" applyNumberFormat="1" applyFont="1" applyFill="1" applyBorder="1" applyAlignment="1" applyProtection="1">
      <alignment vertical="center"/>
      <protection locked="0"/>
    </xf>
    <xf numFmtId="165" fontId="22" fillId="19" borderId="285" xfId="0" applyNumberFormat="1" applyFont="1" applyFill="1" applyBorder="1" applyAlignment="1" applyProtection="1">
      <alignment horizontal="center" vertical="center"/>
      <protection hidden="1"/>
    </xf>
    <xf numFmtId="164" fontId="128" fillId="19" borderId="42" xfId="0" applyNumberFormat="1" applyFont="1" applyFill="1" applyBorder="1" applyAlignment="1" applyProtection="1">
      <alignment vertical="center"/>
      <protection hidden="1"/>
    </xf>
    <xf numFmtId="165" fontId="63" fillId="0" borderId="18" xfId="0" applyNumberFormat="1" applyFont="1" applyBorder="1" applyAlignment="1" applyProtection="1">
      <alignment horizontal="center" vertical="top"/>
      <protection hidden="1"/>
    </xf>
    <xf numFmtId="164" fontId="22" fillId="4" borderId="16" xfId="0" applyNumberFormat="1" applyFont="1" applyFill="1" applyBorder="1" applyAlignment="1" applyProtection="1">
      <alignment vertical="center"/>
      <protection hidden="1"/>
    </xf>
    <xf numFmtId="165" fontId="15" fillId="25" borderId="336" xfId="0" applyNumberFormat="1" applyFont="1" applyFill="1" applyBorder="1" applyAlignment="1" applyProtection="1">
      <alignment horizontal="center" vertical="top"/>
      <protection hidden="1"/>
    </xf>
    <xf numFmtId="9" fontId="22" fillId="4" borderId="337" xfId="0" applyNumberFormat="1" applyFont="1" applyFill="1" applyBorder="1" applyAlignment="1" applyProtection="1">
      <alignment horizontal="center" vertical="center"/>
      <protection hidden="1"/>
    </xf>
    <xf numFmtId="165" fontId="128" fillId="19" borderId="285" xfId="0" applyNumberFormat="1" applyFont="1" applyFill="1" applyBorder="1" applyAlignment="1" applyProtection="1">
      <alignment horizontal="center" vertical="center"/>
      <protection hidden="1"/>
    </xf>
    <xf numFmtId="0" fontId="22" fillId="19" borderId="192" xfId="0" applyFont="1" applyFill="1" applyBorder="1" applyAlignment="1" applyProtection="1">
      <alignment horizontal="left" vertical="center"/>
      <protection locked="0"/>
    </xf>
    <xf numFmtId="0" fontId="169" fillId="28" borderId="255" xfId="0" applyFont="1" applyFill="1" applyBorder="1" applyAlignment="1" applyProtection="1">
      <alignment horizontal="left" vertical="center"/>
      <protection locked="0"/>
    </xf>
    <xf numFmtId="0" fontId="169" fillId="40" borderId="255" xfId="0" applyFont="1" applyFill="1" applyBorder="1" applyAlignment="1" applyProtection="1">
      <alignment horizontal="left" vertical="center"/>
      <protection locked="0"/>
    </xf>
    <xf numFmtId="0" fontId="169" fillId="40" borderId="250" xfId="0" applyFont="1" applyFill="1" applyBorder="1" applyAlignment="1" applyProtection="1">
      <alignment horizontal="left" vertical="center"/>
      <protection locked="0"/>
    </xf>
    <xf numFmtId="0" fontId="169" fillId="28" borderId="254" xfId="0" applyFont="1" applyFill="1" applyBorder="1" applyAlignment="1" applyProtection="1">
      <alignment horizontal="left" vertical="center"/>
      <protection locked="0"/>
    </xf>
    <xf numFmtId="164" fontId="12" fillId="0" borderId="289" xfId="0" applyNumberFormat="1" applyFont="1" applyBorder="1" applyAlignment="1" applyProtection="1">
      <alignment vertical="center"/>
      <protection locked="0"/>
    </xf>
    <xf numFmtId="164" fontId="12" fillId="0" borderId="237" xfId="0" applyNumberFormat="1" applyFont="1" applyBorder="1" applyAlignment="1" applyProtection="1">
      <alignment vertical="center"/>
      <protection locked="0"/>
    </xf>
    <xf numFmtId="164" fontId="31" fillId="0" borderId="236" xfId="0" applyNumberFormat="1" applyFont="1" applyBorder="1" applyAlignment="1" applyProtection="1">
      <alignment vertical="center"/>
      <protection locked="0"/>
    </xf>
    <xf numFmtId="164" fontId="15" fillId="5" borderId="340" xfId="0" applyNumberFormat="1" applyFont="1" applyFill="1" applyBorder="1" applyAlignment="1" applyProtection="1">
      <alignment vertical="center"/>
      <protection hidden="1"/>
    </xf>
    <xf numFmtId="164" fontId="21" fillId="0" borderId="236" xfId="0" applyNumberFormat="1" applyFont="1" applyBorder="1" applyAlignment="1" applyProtection="1">
      <protection locked="0"/>
    </xf>
    <xf numFmtId="165" fontId="157" fillId="0" borderId="341" xfId="0" applyNumberFormat="1" applyFont="1" applyBorder="1" applyAlignment="1" applyProtection="1">
      <alignment horizontal="center" vertical="top"/>
      <protection hidden="1"/>
    </xf>
    <xf numFmtId="164" fontId="206" fillId="0" borderId="236" xfId="0" applyNumberFormat="1" applyFont="1" applyBorder="1" applyAlignment="1" applyProtection="1">
      <protection locked="0"/>
    </xf>
    <xf numFmtId="165" fontId="206" fillId="0" borderId="236" xfId="0" applyNumberFormat="1" applyFont="1" applyBorder="1" applyAlignment="1" applyProtection="1">
      <alignment horizontal="center" vertical="top"/>
      <protection hidden="1"/>
    </xf>
    <xf numFmtId="164" fontId="20" fillId="0" borderId="289" xfId="0" applyNumberFormat="1" applyFont="1" applyBorder="1" applyAlignment="1" applyProtection="1">
      <protection hidden="1"/>
    </xf>
    <xf numFmtId="165" fontId="63" fillId="0" borderId="238" xfId="0" applyNumberFormat="1" applyFont="1" applyBorder="1" applyAlignment="1" applyProtection="1">
      <alignment horizontal="center" vertical="top"/>
      <protection hidden="1"/>
    </xf>
    <xf numFmtId="164" fontId="12" fillId="0" borderId="236" xfId="0" applyNumberFormat="1" applyFont="1" applyFill="1" applyBorder="1" applyAlignment="1" applyProtection="1">
      <alignment vertical="center"/>
      <protection locked="0"/>
    </xf>
    <xf numFmtId="164" fontId="15" fillId="5" borderId="342" xfId="0" applyNumberFormat="1" applyFont="1" applyFill="1" applyBorder="1" applyAlignment="1" applyProtection="1">
      <protection hidden="1"/>
    </xf>
    <xf numFmtId="174" fontId="238" fillId="5" borderId="343" xfId="0" applyNumberFormat="1" applyFont="1" applyFill="1" applyBorder="1" applyAlignment="1" applyProtection="1">
      <alignment horizontal="center" vertical="top"/>
      <protection hidden="1"/>
    </xf>
    <xf numFmtId="165" fontId="157" fillId="0" borderId="343" xfId="0" applyNumberFormat="1" applyFont="1" applyBorder="1" applyAlignment="1" applyProtection="1">
      <alignment horizontal="center" vertical="top"/>
      <protection hidden="1"/>
    </xf>
    <xf numFmtId="165" fontId="157" fillId="0" borderId="236" xfId="0" applyNumberFormat="1" applyFont="1" applyBorder="1" applyAlignment="1" applyProtection="1">
      <alignment horizontal="center" vertical="top"/>
      <protection hidden="1"/>
    </xf>
    <xf numFmtId="164" fontId="21" fillId="0" borderId="342" xfId="0" applyNumberFormat="1" applyFont="1" applyFill="1" applyBorder="1" applyAlignment="1" applyProtection="1">
      <protection locked="0"/>
    </xf>
    <xf numFmtId="165" fontId="63" fillId="0" borderId="236" xfId="0" applyNumberFormat="1" applyFont="1" applyBorder="1" applyAlignment="1" applyProtection="1">
      <alignment horizontal="center" vertical="top"/>
      <protection hidden="1"/>
    </xf>
    <xf numFmtId="164" fontId="15" fillId="28" borderId="340" xfId="0" applyNumberFormat="1" applyFont="1" applyFill="1" applyBorder="1" applyAlignment="1" applyProtection="1">
      <alignment vertical="center"/>
      <protection hidden="1"/>
    </xf>
    <xf numFmtId="164" fontId="12" fillId="0" borderId="236" xfId="0" applyNumberFormat="1" applyFont="1" applyBorder="1" applyAlignment="1" applyProtection="1">
      <alignment vertical="center"/>
      <protection locked="0"/>
    </xf>
    <xf numFmtId="164" fontId="12" fillId="0" borderId="237" xfId="0" applyNumberFormat="1" applyFont="1" applyBorder="1" applyAlignment="1" applyProtection="1">
      <alignment vertical="center"/>
      <protection hidden="1"/>
    </xf>
    <xf numFmtId="165" fontId="103" fillId="0" borderId="236" xfId="0" applyNumberFormat="1" applyFont="1" applyBorder="1" applyAlignment="1" applyProtection="1">
      <alignment horizontal="center" vertical="center"/>
      <protection hidden="1"/>
    </xf>
    <xf numFmtId="164" fontId="15" fillId="28" borderId="342" xfId="0" applyNumberFormat="1" applyFont="1" applyFill="1" applyBorder="1" applyAlignment="1" applyProtection="1">
      <alignment vertical="center"/>
      <protection hidden="1"/>
    </xf>
    <xf numFmtId="174" fontId="238" fillId="28" borderId="343" xfId="0" applyNumberFormat="1" applyFont="1" applyFill="1" applyBorder="1" applyAlignment="1" applyProtection="1">
      <alignment horizontal="center" vertical="top"/>
      <protection hidden="1"/>
    </xf>
    <xf numFmtId="164" fontId="31" fillId="0" borderId="237" xfId="0" applyNumberFormat="1" applyFont="1" applyBorder="1" applyAlignment="1" applyProtection="1">
      <alignment vertical="center"/>
      <protection locked="0"/>
    </xf>
    <xf numFmtId="164" fontId="21" fillId="0" borderId="236" xfId="0" applyNumberFormat="1" applyFont="1" applyBorder="1" applyAlignment="1" applyProtection="1">
      <alignment vertical="center"/>
      <protection locked="0"/>
    </xf>
    <xf numFmtId="164" fontId="21" fillId="0" borderId="237" xfId="0" applyNumberFormat="1" applyFont="1" applyBorder="1" applyAlignment="1" applyProtection="1">
      <alignment vertical="center"/>
      <protection locked="0"/>
    </xf>
    <xf numFmtId="165" fontId="157" fillId="0" borderId="236" xfId="0" applyNumberFormat="1" applyFont="1" applyBorder="1" applyAlignment="1" applyProtection="1">
      <alignment horizontal="center" vertical="center"/>
      <protection hidden="1"/>
    </xf>
    <xf numFmtId="164" fontId="15" fillId="28" borderId="235" xfId="0" applyNumberFormat="1" applyFont="1" applyFill="1" applyBorder="1" applyAlignment="1" applyProtection="1">
      <alignment vertical="center"/>
      <protection hidden="1"/>
    </xf>
    <xf numFmtId="164" fontId="27" fillId="0" borderId="237" xfId="0" applyNumberFormat="1" applyFont="1" applyBorder="1" applyAlignment="1" applyProtection="1">
      <alignment vertical="center"/>
      <protection hidden="1"/>
    </xf>
    <xf numFmtId="164" fontId="27" fillId="0" borderId="236" xfId="0" applyNumberFormat="1" applyFont="1" applyBorder="1" applyAlignment="1" applyProtection="1">
      <alignment vertical="center"/>
      <protection hidden="1"/>
    </xf>
    <xf numFmtId="164" fontId="12" fillId="0" borderId="344" xfId="0" applyNumberFormat="1" applyFont="1" applyBorder="1" applyAlignment="1" applyProtection="1">
      <alignment vertical="center"/>
      <protection locked="0"/>
    </xf>
    <xf numFmtId="164" fontId="31" fillId="0" borderId="345" xfId="0" applyNumberFormat="1" applyFont="1" applyBorder="1" applyAlignment="1" applyProtection="1">
      <alignment vertical="center"/>
      <protection locked="0"/>
    </xf>
    <xf numFmtId="164" fontId="222" fillId="0" borderId="236" xfId="0" applyNumberFormat="1" applyFont="1" applyBorder="1" applyAlignment="1" applyProtection="1">
      <alignment vertical="center"/>
      <protection hidden="1"/>
    </xf>
    <xf numFmtId="164" fontId="222" fillId="0" borderId="237" xfId="0" applyNumberFormat="1" applyFont="1" applyBorder="1" applyAlignment="1" applyProtection="1">
      <alignment vertical="center"/>
      <protection hidden="1"/>
    </xf>
    <xf numFmtId="164" fontId="222" fillId="0" borderId="237" xfId="0" applyNumberFormat="1" applyFont="1" applyBorder="1" applyAlignment="1" applyProtection="1">
      <alignment vertical="center"/>
      <protection locked="0"/>
    </xf>
    <xf numFmtId="0" fontId="169" fillId="0" borderId="75" xfId="0" applyFont="1" applyBorder="1" applyAlignment="1" applyProtection="1">
      <alignment horizontal="left" vertical="center" indent="1"/>
      <protection locked="0"/>
    </xf>
    <xf numFmtId="0" fontId="177" fillId="0" borderId="206" xfId="0" applyFont="1" applyBorder="1" applyAlignment="1" applyProtection="1">
      <alignment horizontal="left" vertical="center" indent="1"/>
      <protection locked="0"/>
    </xf>
    <xf numFmtId="0" fontId="222" fillId="0" borderId="167" xfId="0" applyFont="1" applyBorder="1" applyAlignment="1" applyProtection="1">
      <alignment horizontal="left" vertical="center" indent="1"/>
      <protection locked="0"/>
    </xf>
    <xf numFmtId="0" fontId="222" fillId="0" borderId="204" xfId="0" applyFont="1" applyBorder="1" applyAlignment="1" applyProtection="1">
      <alignment horizontal="left" vertical="center" indent="1"/>
      <protection locked="0"/>
    </xf>
    <xf numFmtId="0" fontId="169" fillId="40" borderId="55" xfId="0" applyFont="1" applyFill="1" applyBorder="1" applyAlignment="1" applyProtection="1">
      <alignment horizontal="right" vertical="center"/>
      <protection locked="0"/>
    </xf>
    <xf numFmtId="0" fontId="169" fillId="40" borderId="263" xfId="0" applyFont="1" applyFill="1" applyBorder="1" applyAlignment="1" applyProtection="1">
      <alignment horizontal="right" vertical="center"/>
      <protection locked="0"/>
    </xf>
    <xf numFmtId="0" fontId="169" fillId="40" borderId="252" xfId="0" applyFont="1" applyFill="1" applyBorder="1" applyAlignment="1" applyProtection="1">
      <alignment horizontal="left" vertical="center"/>
      <protection locked="0"/>
    </xf>
    <xf numFmtId="0" fontId="27" fillId="0" borderId="167" xfId="0" applyFont="1" applyBorder="1" applyAlignment="1" applyProtection="1">
      <alignment horizontal="left" vertical="center" indent="1"/>
      <protection locked="0"/>
    </xf>
    <xf numFmtId="0" fontId="21" fillId="0" borderId="199" xfId="0" applyFont="1" applyBorder="1" applyAlignment="1" applyProtection="1">
      <alignment horizontal="left" vertical="center" indent="1"/>
      <protection locked="0"/>
    </xf>
    <xf numFmtId="0" fontId="21" fillId="0" borderId="167" xfId="0" applyFont="1" applyBorder="1" applyAlignment="1" applyProtection="1">
      <alignment horizontal="left" vertical="center" indent="1"/>
      <protection locked="0"/>
    </xf>
    <xf numFmtId="0" fontId="157" fillId="0" borderId="204" xfId="0" applyFont="1" applyBorder="1" applyAlignment="1" applyProtection="1">
      <alignment horizontal="left" vertical="top" indent="1"/>
      <protection locked="0"/>
    </xf>
    <xf numFmtId="0" fontId="194" fillId="0" borderId="197" xfId="0" applyFont="1" applyBorder="1" applyAlignment="1" applyProtection="1">
      <alignment horizontal="left" vertical="center" indent="1"/>
      <protection locked="0"/>
    </xf>
    <xf numFmtId="0" fontId="169" fillId="28" borderId="310" xfId="0" applyFont="1" applyFill="1" applyBorder="1" applyAlignment="1" applyProtection="1">
      <alignment horizontal="right" vertical="center"/>
      <protection locked="0"/>
    </xf>
    <xf numFmtId="0" fontId="169" fillId="28" borderId="55" xfId="0" applyFont="1" applyFill="1" applyBorder="1" applyAlignment="1" applyProtection="1">
      <alignment horizontal="right" vertical="center"/>
      <protection locked="0"/>
    </xf>
    <xf numFmtId="0" fontId="169" fillId="28" borderId="202" xfId="0" applyFont="1" applyFill="1" applyBorder="1" applyAlignment="1" applyProtection="1">
      <alignment horizontal="left" vertical="center"/>
      <protection locked="0"/>
    </xf>
    <xf numFmtId="0" fontId="169" fillId="0" borderId="167" xfId="0" applyFont="1" applyBorder="1" applyAlignment="1" applyProtection="1">
      <alignment horizontal="left" vertical="center" indent="1"/>
      <protection locked="0"/>
    </xf>
    <xf numFmtId="0" fontId="31" fillId="0" borderId="167" xfId="0" applyFont="1" applyBorder="1" applyAlignment="1" applyProtection="1">
      <alignment horizontal="left" vertical="center" indent="1"/>
      <protection locked="0"/>
    </xf>
    <xf numFmtId="0" fontId="31" fillId="0" borderId="74" xfId="0" applyFont="1" applyBorder="1" applyAlignment="1" applyProtection="1">
      <alignment horizontal="left" vertical="center" indent="1"/>
      <protection locked="0"/>
    </xf>
    <xf numFmtId="0" fontId="103" fillId="0" borderId="74" xfId="0" applyFont="1" applyBorder="1" applyAlignment="1" applyProtection="1">
      <alignment horizontal="left" vertical="top" indent="2"/>
      <protection locked="0"/>
    </xf>
    <xf numFmtId="0" fontId="138" fillId="26" borderId="255" xfId="0" applyFont="1" applyFill="1" applyBorder="1" applyAlignment="1" applyProtection="1">
      <alignment horizontal="left" vertical="center"/>
      <protection locked="0"/>
    </xf>
    <xf numFmtId="0" fontId="90" fillId="28" borderId="252" xfId="0" applyFont="1" applyFill="1" applyBorder="1" applyAlignment="1" applyProtection="1">
      <alignment horizontal="left" vertical="center"/>
      <protection locked="0"/>
    </xf>
    <xf numFmtId="164" fontId="20" fillId="0" borderId="310" xfId="0" applyNumberFormat="1" applyFont="1" applyBorder="1" applyAlignment="1" applyProtection="1">
      <protection hidden="1"/>
    </xf>
    <xf numFmtId="165" fontId="29" fillId="0" borderId="332" xfId="0" applyNumberFormat="1" applyFont="1" applyBorder="1" applyAlignment="1" applyProtection="1">
      <alignment horizontal="center"/>
      <protection hidden="1"/>
    </xf>
    <xf numFmtId="164" fontId="20" fillId="0" borderId="342" xfId="0" applyNumberFormat="1" applyFont="1" applyBorder="1" applyAlignment="1" applyProtection="1">
      <protection hidden="1"/>
    </xf>
    <xf numFmtId="164" fontId="20" fillId="0" borderId="99" xfId="0" applyNumberFormat="1" applyFont="1" applyBorder="1" applyAlignment="1" applyProtection="1">
      <protection hidden="1"/>
    </xf>
    <xf numFmtId="165" fontId="29" fillId="0" borderId="100" xfId="0" applyNumberFormat="1" applyFont="1" applyBorder="1" applyAlignment="1" applyProtection="1">
      <alignment horizontal="center"/>
      <protection hidden="1"/>
    </xf>
    <xf numFmtId="164" fontId="20" fillId="0" borderId="199" xfId="0" applyNumberFormat="1" applyFont="1" applyBorder="1" applyAlignment="1" applyProtection="1">
      <protection hidden="1"/>
    </xf>
    <xf numFmtId="0" fontId="21" fillId="0" borderId="74" xfId="0" applyFont="1" applyBorder="1" applyAlignment="1" applyProtection="1">
      <alignment horizontal="left" indent="1"/>
      <protection locked="0"/>
    </xf>
    <xf numFmtId="0" fontId="157" fillId="0" borderId="74" xfId="0" applyFont="1" applyBorder="1" applyAlignment="1" applyProtection="1">
      <alignment horizontal="left" vertical="top" indent="1"/>
      <protection locked="0"/>
    </xf>
    <xf numFmtId="0" fontId="21" fillId="0" borderId="199" xfId="0" applyFont="1" applyBorder="1" applyAlignment="1" applyProtection="1">
      <alignment horizontal="left" indent="1"/>
      <protection locked="0"/>
    </xf>
    <xf numFmtId="0" fontId="20" fillId="0" borderId="199" xfId="0" applyFont="1" applyBorder="1" applyAlignment="1" applyProtection="1">
      <alignment horizontal="left" indent="1"/>
      <protection locked="0"/>
    </xf>
    <xf numFmtId="0" fontId="63" fillId="0" borderId="204" xfId="0" applyFont="1" applyBorder="1" applyAlignment="1" applyProtection="1">
      <alignment horizontal="left" vertical="top" indent="1"/>
      <protection locked="0"/>
    </xf>
    <xf numFmtId="0" fontId="169" fillId="28" borderId="310" xfId="0" applyFont="1" applyFill="1" applyBorder="1" applyAlignment="1" applyProtection="1">
      <alignment horizontal="right"/>
      <protection locked="0"/>
    </xf>
    <xf numFmtId="0" fontId="169" fillId="28" borderId="254" xfId="0" applyFont="1" applyFill="1" applyBorder="1" applyAlignment="1" applyProtection="1">
      <alignment horizontal="left"/>
      <protection locked="0"/>
    </xf>
    <xf numFmtId="0" fontId="169" fillId="28" borderId="9" xfId="0" applyFont="1" applyFill="1" applyBorder="1" applyAlignment="1" applyProtection="1">
      <alignment horizontal="right" vertical="top"/>
      <protection locked="0"/>
    </xf>
    <xf numFmtId="0" fontId="169" fillId="28" borderId="250" xfId="0" applyFont="1" applyFill="1" applyBorder="1" applyAlignment="1" applyProtection="1">
      <alignment horizontal="left" vertical="top"/>
      <protection locked="0"/>
    </xf>
    <xf numFmtId="0" fontId="169" fillId="28" borderId="263" xfId="0" applyFont="1" applyFill="1" applyBorder="1" applyAlignment="1" applyProtection="1">
      <alignment horizontal="right" vertical="top"/>
      <protection locked="0"/>
    </xf>
    <xf numFmtId="0" fontId="169" fillId="28" borderId="252" xfId="0" applyFont="1" applyFill="1" applyBorder="1" applyAlignment="1" applyProtection="1">
      <alignment horizontal="left" vertical="top"/>
      <protection locked="0"/>
    </xf>
    <xf numFmtId="0" fontId="169" fillId="28" borderId="9" xfId="0" applyFont="1" applyFill="1" applyBorder="1" applyAlignment="1" applyProtection="1">
      <alignment horizontal="right"/>
      <protection locked="0"/>
    </xf>
    <xf numFmtId="0" fontId="169" fillId="28" borderId="250" xfId="0" applyFont="1" applyFill="1" applyBorder="1" applyAlignment="1" applyProtection="1">
      <alignment horizontal="left"/>
      <protection locked="0"/>
    </xf>
    <xf numFmtId="0" fontId="157" fillId="0" borderId="200" xfId="0" applyFont="1" applyBorder="1" applyAlignment="1" applyProtection="1">
      <alignment horizontal="left" vertical="top" indent="1"/>
      <protection locked="0"/>
    </xf>
    <xf numFmtId="0" fontId="31" fillId="0" borderId="74" xfId="0" applyFont="1" applyBorder="1" applyAlignment="1" applyProtection="1">
      <alignment horizontal="left" indent="1"/>
      <protection locked="0"/>
    </xf>
    <xf numFmtId="0" fontId="206" fillId="0" borderId="74" xfId="0" applyFont="1" applyBorder="1" applyAlignment="1" applyProtection="1">
      <alignment horizontal="left" vertical="top" indent="1"/>
      <protection locked="0"/>
    </xf>
    <xf numFmtId="0" fontId="20" fillId="0" borderId="14" xfId="0" applyFont="1" applyBorder="1" applyAlignment="1" applyProtection="1">
      <alignment horizontal="left" indent="1"/>
      <protection locked="0"/>
    </xf>
    <xf numFmtId="0" fontId="63" fillId="0" borderId="15" xfId="0" applyFont="1" applyBorder="1" applyAlignment="1" applyProtection="1">
      <alignment horizontal="left" vertical="top" indent="1"/>
      <protection locked="0"/>
    </xf>
    <xf numFmtId="0" fontId="169" fillId="40" borderId="310" xfId="0" applyFont="1" applyFill="1" applyBorder="1" applyAlignment="1" applyProtection="1">
      <alignment horizontal="right"/>
      <protection locked="0"/>
    </xf>
    <xf numFmtId="0" fontId="169" fillId="40" borderId="254" xfId="0" applyFont="1" applyFill="1" applyBorder="1" applyAlignment="1" applyProtection="1">
      <alignment horizontal="left"/>
      <protection locked="0"/>
    </xf>
    <xf numFmtId="0" fontId="169" fillId="40" borderId="328" xfId="0" applyFont="1" applyFill="1" applyBorder="1" applyAlignment="1" applyProtection="1">
      <alignment horizontal="right" vertical="center"/>
      <protection locked="0"/>
    </xf>
    <xf numFmtId="0" fontId="169" fillId="40" borderId="347" xfId="0" applyFont="1" applyFill="1" applyBorder="1" applyAlignment="1" applyProtection="1">
      <alignment horizontal="left" vertical="center"/>
      <protection locked="0"/>
    </xf>
    <xf numFmtId="0" fontId="169" fillId="40" borderId="9" xfId="0" applyFont="1" applyFill="1" applyBorder="1" applyAlignment="1" applyProtection="1">
      <alignment horizontal="right"/>
      <protection locked="0"/>
    </xf>
    <xf numFmtId="0" fontId="169" fillId="40" borderId="250" xfId="0" applyFont="1" applyFill="1" applyBorder="1" applyAlignment="1" applyProtection="1">
      <alignment horizontal="left"/>
      <protection locked="0"/>
    </xf>
    <xf numFmtId="0" fontId="169" fillId="40" borderId="328" xfId="0" applyFont="1" applyFill="1" applyBorder="1" applyAlignment="1" applyProtection="1">
      <alignment horizontal="right" vertical="top"/>
      <protection locked="0"/>
    </xf>
    <xf numFmtId="0" fontId="169" fillId="40" borderId="347" xfId="0" applyFont="1" applyFill="1" applyBorder="1" applyAlignment="1" applyProtection="1">
      <alignment horizontal="left" vertical="top"/>
      <protection locked="0"/>
    </xf>
    <xf numFmtId="0" fontId="175" fillId="28" borderId="9" xfId="0" applyFont="1" applyFill="1" applyBorder="1" applyAlignment="1" applyProtection="1">
      <alignment horizontal="right"/>
      <protection locked="0"/>
    </xf>
    <xf numFmtId="0" fontId="175" fillId="28" borderId="262" xfId="0" applyFont="1" applyFill="1" applyBorder="1" applyAlignment="1" applyProtection="1">
      <alignment horizontal="left"/>
      <protection locked="0"/>
    </xf>
    <xf numFmtId="0" fontId="21" fillId="28" borderId="9" xfId="0" applyFont="1" applyFill="1" applyBorder="1" applyAlignment="1" applyProtection="1">
      <alignment horizontal="right" vertical="center"/>
      <protection locked="0"/>
    </xf>
    <xf numFmtId="0" fontId="21" fillId="28" borderId="249" xfId="0" applyFont="1" applyFill="1" applyBorder="1" applyAlignment="1" applyProtection="1">
      <alignment horizontal="left" vertical="center"/>
      <protection locked="0"/>
    </xf>
    <xf numFmtId="0" fontId="20" fillId="28" borderId="24" xfId="0" applyFont="1" applyFill="1" applyBorder="1" applyAlignment="1" applyProtection="1">
      <alignment horizontal="right"/>
      <protection locked="0"/>
    </xf>
    <xf numFmtId="0" fontId="20" fillId="28" borderId="25" xfId="0" applyFont="1" applyFill="1" applyBorder="1" applyAlignment="1" applyProtection="1">
      <alignment horizontal="left"/>
      <protection locked="0"/>
    </xf>
    <xf numFmtId="0" fontId="15" fillId="28" borderId="121" xfId="0" applyFont="1" applyFill="1" applyBorder="1" applyAlignment="1" applyProtection="1">
      <alignment horizontal="right" vertical="top"/>
      <protection locked="0"/>
    </xf>
    <xf numFmtId="0" fontId="15" fillId="28" borderId="249" xfId="0" applyFont="1" applyFill="1" applyBorder="1" applyAlignment="1" applyProtection="1">
      <alignment horizontal="left" vertical="top"/>
      <protection locked="0"/>
    </xf>
    <xf numFmtId="0" fontId="168" fillId="21" borderId="184" xfId="0" applyFont="1" applyFill="1" applyBorder="1" applyAlignment="1" applyProtection="1">
      <alignment horizontal="left" vertical="center" indent="1"/>
      <protection locked="0"/>
    </xf>
    <xf numFmtId="0" fontId="31" fillId="0" borderId="75" xfId="0" applyFont="1" applyBorder="1" applyAlignment="1" applyProtection="1">
      <alignment horizontal="left" vertical="center" indent="1"/>
      <protection locked="0"/>
    </xf>
    <xf numFmtId="0" fontId="169" fillId="40" borderId="329" xfId="0" applyFont="1" applyFill="1" applyBorder="1" applyAlignment="1" applyProtection="1">
      <alignment horizontal="right" vertical="center"/>
      <protection locked="0"/>
    </xf>
    <xf numFmtId="0" fontId="169" fillId="40" borderId="346" xfId="0" applyFont="1" applyFill="1" applyBorder="1" applyAlignment="1" applyProtection="1">
      <alignment horizontal="left" vertical="center"/>
      <protection locked="0"/>
    </xf>
    <xf numFmtId="0" fontId="169" fillId="21" borderId="264" xfId="0" applyFont="1" applyFill="1" applyBorder="1" applyAlignment="1" applyProtection="1">
      <alignment horizontal="right" vertical="center"/>
      <protection locked="0"/>
    </xf>
    <xf numFmtId="0" fontId="169" fillId="21" borderId="265" xfId="0" applyFont="1" applyFill="1" applyBorder="1" applyAlignment="1" applyProtection="1">
      <alignment horizontal="left" vertical="center"/>
      <protection locked="0"/>
    </xf>
    <xf numFmtId="0" fontId="168" fillId="0" borderId="167" xfId="0" applyFont="1" applyBorder="1" applyAlignment="1" applyProtection="1">
      <alignment horizontal="left" vertical="center" indent="1"/>
      <protection locked="0"/>
    </xf>
    <xf numFmtId="0" fontId="28" fillId="0" borderId="167" xfId="0" applyFont="1" applyBorder="1" applyAlignment="1" applyProtection="1">
      <alignment horizontal="left" vertical="center" indent="1"/>
      <protection locked="0"/>
    </xf>
    <xf numFmtId="0" fontId="28" fillId="0" borderId="199" xfId="0" applyFont="1" applyBorder="1" applyAlignment="1" applyProtection="1">
      <alignment horizontal="left" vertical="center" indent="1"/>
      <protection locked="0"/>
    </xf>
    <xf numFmtId="0" fontId="169" fillId="0" borderId="167" xfId="0" applyFont="1" applyFill="1" applyBorder="1" applyAlignment="1" applyProtection="1">
      <alignment horizontal="left" vertical="center" indent="1"/>
      <protection locked="0"/>
    </xf>
    <xf numFmtId="0" fontId="169" fillId="0" borderId="204" xfId="0" applyFont="1" applyFill="1" applyBorder="1" applyAlignment="1" applyProtection="1">
      <alignment horizontal="left" vertical="center" indent="1"/>
      <protection locked="0"/>
    </xf>
    <xf numFmtId="0" fontId="175" fillId="0" borderId="199" xfId="0" applyFont="1" applyFill="1" applyBorder="1" applyAlignment="1" applyProtection="1">
      <alignment horizontal="left" vertical="center" indent="1"/>
      <protection locked="0"/>
    </xf>
    <xf numFmtId="0" fontId="169" fillId="28" borderId="329" xfId="0" applyFont="1" applyFill="1" applyBorder="1" applyAlignment="1" applyProtection="1">
      <alignment horizontal="right" vertical="center"/>
      <protection locked="0"/>
    </xf>
    <xf numFmtId="0" fontId="169" fillId="28" borderId="346" xfId="0" applyFont="1" applyFill="1" applyBorder="1" applyAlignment="1" applyProtection="1">
      <alignment horizontal="left" vertical="center"/>
      <protection locked="0"/>
    </xf>
    <xf numFmtId="0" fontId="169" fillId="40" borderId="24" xfId="0" applyFont="1" applyFill="1" applyBorder="1" applyAlignment="1" applyProtection="1">
      <alignment horizontal="right" vertical="center"/>
      <protection locked="0"/>
    </xf>
    <xf numFmtId="0" fontId="169" fillId="40" borderId="25" xfId="0" applyFont="1" applyFill="1" applyBorder="1" applyAlignment="1" applyProtection="1">
      <alignment horizontal="left" vertical="center"/>
      <protection locked="0"/>
    </xf>
    <xf numFmtId="0" fontId="139" fillId="26" borderId="348" xfId="0" applyFont="1" applyFill="1" applyBorder="1" applyAlignment="1" applyProtection="1">
      <alignment horizontal="left" vertical="top"/>
      <protection locked="0"/>
    </xf>
    <xf numFmtId="165" fontId="128" fillId="19" borderId="276" xfId="0" applyNumberFormat="1" applyFont="1" applyFill="1" applyBorder="1" applyAlignment="1" applyProtection="1">
      <alignment horizontal="center" vertical="center"/>
      <protection hidden="1"/>
    </xf>
    <xf numFmtId="9" fontId="22" fillId="4" borderId="285" xfId="0" applyNumberFormat="1" applyFont="1" applyFill="1" applyBorder="1" applyAlignment="1" applyProtection="1">
      <alignment horizontal="center" vertical="center"/>
      <protection hidden="1"/>
    </xf>
    <xf numFmtId="165" fontId="27" fillId="0" borderId="277" xfId="0" applyNumberFormat="1" applyFont="1" applyFill="1" applyBorder="1" applyAlignment="1" applyProtection="1">
      <alignment horizontal="center"/>
      <protection locked="0"/>
    </xf>
    <xf numFmtId="164" fontId="27" fillId="0" borderId="9" xfId="0" applyNumberFormat="1" applyFont="1" applyFill="1" applyBorder="1" applyAlignment="1" applyProtection="1">
      <alignment vertical="center"/>
      <protection locked="0"/>
    </xf>
    <xf numFmtId="1" fontId="22" fillId="4" borderId="352" xfId="0" applyNumberFormat="1" applyFont="1" applyFill="1" applyBorder="1" applyAlignment="1" applyProtection="1">
      <alignment horizontal="center" vertical="center"/>
      <protection hidden="1"/>
    </xf>
    <xf numFmtId="165" fontId="22" fillId="4" borderId="331" xfId="0" applyNumberFormat="1" applyFont="1" applyFill="1" applyBorder="1" applyAlignment="1" applyProtection="1">
      <alignment horizontal="center" vertical="center"/>
      <protection hidden="1"/>
    </xf>
    <xf numFmtId="1" fontId="22" fillId="4" borderId="353" xfId="0" applyNumberFormat="1" applyFont="1" applyFill="1" applyBorder="1" applyAlignment="1" applyProtection="1">
      <alignment horizontal="center" vertical="center"/>
      <protection hidden="1"/>
    </xf>
    <xf numFmtId="165" fontId="22" fillId="4" borderId="354" xfId="0" applyNumberFormat="1" applyFont="1" applyFill="1" applyBorder="1" applyAlignment="1" applyProtection="1">
      <alignment horizontal="center" vertical="center"/>
      <protection hidden="1"/>
    </xf>
    <xf numFmtId="1" fontId="22" fillId="4" borderId="355" xfId="0" applyNumberFormat="1" applyFont="1" applyFill="1" applyBorder="1" applyAlignment="1" applyProtection="1">
      <alignment horizontal="center" vertical="center"/>
      <protection hidden="1"/>
    </xf>
    <xf numFmtId="165" fontId="22" fillId="4" borderId="356" xfId="0" applyNumberFormat="1" applyFont="1" applyFill="1" applyBorder="1" applyAlignment="1" applyProtection="1">
      <alignment horizontal="center" vertical="center"/>
      <protection hidden="1"/>
    </xf>
    <xf numFmtId="1" fontId="22" fillId="4" borderId="15" xfId="0" applyNumberFormat="1" applyFont="1" applyFill="1" applyBorder="1" applyAlignment="1" applyProtection="1">
      <alignment horizontal="center" vertical="center"/>
      <protection hidden="1"/>
    </xf>
    <xf numFmtId="165" fontId="22" fillId="4" borderId="339" xfId="0" applyNumberFormat="1" applyFont="1" applyFill="1" applyBorder="1" applyAlignment="1" applyProtection="1">
      <alignment horizontal="center" vertical="center"/>
      <protection hidden="1"/>
    </xf>
    <xf numFmtId="1" fontId="22" fillId="4" borderId="357" xfId="0" applyNumberFormat="1" applyFont="1" applyFill="1" applyBorder="1" applyAlignment="1" applyProtection="1">
      <alignment horizontal="center" vertical="center"/>
      <protection hidden="1"/>
    </xf>
    <xf numFmtId="165" fontId="22" fillId="4" borderId="178" xfId="0" applyNumberFormat="1" applyFont="1" applyFill="1" applyBorder="1" applyAlignment="1" applyProtection="1">
      <alignment horizontal="center" vertical="center"/>
      <protection hidden="1"/>
    </xf>
    <xf numFmtId="1" fontId="22" fillId="4" borderId="18" xfId="0" applyNumberFormat="1" applyFont="1" applyFill="1" applyBorder="1" applyAlignment="1" applyProtection="1">
      <alignment horizontal="center" vertical="center"/>
      <protection hidden="1"/>
    </xf>
    <xf numFmtId="165" fontId="22" fillId="4" borderId="358" xfId="0" applyNumberFormat="1" applyFont="1" applyFill="1" applyBorder="1" applyAlignment="1" applyProtection="1">
      <alignment horizontal="center" vertical="center"/>
      <protection hidden="1"/>
    </xf>
    <xf numFmtId="165" fontId="22" fillId="4" borderId="92" xfId="0" applyNumberFormat="1" applyFont="1" applyFill="1" applyBorder="1" applyAlignment="1" applyProtection="1">
      <alignment horizontal="center" vertical="center"/>
      <protection hidden="1"/>
    </xf>
    <xf numFmtId="167" fontId="24" fillId="32" borderId="322" xfId="0" applyNumberFormat="1" applyFont="1" applyFill="1" applyBorder="1" applyAlignment="1" applyProtection="1">
      <alignment horizontal="center" vertical="top"/>
      <protection locked="0"/>
    </xf>
    <xf numFmtId="167" fontId="24" fillId="32" borderId="323" xfId="0" applyNumberFormat="1" applyFont="1" applyFill="1" applyBorder="1" applyAlignment="1" applyProtection="1">
      <alignment horizontal="center" vertical="top"/>
      <protection locked="0"/>
    </xf>
    <xf numFmtId="165" fontId="156" fillId="0" borderId="16" xfId="0" applyNumberFormat="1" applyFont="1" applyBorder="1" applyAlignment="1" applyProtection="1">
      <alignment horizontal="center" vertical="center"/>
      <protection hidden="1"/>
    </xf>
    <xf numFmtId="164" fontId="12" fillId="43" borderId="334" xfId="0" applyNumberFormat="1" applyFont="1" applyFill="1" applyBorder="1" applyAlignment="1" applyProtection="1">
      <alignment vertical="center"/>
      <protection locked="0"/>
    </xf>
    <xf numFmtId="164" fontId="28" fillId="43" borderId="277" xfId="0" applyNumberFormat="1" applyFont="1" applyFill="1" applyBorder="1" applyAlignment="1" applyProtection="1">
      <alignment vertical="center"/>
      <protection locked="0"/>
    </xf>
    <xf numFmtId="164" fontId="12" fillId="43" borderId="297" xfId="0" applyNumberFormat="1" applyFont="1" applyFill="1" applyBorder="1" applyAlignment="1" applyProtection="1">
      <alignment vertical="center"/>
      <protection hidden="1"/>
    </xf>
    <xf numFmtId="165" fontId="156" fillId="43" borderId="337" xfId="0" applyNumberFormat="1" applyFont="1" applyFill="1" applyBorder="1" applyAlignment="1" applyProtection="1">
      <alignment horizontal="center" vertical="center"/>
      <protection locked="0"/>
    </xf>
    <xf numFmtId="0" fontId="0" fillId="43" borderId="277" xfId="0" applyFill="1" applyBorder="1" applyAlignment="1">
      <alignment vertical="center"/>
    </xf>
    <xf numFmtId="0" fontId="0" fillId="43" borderId="297" xfId="0" applyFill="1" applyBorder="1" applyAlignment="1">
      <alignment vertical="center"/>
    </xf>
    <xf numFmtId="164" fontId="15" fillId="43" borderId="337" xfId="0" applyNumberFormat="1" applyFont="1" applyFill="1" applyBorder="1" applyAlignment="1" applyProtection="1">
      <alignment vertical="center"/>
      <protection hidden="1"/>
    </xf>
    <xf numFmtId="164" fontId="12" fillId="43" borderId="112" xfId="0" applyNumberFormat="1" applyFont="1" applyFill="1" applyBorder="1" applyAlignment="1" applyProtection="1">
      <alignment vertical="center"/>
      <protection locked="0"/>
    </xf>
    <xf numFmtId="164" fontId="28" fillId="43" borderId="110" xfId="0" applyNumberFormat="1" applyFont="1" applyFill="1" applyBorder="1" applyAlignment="1" applyProtection="1">
      <alignment vertical="center"/>
      <protection locked="0"/>
    </xf>
    <xf numFmtId="164" fontId="12" fillId="43" borderId="181" xfId="0" applyNumberFormat="1" applyFont="1" applyFill="1" applyBorder="1" applyAlignment="1" applyProtection="1">
      <alignment vertical="center"/>
      <protection hidden="1"/>
    </xf>
    <xf numFmtId="165" fontId="156" fillId="43" borderId="285" xfId="0" applyNumberFormat="1" applyFont="1" applyFill="1" applyBorder="1" applyAlignment="1" applyProtection="1">
      <alignment horizontal="center" vertical="center"/>
      <protection locked="0"/>
    </xf>
    <xf numFmtId="0" fontId="0" fillId="43" borderId="110" xfId="0" applyFill="1" applyBorder="1" applyAlignment="1">
      <alignment vertical="center"/>
    </xf>
    <xf numFmtId="0" fontId="0" fillId="43" borderId="181" xfId="0" applyFill="1" applyBorder="1" applyAlignment="1">
      <alignment vertical="center"/>
    </xf>
    <xf numFmtId="0" fontId="12" fillId="43" borderId="285" xfId="0" applyFont="1" applyFill="1" applyBorder="1" applyProtection="1">
      <protection locked="0"/>
    </xf>
    <xf numFmtId="164" fontId="15" fillId="43" borderId="297" xfId="0" applyNumberFormat="1" applyFont="1" applyFill="1" applyBorder="1" applyAlignment="1" applyProtection="1">
      <alignment vertical="center"/>
      <protection hidden="1"/>
    </xf>
    <xf numFmtId="0" fontId="12" fillId="43" borderId="181" xfId="0" applyFont="1" applyFill="1" applyBorder="1" applyProtection="1">
      <protection locked="0"/>
    </xf>
    <xf numFmtId="164" fontId="42" fillId="0" borderId="247" xfId="0" applyNumberFormat="1" applyFont="1" applyBorder="1" applyAlignment="1" applyProtection="1">
      <alignment vertical="center"/>
      <protection hidden="1"/>
    </xf>
    <xf numFmtId="165" fontId="156" fillId="43" borderId="279" xfId="0" applyNumberFormat="1" applyFont="1" applyFill="1" applyBorder="1" applyAlignment="1" applyProtection="1">
      <alignment horizontal="center" vertical="center"/>
      <protection locked="0"/>
    </xf>
    <xf numFmtId="164" fontId="42" fillId="0" borderId="53" xfId="0" applyNumberFormat="1" applyFont="1" applyBorder="1" applyAlignment="1" applyProtection="1">
      <alignment vertical="center"/>
      <protection hidden="1"/>
    </xf>
    <xf numFmtId="164" fontId="42" fillId="0" borderId="53" xfId="0" applyNumberFormat="1" applyFont="1" applyBorder="1" applyAlignment="1" applyProtection="1">
      <alignment vertical="center"/>
      <protection locked="0"/>
    </xf>
    <xf numFmtId="0" fontId="12" fillId="43" borderId="187" xfId="0" applyFont="1" applyFill="1" applyBorder="1" applyProtection="1">
      <protection locked="0"/>
    </xf>
    <xf numFmtId="0" fontId="12" fillId="43" borderId="362" xfId="0" applyFont="1" applyFill="1" applyBorder="1" applyProtection="1">
      <protection locked="0"/>
    </xf>
    <xf numFmtId="0" fontId="12" fillId="43" borderId="110" xfId="0" applyFont="1" applyFill="1" applyBorder="1" applyProtection="1">
      <protection locked="0"/>
    </xf>
    <xf numFmtId="0" fontId="12" fillId="43" borderId="180" xfId="0" applyFont="1" applyFill="1" applyBorder="1" applyProtection="1">
      <protection locked="0"/>
    </xf>
    <xf numFmtId="9" fontId="143" fillId="25" borderId="288" xfId="0" applyNumberFormat="1" applyFont="1" applyFill="1" applyBorder="1" applyAlignment="1" applyProtection="1">
      <alignment horizontal="center" vertical="center"/>
      <protection hidden="1"/>
    </xf>
    <xf numFmtId="9" fontId="144" fillId="0" borderId="277" xfId="0" applyNumberFormat="1" applyFont="1" applyFill="1" applyBorder="1" applyAlignment="1" applyProtection="1">
      <alignment horizontal="center" vertical="center"/>
      <protection locked="0"/>
    </xf>
    <xf numFmtId="9" fontId="144" fillId="0" borderId="281" xfId="0" applyNumberFormat="1" applyFont="1" applyFill="1" applyBorder="1" applyAlignment="1" applyProtection="1">
      <alignment horizontal="center" vertical="center"/>
      <protection locked="0"/>
    </xf>
    <xf numFmtId="164" fontId="12" fillId="0" borderId="277" xfId="0" applyNumberFormat="1" applyFont="1" applyFill="1" applyBorder="1" applyAlignment="1" applyProtection="1">
      <alignment vertical="center"/>
      <protection locked="0"/>
    </xf>
    <xf numFmtId="9" fontId="144" fillId="28" borderId="334" xfId="4" applyNumberFormat="1" applyFont="1" applyFill="1" applyBorder="1" applyAlignment="1" applyProtection="1">
      <alignment horizontal="center" vertical="center"/>
      <protection hidden="1"/>
    </xf>
    <xf numFmtId="9" fontId="144" fillId="28" borderId="278" xfId="4" applyNumberFormat="1" applyFont="1" applyFill="1" applyBorder="1" applyAlignment="1" applyProtection="1">
      <alignment horizontal="center" vertical="center"/>
      <protection hidden="1"/>
    </xf>
    <xf numFmtId="9" fontId="144" fillId="28" borderId="277" xfId="4" applyNumberFormat="1" applyFont="1" applyFill="1" applyBorder="1" applyAlignment="1" applyProtection="1">
      <alignment horizontal="center" vertical="center"/>
      <protection hidden="1"/>
    </xf>
    <xf numFmtId="9" fontId="143" fillId="28" borderId="297" xfId="4" applyNumberFormat="1" applyFont="1" applyFill="1" applyBorder="1" applyAlignment="1" applyProtection="1">
      <alignment horizontal="center" vertical="center"/>
      <protection hidden="1"/>
    </xf>
    <xf numFmtId="164" fontId="15" fillId="43" borderId="288" xfId="0" applyNumberFormat="1" applyFont="1" applyFill="1" applyBorder="1" applyAlignment="1" applyProtection="1">
      <alignment vertical="center"/>
      <protection hidden="1"/>
    </xf>
    <xf numFmtId="164" fontId="12" fillId="43" borderId="332" xfId="0" applyNumberFormat="1" applyFont="1" applyFill="1" applyBorder="1" applyAlignment="1" applyProtection="1">
      <alignment vertical="center"/>
      <protection hidden="1"/>
    </xf>
    <xf numFmtId="164" fontId="12" fillId="43" borderId="277" xfId="0" applyNumberFormat="1" applyFont="1" applyFill="1" applyBorder="1" applyAlignment="1" applyProtection="1">
      <alignment vertical="center"/>
      <protection hidden="1"/>
    </xf>
    <xf numFmtId="164" fontId="12" fillId="43" borderId="281" xfId="0" applyNumberFormat="1" applyFont="1" applyFill="1" applyBorder="1" applyAlignment="1" applyProtection="1">
      <alignment vertical="center"/>
      <protection hidden="1"/>
    </xf>
    <xf numFmtId="0" fontId="169" fillId="28" borderId="363" xfId="0" applyFont="1" applyFill="1" applyBorder="1" applyAlignment="1" applyProtection="1">
      <alignment horizontal="left" vertical="center"/>
      <protection locked="0"/>
    </xf>
    <xf numFmtId="164" fontId="12" fillId="0" borderId="99" xfId="0" applyNumberFormat="1" applyFont="1" applyFill="1" applyBorder="1" applyAlignment="1" applyProtection="1">
      <alignment vertical="center"/>
      <protection locked="0"/>
    </xf>
    <xf numFmtId="164" fontId="12" fillId="43" borderId="332" xfId="0" applyNumberFormat="1" applyFont="1" applyFill="1" applyBorder="1" applyAlignment="1" applyProtection="1">
      <alignment vertical="center"/>
      <protection locked="0"/>
    </xf>
    <xf numFmtId="164" fontId="12" fillId="0" borderId="99" xfId="0" applyNumberFormat="1" applyFont="1" applyBorder="1" applyAlignment="1" applyProtection="1">
      <alignment vertical="center"/>
      <protection locked="0"/>
    </xf>
    <xf numFmtId="164" fontId="12" fillId="43" borderId="100" xfId="0" applyNumberFormat="1" applyFont="1" applyFill="1" applyBorder="1" applyAlignment="1" applyProtection="1">
      <alignment vertical="center"/>
      <protection locked="0"/>
    </xf>
    <xf numFmtId="165" fontId="49" fillId="4" borderId="364" xfId="0" applyNumberFormat="1" applyFont="1" applyFill="1" applyBorder="1" applyAlignment="1" applyProtection="1">
      <alignment horizontal="center" vertical="center"/>
      <protection locked="0"/>
    </xf>
    <xf numFmtId="10" fontId="14" fillId="4" borderId="365" xfId="0" applyNumberFormat="1" applyFont="1" applyFill="1" applyBorder="1" applyAlignment="1" applyProtection="1">
      <alignment horizontal="center"/>
      <protection locked="0"/>
    </xf>
    <xf numFmtId="164" fontId="28" fillId="0" borderId="105" xfId="0" applyNumberFormat="1" applyFont="1" applyFill="1" applyBorder="1" applyAlignment="1" applyProtection="1">
      <alignment vertical="center"/>
      <protection hidden="1"/>
    </xf>
    <xf numFmtId="0" fontId="0" fillId="43" borderId="336" xfId="0" applyFill="1" applyBorder="1" applyAlignment="1">
      <alignment vertical="center"/>
    </xf>
    <xf numFmtId="164" fontId="28" fillId="0" borderId="105" xfId="0" applyNumberFormat="1" applyFont="1" applyBorder="1" applyAlignment="1" applyProtection="1">
      <alignment vertical="center"/>
      <protection hidden="1"/>
    </xf>
    <xf numFmtId="0" fontId="14" fillId="4" borderId="267" xfId="0" applyFont="1" applyFill="1" applyBorder="1" applyAlignment="1" applyProtection="1">
      <alignment horizontal="center"/>
      <protection locked="0"/>
    </xf>
    <xf numFmtId="0" fontId="21" fillId="0" borderId="74" xfId="0" applyFont="1" applyBorder="1" applyAlignment="1" applyProtection="1">
      <alignment horizontal="left" vertical="center" indent="1"/>
      <protection locked="0"/>
    </xf>
    <xf numFmtId="0" fontId="21" fillId="0" borderId="0" xfId="0" applyFont="1" applyBorder="1" applyAlignment="1" applyProtection="1">
      <alignment vertical="center"/>
      <protection locked="0"/>
    </xf>
    <xf numFmtId="0" fontId="169" fillId="0" borderId="0" xfId="0" applyFont="1" applyBorder="1" applyAlignment="1" applyProtection="1">
      <alignment vertical="center"/>
      <protection locked="0"/>
    </xf>
    <xf numFmtId="176" fontId="12" fillId="43" borderId="281" xfId="0" applyNumberFormat="1" applyFont="1" applyFill="1" applyBorder="1" applyAlignment="1" applyProtection="1">
      <alignment vertical="center"/>
      <protection hidden="1"/>
    </xf>
    <xf numFmtId="0" fontId="169" fillId="47" borderId="247" xfId="0" applyFont="1" applyFill="1" applyBorder="1" applyAlignment="1" applyProtection="1">
      <alignment horizontal="right" vertical="center"/>
      <protection locked="0"/>
    </xf>
    <xf numFmtId="0" fontId="169" fillId="47" borderId="202" xfId="0" applyFont="1" applyFill="1" applyBorder="1" applyAlignment="1" applyProtection="1">
      <alignment horizontal="left" vertical="center"/>
      <protection locked="0"/>
    </xf>
    <xf numFmtId="164" fontId="169" fillId="47" borderId="53" xfId="0" applyNumberFormat="1" applyFont="1" applyFill="1" applyBorder="1" applyAlignment="1" applyProtection="1">
      <alignment horizontal="center" vertical="center"/>
      <protection locked="0"/>
    </xf>
    <xf numFmtId="176" fontId="169" fillId="47" borderId="53" xfId="0" applyNumberFormat="1" applyFont="1" applyFill="1" applyBorder="1" applyAlignment="1" applyProtection="1">
      <alignment horizontal="center" vertical="center"/>
      <protection hidden="1"/>
    </xf>
    <xf numFmtId="164" fontId="169" fillId="43" borderId="279" xfId="0" applyNumberFormat="1" applyFont="1" applyFill="1" applyBorder="1" applyAlignment="1" applyProtection="1">
      <alignment vertical="center"/>
      <protection locked="0"/>
    </xf>
    <xf numFmtId="176" fontId="4" fillId="43" borderId="279" xfId="0" applyNumberFormat="1" applyFont="1" applyFill="1" applyBorder="1" applyAlignment="1">
      <alignment vertical="center"/>
    </xf>
    <xf numFmtId="164" fontId="169" fillId="43" borderId="98" xfId="0" applyNumberFormat="1" applyFont="1" applyFill="1" applyBorder="1" applyAlignment="1" applyProtection="1">
      <alignment vertical="center"/>
      <protection locked="0"/>
    </xf>
    <xf numFmtId="0" fontId="4" fillId="43" borderId="98" xfId="0" applyFont="1" applyFill="1" applyBorder="1" applyAlignment="1">
      <alignment vertical="center"/>
    </xf>
    <xf numFmtId="176" fontId="169" fillId="48" borderId="18" xfId="0" applyNumberFormat="1" applyFont="1" applyFill="1" applyBorder="1" applyAlignment="1" applyProtection="1">
      <alignment horizontal="center" vertical="center"/>
      <protection hidden="1"/>
    </xf>
    <xf numFmtId="164" fontId="12" fillId="43" borderId="90" xfId="0" applyNumberFormat="1" applyFont="1" applyFill="1" applyBorder="1" applyAlignment="1" applyProtection="1">
      <alignment vertical="center"/>
      <protection locked="0"/>
    </xf>
    <xf numFmtId="164" fontId="220" fillId="21" borderId="159" xfId="0" applyNumberFormat="1" applyFont="1" applyFill="1" applyBorder="1" applyAlignment="1" applyProtection="1">
      <alignment vertical="center"/>
      <protection hidden="1"/>
    </xf>
    <xf numFmtId="164" fontId="12" fillId="21" borderId="103" xfId="0" applyNumberFormat="1" applyFont="1" applyFill="1" applyBorder="1" applyAlignment="1" applyProtection="1">
      <alignment vertical="center"/>
      <protection locked="0"/>
    </xf>
    <xf numFmtId="164" fontId="12" fillId="0" borderId="93" xfId="0" applyNumberFormat="1" applyFont="1" applyBorder="1" applyAlignment="1" applyProtection="1">
      <alignment vertical="center"/>
      <protection hidden="1"/>
    </xf>
    <xf numFmtId="164" fontId="12" fillId="0" borderId="96" xfId="0" applyNumberFormat="1" applyFont="1" applyBorder="1" applyAlignment="1" applyProtection="1">
      <alignment vertical="center"/>
      <protection hidden="1"/>
    </xf>
    <xf numFmtId="164" fontId="12" fillId="0" borderId="96" xfId="0" applyNumberFormat="1" applyFont="1" applyBorder="1" applyAlignment="1" applyProtection="1">
      <alignment vertical="center"/>
      <protection locked="0"/>
    </xf>
    <xf numFmtId="164" fontId="12" fillId="0" borderId="90" xfId="0" applyNumberFormat="1" applyFont="1" applyBorder="1" applyAlignment="1" applyProtection="1">
      <alignment vertical="center"/>
      <protection locked="0"/>
    </xf>
    <xf numFmtId="164" fontId="12" fillId="0" borderId="90" xfId="0" applyNumberFormat="1" applyFont="1" applyBorder="1" applyAlignment="1" applyProtection="1">
      <alignment vertical="center"/>
      <protection hidden="1"/>
    </xf>
    <xf numFmtId="164" fontId="12" fillId="28" borderId="159" xfId="0" applyNumberFormat="1" applyFont="1" applyFill="1" applyBorder="1" applyAlignment="1" applyProtection="1">
      <alignment vertical="center"/>
      <protection locked="0"/>
    </xf>
    <xf numFmtId="164" fontId="128" fillId="28" borderId="103" xfId="0" applyNumberFormat="1" applyFont="1" applyFill="1" applyBorder="1" applyAlignment="1" applyProtection="1">
      <alignment vertical="center"/>
      <protection hidden="1"/>
    </xf>
    <xf numFmtId="164" fontId="21" fillId="0" borderId="93" xfId="0" applyNumberFormat="1" applyFont="1" applyBorder="1" applyAlignment="1" applyProtection="1">
      <alignment vertical="center"/>
      <protection hidden="1"/>
    </xf>
    <xf numFmtId="164" fontId="21" fillId="0" borderId="96" xfId="0" applyNumberFormat="1" applyFont="1" applyBorder="1" applyAlignment="1" applyProtection="1">
      <alignment vertical="center"/>
      <protection hidden="1"/>
    </xf>
    <xf numFmtId="164" fontId="21" fillId="0" borderId="92" xfId="0" applyNumberFormat="1" applyFont="1" applyBorder="1" applyAlignment="1" applyProtection="1">
      <alignment vertical="center"/>
      <protection hidden="1"/>
    </xf>
    <xf numFmtId="164" fontId="21" fillId="0" borderId="96" xfId="0" applyNumberFormat="1" applyFont="1" applyFill="1" applyBorder="1" applyAlignment="1" applyProtection="1">
      <alignment vertical="center"/>
      <protection hidden="1"/>
    </xf>
    <xf numFmtId="164" fontId="21" fillId="0" borderId="91" xfId="0" applyNumberFormat="1" applyFont="1" applyBorder="1" applyAlignment="1" applyProtection="1">
      <alignment vertical="center"/>
      <protection hidden="1"/>
    </xf>
    <xf numFmtId="164" fontId="21" fillId="0" borderId="92" xfId="0" applyNumberFormat="1" applyFont="1" applyFill="1" applyBorder="1" applyAlignment="1" applyProtection="1">
      <alignment vertical="center"/>
      <protection hidden="1"/>
    </xf>
    <xf numFmtId="164" fontId="21" fillId="0" borderId="93" xfId="0" applyNumberFormat="1" applyFont="1" applyFill="1" applyBorder="1" applyAlignment="1" applyProtection="1">
      <alignment vertical="center"/>
      <protection hidden="1"/>
    </xf>
    <xf numFmtId="164" fontId="44" fillId="21" borderId="81" xfId="0" applyNumberFormat="1" applyFont="1" applyFill="1" applyBorder="1" applyAlignment="1" applyProtection="1">
      <alignment vertical="center"/>
      <protection hidden="1"/>
    </xf>
    <xf numFmtId="164" fontId="15" fillId="28" borderId="103" xfId="0" applyNumberFormat="1" applyFont="1" applyFill="1" applyBorder="1" applyAlignment="1" applyProtection="1">
      <alignment vertical="center"/>
      <protection hidden="1"/>
    </xf>
    <xf numFmtId="164" fontId="12" fillId="0" borderId="366" xfId="0" applyNumberFormat="1" applyFont="1" applyBorder="1" applyAlignment="1" applyProtection="1">
      <alignment vertical="center"/>
      <protection hidden="1"/>
    </xf>
    <xf numFmtId="0" fontId="179" fillId="0" borderId="258" xfId="0" applyFont="1" applyBorder="1" applyAlignment="1" applyProtection="1">
      <alignment horizontal="left" vertical="center"/>
      <protection locked="0"/>
    </xf>
    <xf numFmtId="0" fontId="179" fillId="0" borderId="258" xfId="0" applyFont="1" applyBorder="1" applyAlignment="1" applyProtection="1">
      <alignment horizontal="left" vertical="center" indent="1"/>
      <protection locked="0"/>
    </xf>
    <xf numFmtId="0" fontId="179" fillId="0" borderId="260" xfId="0" applyFont="1" applyBorder="1" applyAlignment="1" applyProtection="1">
      <alignment horizontal="right" vertical="center" indent="1"/>
      <protection locked="0"/>
    </xf>
    <xf numFmtId="164" fontId="12" fillId="0" borderId="256" xfId="0" applyNumberFormat="1" applyFont="1" applyBorder="1" applyAlignment="1" applyProtection="1">
      <alignment vertical="center"/>
      <protection hidden="1"/>
    </xf>
    <xf numFmtId="164" fontId="12" fillId="0" borderId="367" xfId="0" applyNumberFormat="1" applyFont="1" applyBorder="1" applyAlignment="1" applyProtection="1">
      <alignment vertical="center"/>
      <protection hidden="1"/>
    </xf>
    <xf numFmtId="0" fontId="179" fillId="0" borderId="256" xfId="0" applyFont="1" applyBorder="1" applyProtection="1">
      <protection locked="0"/>
    </xf>
    <xf numFmtId="0" fontId="169" fillId="0" borderId="368" xfId="0" applyFont="1" applyBorder="1" applyAlignment="1" applyProtection="1">
      <alignment horizontal="left" vertical="center" indent="1"/>
      <protection locked="0"/>
    </xf>
    <xf numFmtId="0" fontId="169" fillId="28" borderId="369" xfId="0" applyFont="1" applyFill="1" applyBorder="1" applyAlignment="1" applyProtection="1">
      <alignment horizontal="right" vertical="center"/>
      <protection locked="0"/>
    </xf>
    <xf numFmtId="0" fontId="169" fillId="28" borderId="370" xfId="0" applyFont="1" applyFill="1" applyBorder="1" applyAlignment="1" applyProtection="1">
      <alignment vertical="center"/>
      <protection locked="0"/>
    </xf>
    <xf numFmtId="164" fontId="12" fillId="0" borderId="371" xfId="0" applyNumberFormat="1" applyFont="1" applyBorder="1" applyAlignment="1" applyProtection="1">
      <alignment vertical="center"/>
      <protection locked="0"/>
    </xf>
    <xf numFmtId="164" fontId="12" fillId="0" borderId="230" xfId="0" applyNumberFormat="1" applyFont="1" applyBorder="1" applyAlignment="1" applyProtection="1">
      <alignment vertical="center"/>
      <protection locked="0"/>
    </xf>
    <xf numFmtId="164" fontId="12" fillId="0" borderId="368" xfId="0" applyNumberFormat="1" applyFont="1" applyBorder="1" applyAlignment="1" applyProtection="1">
      <alignment vertical="center"/>
      <protection locked="0"/>
    </xf>
    <xf numFmtId="0" fontId="169" fillId="0" borderId="372" xfId="0" quotePrefix="1" applyFont="1" applyBorder="1" applyAlignment="1" applyProtection="1">
      <alignment horizontal="left" vertical="center" indent="1"/>
      <protection locked="0"/>
    </xf>
    <xf numFmtId="0" fontId="22" fillId="28" borderId="373" xfId="0" applyFont="1" applyFill="1" applyBorder="1" applyAlignment="1" applyProtection="1">
      <alignment horizontal="right" vertical="center"/>
      <protection locked="0"/>
    </xf>
    <xf numFmtId="0" fontId="22" fillId="28" borderId="374" xfId="0" applyFont="1" applyFill="1" applyBorder="1" applyAlignment="1" applyProtection="1">
      <alignment vertical="center"/>
      <protection locked="0"/>
    </xf>
    <xf numFmtId="164" fontId="12" fillId="0" borderId="375" xfId="0" applyNumberFormat="1" applyFont="1" applyBorder="1" applyAlignment="1" applyProtection="1">
      <alignment vertical="center"/>
      <protection hidden="1"/>
    </xf>
    <xf numFmtId="164" fontId="12" fillId="0" borderId="376" xfId="0" applyNumberFormat="1" applyFont="1" applyBorder="1" applyAlignment="1" applyProtection="1">
      <alignment vertical="center"/>
      <protection hidden="1"/>
    </xf>
    <xf numFmtId="164" fontId="12" fillId="0" borderId="372" xfId="0" applyNumberFormat="1" applyFont="1" applyBorder="1" applyAlignment="1" applyProtection="1">
      <alignment vertical="center"/>
      <protection hidden="1"/>
    </xf>
    <xf numFmtId="164" fontId="12" fillId="28" borderId="301" xfId="0" applyNumberFormat="1" applyFont="1" applyFill="1" applyBorder="1" applyAlignment="1" applyProtection="1">
      <protection locked="0"/>
    </xf>
    <xf numFmtId="164" fontId="12" fillId="28" borderId="40" xfId="0" applyNumberFormat="1" applyFont="1" applyFill="1" applyBorder="1" applyAlignment="1" applyProtection="1">
      <protection locked="0"/>
    </xf>
    <xf numFmtId="164" fontId="12" fillId="28" borderId="14" xfId="0" applyNumberFormat="1" applyFont="1" applyFill="1" applyBorder="1" applyAlignment="1" applyProtection="1">
      <protection locked="0"/>
    </xf>
    <xf numFmtId="165" fontId="106" fillId="28" borderId="49" xfId="0" applyNumberFormat="1" applyFont="1" applyFill="1" applyBorder="1" applyAlignment="1" applyProtection="1">
      <alignment horizontal="center" vertical="top"/>
      <protection hidden="1"/>
    </xf>
    <xf numFmtId="0" fontId="248" fillId="0" borderId="0" xfId="0" applyFont="1" applyFill="1" applyBorder="1" applyAlignment="1" applyProtection="1">
      <alignment horizontal="right" vertical="center" indent="1"/>
      <protection locked="0"/>
    </xf>
    <xf numFmtId="0" fontId="12" fillId="5" borderId="17" xfId="0" applyFont="1" applyFill="1" applyBorder="1" applyAlignment="1" applyProtection="1">
      <alignment horizontal="left" vertical="center" indent="22"/>
      <protection hidden="1"/>
    </xf>
    <xf numFmtId="0" fontId="96" fillId="5" borderId="18" xfId="0" applyFont="1" applyFill="1" applyBorder="1" applyAlignment="1" applyProtection="1">
      <alignment horizontal="left" vertical="center" indent="22"/>
      <protection hidden="1"/>
    </xf>
    <xf numFmtId="0" fontId="12" fillId="5" borderId="40" xfId="0" applyFont="1" applyFill="1" applyBorder="1" applyAlignment="1" applyProtection="1">
      <alignment horizontal="left" vertical="center"/>
      <protection hidden="1"/>
    </xf>
    <xf numFmtId="0" fontId="116" fillId="5" borderId="41" xfId="0" applyFont="1" applyFill="1" applyBorder="1" applyAlignment="1" applyProtection="1">
      <alignment horizontal="left" vertical="center"/>
      <protection hidden="1"/>
    </xf>
    <xf numFmtId="0" fontId="12" fillId="5" borderId="17" xfId="0" applyFont="1" applyFill="1" applyBorder="1" applyAlignment="1" applyProtection="1">
      <alignment horizontal="left" indent="22"/>
      <protection hidden="1"/>
    </xf>
    <xf numFmtId="0" fontId="12" fillId="5" borderId="40" xfId="0" applyFont="1" applyFill="1" applyBorder="1" applyAlignment="1" applyProtection="1">
      <alignment horizontal="left"/>
      <protection hidden="1"/>
    </xf>
    <xf numFmtId="0" fontId="155" fillId="29" borderId="17" xfId="0" applyFont="1" applyFill="1" applyBorder="1" applyAlignment="1" applyProtection="1">
      <alignment horizontal="left" indent="22"/>
      <protection hidden="1"/>
    </xf>
    <xf numFmtId="0" fontId="155" fillId="29" borderId="40" xfId="0" applyFont="1" applyFill="1" applyBorder="1" applyAlignment="1" applyProtection="1">
      <alignment horizontal="left"/>
      <protection hidden="1"/>
    </xf>
    <xf numFmtId="0" fontId="251" fillId="5" borderId="18" xfId="0" applyFont="1" applyFill="1" applyBorder="1" applyAlignment="1" applyProtection="1">
      <alignment horizontal="right" vertical="center"/>
      <protection hidden="1"/>
    </xf>
    <xf numFmtId="0" fontId="254" fillId="5" borderId="41" xfId="0" applyFont="1" applyFill="1" applyBorder="1" applyAlignment="1" applyProtection="1">
      <alignment horizontal="left" vertical="center"/>
      <protection hidden="1"/>
    </xf>
    <xf numFmtId="165" fontId="253" fillId="5" borderId="120" xfId="0" applyNumberFormat="1" applyFont="1" applyFill="1" applyBorder="1" applyAlignment="1" applyProtection="1">
      <alignment horizontal="center" vertical="center"/>
      <protection hidden="1"/>
    </xf>
    <xf numFmtId="0" fontId="175" fillId="0" borderId="74" xfId="0" applyFont="1" applyBorder="1" applyAlignment="1">
      <alignment horizontal="left" vertical="center" indent="1"/>
    </xf>
    <xf numFmtId="0" fontId="175" fillId="0" borderId="15" xfId="0" applyFont="1" applyBorder="1" applyAlignment="1">
      <alignment horizontal="left" vertical="center" indent="1"/>
    </xf>
    <xf numFmtId="0" fontId="175" fillId="0" borderId="208" xfId="0" applyFont="1" applyBorder="1" applyAlignment="1">
      <alignment horizontal="left" vertical="center" indent="1"/>
    </xf>
    <xf numFmtId="10" fontId="157" fillId="40" borderId="307" xfId="0" applyNumberFormat="1" applyFont="1" applyFill="1" applyBorder="1" applyAlignment="1" applyProtection="1">
      <alignment horizontal="center" vertical="center"/>
      <protection locked="0"/>
    </xf>
    <xf numFmtId="164" fontId="175" fillId="0" borderId="377" xfId="0" applyNumberFormat="1" applyFont="1" applyBorder="1" applyAlignment="1" applyProtection="1">
      <alignment vertical="center"/>
      <protection hidden="1"/>
    </xf>
    <xf numFmtId="164" fontId="175" fillId="0" borderId="76" xfId="0" applyNumberFormat="1" applyFont="1" applyBorder="1" applyAlignment="1" applyProtection="1">
      <alignment vertical="center"/>
      <protection hidden="1"/>
    </xf>
    <xf numFmtId="0" fontId="169" fillId="0" borderId="270" xfId="0" applyFont="1" applyBorder="1" applyAlignment="1">
      <alignment horizontal="left" vertical="center" indent="1"/>
    </xf>
    <xf numFmtId="0" fontId="169" fillId="28" borderId="378" xfId="0" applyFont="1" applyFill="1" applyBorder="1" applyAlignment="1" applyProtection="1">
      <alignment horizontal="center" vertical="center"/>
      <protection locked="0"/>
    </xf>
    <xf numFmtId="164" fontId="12" fillId="0" borderId="379" xfId="0" applyNumberFormat="1" applyFont="1" applyBorder="1" applyAlignment="1" applyProtection="1">
      <alignment vertical="center"/>
      <protection hidden="1"/>
    </xf>
    <xf numFmtId="164" fontId="12" fillId="0" borderId="271" xfId="0" applyNumberFormat="1" applyFont="1" applyBorder="1" applyAlignment="1" applyProtection="1">
      <alignment vertical="center"/>
      <protection hidden="1"/>
    </xf>
    <xf numFmtId="164" fontId="12" fillId="28" borderId="334" xfId="0" applyNumberFormat="1" applyFont="1" applyFill="1" applyBorder="1" applyAlignment="1" applyProtection="1">
      <alignment vertical="center"/>
      <protection hidden="1"/>
    </xf>
    <xf numFmtId="164" fontId="12" fillId="28" borderId="24" xfId="0" applyNumberFormat="1" applyFont="1" applyFill="1" applyBorder="1" applyAlignment="1" applyProtection="1">
      <alignment vertical="center"/>
      <protection hidden="1"/>
    </xf>
    <xf numFmtId="0" fontId="106" fillId="28" borderId="40" xfId="0" applyFont="1" applyFill="1" applyBorder="1" applyAlignment="1">
      <alignment vertical="center"/>
    </xf>
    <xf numFmtId="9" fontId="172" fillId="21" borderId="297" xfId="0" applyNumberFormat="1" applyFont="1" applyFill="1" applyBorder="1" applyAlignment="1">
      <alignment horizontal="center" vertical="center"/>
    </xf>
    <xf numFmtId="9" fontId="172" fillId="21" borderId="298" xfId="0" applyNumberFormat="1" applyFont="1" applyFill="1" applyBorder="1" applyAlignment="1">
      <alignment horizontal="center" vertical="center"/>
    </xf>
    <xf numFmtId="9" fontId="172" fillId="21" borderId="160" xfId="0" applyNumberFormat="1" applyFont="1" applyFill="1" applyBorder="1" applyAlignment="1">
      <alignment horizontal="center" vertical="center"/>
    </xf>
    <xf numFmtId="0" fontId="258" fillId="0" borderId="0" xfId="0" applyFont="1" applyFill="1" applyBorder="1" applyAlignment="1" applyProtection="1">
      <alignment vertical="center"/>
      <protection hidden="1"/>
    </xf>
    <xf numFmtId="0" fontId="22" fillId="19" borderId="14" xfId="0" applyFont="1" applyFill="1" applyBorder="1" applyAlignment="1" applyProtection="1">
      <alignment horizontal="left" vertical="center" indent="1"/>
      <protection locked="0"/>
    </xf>
    <xf numFmtId="0" fontId="22" fillId="19" borderId="15" xfId="0" applyFont="1" applyFill="1" applyBorder="1" applyAlignment="1" applyProtection="1">
      <alignment horizontal="left" vertical="center" indent="1"/>
      <protection locked="0"/>
    </xf>
    <xf numFmtId="0" fontId="24" fillId="19" borderId="37" xfId="0" applyFont="1" applyFill="1" applyBorder="1" applyAlignment="1" applyProtection="1">
      <alignment horizontal="left" vertical="top" indent="2"/>
      <protection locked="0"/>
    </xf>
    <xf numFmtId="0" fontId="0" fillId="0" borderId="38" xfId="0" applyBorder="1" applyAlignment="1">
      <alignment horizontal="left" indent="2"/>
    </xf>
    <xf numFmtId="0" fontId="24" fillId="18" borderId="28" xfId="0" applyFont="1" applyFill="1" applyBorder="1" applyAlignment="1" applyProtection="1">
      <alignment horizontal="left" vertical="top" indent="2"/>
      <protection locked="0"/>
    </xf>
    <xf numFmtId="0" fontId="0" fillId="18" borderId="0" xfId="0" applyFill="1" applyBorder="1" applyAlignment="1">
      <alignment horizontal="left" indent="2"/>
    </xf>
    <xf numFmtId="0" fontId="128" fillId="18" borderId="125" xfId="0" applyFont="1" applyFill="1" applyBorder="1" applyAlignment="1" applyProtection="1">
      <alignment horizontal="left" vertical="center" indent="1"/>
      <protection locked="0"/>
    </xf>
    <xf numFmtId="0" fontId="129" fillId="18" borderId="124" xfId="0" applyFont="1" applyFill="1" applyBorder="1" applyAlignment="1">
      <alignment horizontal="left" vertical="center" indent="1"/>
    </xf>
    <xf numFmtId="0" fontId="129" fillId="18" borderId="127" xfId="0" applyFont="1" applyFill="1" applyBorder="1" applyAlignment="1">
      <alignment horizontal="left" vertical="center" indent="1"/>
    </xf>
    <xf numFmtId="0" fontId="144" fillId="28" borderId="307" xfId="0" applyFont="1" applyFill="1" applyBorder="1" applyAlignment="1" applyProtection="1">
      <alignment horizontal="center" vertical="center"/>
      <protection locked="0"/>
    </xf>
    <xf numFmtId="0" fontId="144" fillId="28" borderId="76" xfId="0" applyFont="1" applyFill="1" applyBorder="1" applyAlignment="1" applyProtection="1">
      <alignment horizontal="center" vertical="center"/>
      <protection locked="0"/>
    </xf>
    <xf numFmtId="0" fontId="168" fillId="0" borderId="0" xfId="0" applyFont="1" applyFill="1" applyBorder="1" applyAlignment="1" applyProtection="1">
      <alignment horizontal="left" vertical="center"/>
      <protection locked="0"/>
    </xf>
    <xf numFmtId="0" fontId="4" fillId="0" borderId="0" xfId="0" applyFont="1" applyBorder="1" applyAlignment="1">
      <alignment vertical="center"/>
    </xf>
    <xf numFmtId="0" fontId="148" fillId="27" borderId="9" xfId="0" applyFont="1" applyFill="1" applyBorder="1" applyAlignment="1">
      <alignment horizontal="left" vertical="top" indent="2"/>
    </xf>
    <xf numFmtId="0" fontId="122" fillId="27" borderId="0" xfId="0" applyFont="1" applyFill="1" applyBorder="1" applyAlignment="1">
      <alignment horizontal="left" vertical="top" indent="2"/>
    </xf>
    <xf numFmtId="0" fontId="20" fillId="9" borderId="199" xfId="0" applyFont="1" applyFill="1" applyBorder="1" applyAlignment="1" applyProtection="1">
      <alignment horizontal="left" vertical="center" wrapText="1" indent="1"/>
      <protection locked="0"/>
    </xf>
    <xf numFmtId="0" fontId="0" fillId="0" borderId="15" xfId="0" applyBorder="1" applyAlignment="1">
      <alignment horizontal="left" vertical="center" wrapText="1" indent="1"/>
    </xf>
    <xf numFmtId="0" fontId="168" fillId="28" borderId="159" xfId="0" applyFont="1" applyFill="1" applyBorder="1" applyAlignment="1" applyProtection="1">
      <alignment horizontal="left" vertical="center" indent="1"/>
      <protection locked="0"/>
    </xf>
    <xf numFmtId="0" fontId="168" fillId="28" borderId="54" xfId="0" applyFont="1" applyFill="1" applyBorder="1" applyAlignment="1" applyProtection="1">
      <alignment horizontal="left" vertical="center" indent="1"/>
      <protection locked="0"/>
    </xf>
    <xf numFmtId="0" fontId="22" fillId="19" borderId="166" xfId="0" applyFont="1" applyFill="1" applyBorder="1" applyAlignment="1" applyProtection="1">
      <alignment horizontal="left" vertical="center" indent="1"/>
      <protection locked="0"/>
    </xf>
    <xf numFmtId="0" fontId="22" fillId="19" borderId="47" xfId="0" applyFont="1" applyFill="1" applyBorder="1" applyAlignment="1" applyProtection="1">
      <alignment horizontal="left" vertical="center" indent="1"/>
      <protection locked="0"/>
    </xf>
    <xf numFmtId="0" fontId="22" fillId="19" borderId="127" xfId="0" applyFont="1" applyFill="1" applyBorder="1" applyAlignment="1" applyProtection="1">
      <alignment horizontal="left" vertical="center" indent="1"/>
      <protection locked="0"/>
    </xf>
    <xf numFmtId="0" fontId="181" fillId="27" borderId="247" xfId="0" applyFont="1" applyFill="1" applyBorder="1" applyAlignment="1">
      <alignment horizontal="left" vertical="center" indent="2"/>
    </xf>
    <xf numFmtId="0" fontId="182" fillId="27" borderId="53" xfId="0" applyFont="1" applyFill="1" applyBorder="1" applyAlignment="1">
      <alignment horizontal="left" vertical="center" indent="2"/>
    </xf>
    <xf numFmtId="0" fontId="20" fillId="27" borderId="199" xfId="0" applyFont="1" applyFill="1" applyBorder="1" applyAlignment="1" applyProtection="1">
      <alignment horizontal="left" vertical="center" wrapText="1" indent="1"/>
      <protection locked="0"/>
    </xf>
    <xf numFmtId="0" fontId="0" fillId="27" borderId="74" xfId="0" applyFill="1" applyBorder="1" applyAlignment="1">
      <alignment horizontal="left" vertical="center" indent="1"/>
    </xf>
    <xf numFmtId="0" fontId="0" fillId="27" borderId="204" xfId="0" applyFill="1" applyBorder="1" applyAlignment="1">
      <alignment horizontal="left" vertical="center" indent="1"/>
    </xf>
    <xf numFmtId="0" fontId="168" fillId="27" borderId="199" xfId="0" applyFont="1" applyFill="1" applyBorder="1" applyAlignment="1" applyProtection="1">
      <alignment horizontal="left" vertical="center" indent="1"/>
      <protection locked="0"/>
    </xf>
    <xf numFmtId="0" fontId="169" fillId="27" borderId="204" xfId="0" applyFont="1" applyFill="1" applyBorder="1" applyAlignment="1">
      <alignment horizontal="left" vertical="center" indent="1"/>
    </xf>
    <xf numFmtId="0" fontId="24" fillId="19" borderId="31" xfId="0" applyFont="1" applyFill="1" applyBorder="1" applyAlignment="1" applyProtection="1">
      <alignment horizontal="left" vertical="top" indent="2"/>
      <protection locked="0"/>
    </xf>
    <xf numFmtId="0" fontId="0" fillId="0" borderId="35" xfId="0" applyBorder="1" applyAlignment="1">
      <alignment horizontal="left" indent="2"/>
    </xf>
    <xf numFmtId="0" fontId="168" fillId="25" borderId="14" xfId="0" applyFont="1" applyFill="1" applyBorder="1" applyAlignment="1" applyProtection="1">
      <alignment horizontal="left" vertical="center" indent="1"/>
      <protection locked="0"/>
    </xf>
    <xf numFmtId="0" fontId="168" fillId="25" borderId="17" xfId="0" applyFont="1" applyFill="1" applyBorder="1" applyAlignment="1" applyProtection="1">
      <alignment horizontal="left" vertical="center" indent="1"/>
      <protection locked="0"/>
    </xf>
    <xf numFmtId="0" fontId="168" fillId="0" borderId="197" xfId="0" applyFont="1" applyFill="1" applyBorder="1" applyAlignment="1" applyProtection="1">
      <alignment horizontal="left" vertical="center" indent="1"/>
      <protection locked="0"/>
    </xf>
    <xf numFmtId="0" fontId="0" fillId="0" borderId="53" xfId="0" applyBorder="1" applyAlignment="1">
      <alignment horizontal="left" vertical="center" indent="1"/>
    </xf>
    <xf numFmtId="0" fontId="196" fillId="30" borderId="59" xfId="0" applyFont="1" applyFill="1" applyBorder="1" applyAlignment="1" applyProtection="1">
      <alignment horizontal="left" vertical="top" indent="2"/>
      <protection locked="0"/>
    </xf>
    <xf numFmtId="0" fontId="43" fillId="0" borderId="18" xfId="0" applyFont="1" applyBorder="1" applyAlignment="1">
      <alignment horizontal="left" vertical="top" indent="2"/>
    </xf>
    <xf numFmtId="0" fontId="196" fillId="29" borderId="228" xfId="0" applyFont="1" applyFill="1" applyBorder="1" applyAlignment="1" applyProtection="1">
      <alignment horizontal="left" vertical="top" indent="2"/>
      <protection locked="0"/>
    </xf>
    <xf numFmtId="0" fontId="43" fillId="0" borderId="105" xfId="0" applyFont="1" applyBorder="1" applyAlignment="1">
      <alignment horizontal="left" vertical="top" indent="2"/>
    </xf>
    <xf numFmtId="0" fontId="199" fillId="0" borderId="0" xfId="0" applyFont="1" applyBorder="1" applyAlignment="1" applyProtection="1">
      <alignment horizontal="right" vertical="top"/>
      <protection locked="0"/>
    </xf>
    <xf numFmtId="0" fontId="197" fillId="0" borderId="0" xfId="0" applyFont="1" applyBorder="1" applyAlignment="1">
      <alignment horizontal="right" vertical="top"/>
    </xf>
    <xf numFmtId="0" fontId="179" fillId="40" borderId="50" xfId="0" applyFont="1" applyFill="1" applyBorder="1" applyAlignment="1">
      <alignment horizontal="center" vertical="center"/>
    </xf>
    <xf numFmtId="0" fontId="178" fillId="28" borderId="159" xfId="0" applyFont="1" applyFill="1" applyBorder="1" applyAlignment="1" applyProtection="1">
      <alignment horizontal="left" vertical="center" indent="1"/>
      <protection locked="0"/>
    </xf>
    <xf numFmtId="0" fontId="179" fillId="28" borderId="54" xfId="0" applyFont="1" applyFill="1" applyBorder="1" applyAlignment="1">
      <alignment horizontal="left" vertical="center" indent="1"/>
    </xf>
    <xf numFmtId="0" fontId="179" fillId="0" borderId="54" xfId="0" applyFont="1" applyBorder="1" applyAlignment="1">
      <alignment horizontal="left" indent="1"/>
    </xf>
    <xf numFmtId="0" fontId="163" fillId="19" borderId="42" xfId="0" applyFont="1" applyFill="1" applyBorder="1" applyAlignment="1" applyProtection="1">
      <alignment horizontal="center" vertical="center"/>
      <protection locked="0"/>
    </xf>
    <xf numFmtId="0" fontId="163" fillId="19" borderId="16" xfId="0" applyFont="1" applyFill="1" applyBorder="1" applyAlignment="1" applyProtection="1">
      <alignment horizontal="center" vertical="center"/>
      <protection locked="0"/>
    </xf>
    <xf numFmtId="0" fontId="174" fillId="0" borderId="16" xfId="0" applyFont="1" applyBorder="1" applyAlignment="1">
      <alignment horizontal="center"/>
    </xf>
    <xf numFmtId="0" fontId="214" fillId="28" borderId="42" xfId="0" applyFont="1" applyFill="1" applyBorder="1" applyAlignment="1" applyProtection="1">
      <alignment horizontal="left" vertical="center" indent="1"/>
      <protection locked="0"/>
    </xf>
    <xf numFmtId="0" fontId="214" fillId="28" borderId="16" xfId="0" applyFont="1" applyFill="1" applyBorder="1" applyAlignment="1" applyProtection="1">
      <alignment horizontal="left" vertical="center" indent="1"/>
      <protection locked="0"/>
    </xf>
    <xf numFmtId="0" fontId="179" fillId="40" borderId="0" xfId="0" applyFont="1" applyFill="1" applyBorder="1" applyAlignment="1">
      <alignment horizontal="center" vertical="center"/>
    </xf>
    <xf numFmtId="0" fontId="179" fillId="0" borderId="74" xfId="0" applyFont="1" applyFill="1" applyBorder="1" applyAlignment="1" applyProtection="1">
      <alignment horizontal="left" vertical="center" indent="1"/>
      <protection locked="0"/>
    </xf>
    <xf numFmtId="0" fontId="179" fillId="0" borderId="0" xfId="0" applyFont="1" applyBorder="1" applyAlignment="1">
      <alignment horizontal="left" vertical="center" indent="1"/>
    </xf>
    <xf numFmtId="0" fontId="179" fillId="0" borderId="206" xfId="0" applyFont="1" applyFill="1" applyBorder="1" applyAlignment="1" applyProtection="1">
      <alignment horizontal="left" vertical="center" indent="1"/>
      <protection locked="0"/>
    </xf>
    <xf numFmtId="0" fontId="179" fillId="0" borderId="115" xfId="0" applyFont="1" applyBorder="1" applyAlignment="1">
      <alignment horizontal="left" vertical="center" indent="1"/>
    </xf>
    <xf numFmtId="0" fontId="178" fillId="28" borderId="197" xfId="0" applyFont="1" applyFill="1" applyBorder="1" applyAlignment="1" applyProtection="1">
      <alignment horizontal="left" vertical="center" indent="1"/>
      <protection locked="0"/>
    </xf>
    <xf numFmtId="0" fontId="20" fillId="9" borderId="199" xfId="0" applyFont="1" applyFill="1" applyBorder="1" applyAlignment="1" applyProtection="1">
      <alignment horizontal="left" vertical="center" indent="1"/>
      <protection locked="0"/>
    </xf>
    <xf numFmtId="0" fontId="4" fillId="0" borderId="99" xfId="0" applyFont="1" applyBorder="1" applyAlignment="1">
      <alignment horizontal="left" vertical="center" indent="1"/>
    </xf>
    <xf numFmtId="0" fontId="177" fillId="28" borderId="121" xfId="0" applyFont="1" applyFill="1" applyBorder="1" applyAlignment="1">
      <alignment horizontal="left" vertical="top" indent="2"/>
    </xf>
    <xf numFmtId="0" fontId="177" fillId="28" borderId="18" xfId="0" applyFont="1" applyFill="1" applyBorder="1" applyAlignment="1">
      <alignment horizontal="left" vertical="top" indent="2"/>
    </xf>
    <xf numFmtId="0" fontId="22" fillId="19" borderId="231" xfId="0" applyFont="1" applyFill="1" applyBorder="1" applyAlignment="1" applyProtection="1">
      <alignment horizontal="center" vertical="center"/>
      <protection locked="0"/>
    </xf>
    <xf numFmtId="0" fontId="22" fillId="19" borderId="232" xfId="0" applyFont="1" applyFill="1" applyBorder="1" applyAlignment="1" applyProtection="1">
      <alignment horizontal="center" vertical="center"/>
      <protection locked="0"/>
    </xf>
    <xf numFmtId="0" fontId="179" fillId="50" borderId="14" xfId="0" applyFont="1" applyFill="1" applyBorder="1" applyAlignment="1" applyProtection="1">
      <alignment horizontal="left" vertical="center" wrapText="1" indent="1"/>
      <protection locked="0"/>
    </xf>
    <xf numFmtId="0" fontId="179" fillId="50" borderId="15" xfId="0" applyFont="1" applyFill="1" applyBorder="1" applyAlignment="1">
      <alignment horizontal="left" vertical="center" wrapText="1" indent="1"/>
    </xf>
    <xf numFmtId="0" fontId="179" fillId="47" borderId="14" xfId="0" applyFont="1" applyFill="1" applyBorder="1" applyAlignment="1" applyProtection="1">
      <alignment horizontal="left" vertical="center" indent="1"/>
      <protection locked="0"/>
    </xf>
    <xf numFmtId="0" fontId="179" fillId="47" borderId="15" xfId="0" applyFont="1" applyFill="1" applyBorder="1" applyAlignment="1">
      <alignment horizontal="left" vertical="center" indent="1"/>
    </xf>
    <xf numFmtId="0" fontId="197" fillId="28" borderId="121" xfId="0" applyFont="1" applyFill="1" applyBorder="1" applyAlignment="1">
      <alignment horizontal="left" vertical="top" indent="2"/>
    </xf>
    <xf numFmtId="0" fontId="0" fillId="0" borderId="249" xfId="0" applyBorder="1" applyAlignment="1">
      <alignment horizontal="left" vertical="top" indent="2"/>
    </xf>
    <xf numFmtId="0" fontId="49" fillId="19" borderId="37" xfId="0" applyFont="1" applyFill="1" applyBorder="1" applyAlignment="1" applyProtection="1">
      <alignment horizontal="left" vertical="top" indent="2"/>
      <protection locked="0"/>
    </xf>
    <xf numFmtId="0" fontId="153" fillId="42" borderId="169" xfId="8" applyFont="1" applyFill="1" applyBorder="1" applyAlignment="1" applyProtection="1">
      <alignment horizontal="center" vertical="center"/>
      <protection locked="0"/>
    </xf>
    <xf numFmtId="0" fontId="153" fillId="42" borderId="19" xfId="8" applyFont="1" applyFill="1" applyBorder="1" applyAlignment="1">
      <alignment horizontal="center" vertical="center"/>
    </xf>
    <xf numFmtId="0" fontId="153" fillId="42" borderId="170" xfId="8" applyFont="1" applyFill="1" applyBorder="1" applyAlignment="1">
      <alignment horizontal="center" vertical="center"/>
    </xf>
    <xf numFmtId="0" fontId="180" fillId="0" borderId="0" xfId="0" applyFont="1" applyBorder="1" applyAlignment="1" applyProtection="1">
      <alignment horizontal="right"/>
      <protection locked="0"/>
    </xf>
    <xf numFmtId="0" fontId="150" fillId="0" borderId="0" xfId="0" applyFont="1" applyBorder="1" applyAlignment="1" applyProtection="1">
      <alignment horizontal="right"/>
      <protection locked="0"/>
    </xf>
    <xf numFmtId="0" fontId="243" fillId="0" borderId="0" xfId="0" applyFont="1" applyFill="1" applyBorder="1" applyAlignment="1" applyProtection="1">
      <alignment horizontal="left" vertical="center" wrapText="1" indent="3"/>
      <protection hidden="1"/>
    </xf>
    <xf numFmtId="0" fontId="12" fillId="0" borderId="0" xfId="0" applyFont="1" applyAlignment="1" applyProtection="1">
      <alignment horizontal="left" vertical="center" wrapText="1" indent="3"/>
      <protection hidden="1"/>
    </xf>
    <xf numFmtId="0" fontId="169" fillId="28" borderId="14" xfId="0" applyFont="1" applyFill="1" applyBorder="1" applyAlignment="1" applyProtection="1">
      <alignment horizontal="left" vertical="center" indent="1"/>
      <protection hidden="1"/>
    </xf>
    <xf numFmtId="0" fontId="169" fillId="28" borderId="15" xfId="0" applyFont="1" applyFill="1" applyBorder="1" applyAlignment="1" applyProtection="1">
      <alignment horizontal="left" vertical="center" indent="1"/>
      <protection hidden="1"/>
    </xf>
    <xf numFmtId="0" fontId="18" fillId="19"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43" xfId="0" applyBorder="1" applyAlignment="1">
      <alignment horizontal="center" vertical="center"/>
    </xf>
    <xf numFmtId="0" fontId="242" fillId="2" borderId="0" xfId="0" applyFont="1" applyFill="1" applyAlignment="1" applyProtection="1">
      <alignment horizontal="left" vertical="center"/>
      <protection hidden="1"/>
    </xf>
    <xf numFmtId="0" fontId="242" fillId="2" borderId="0" xfId="0" applyFont="1" applyFill="1" applyAlignment="1" applyProtection="1">
      <alignment horizontal="center" vertical="center"/>
      <protection hidden="1"/>
    </xf>
    <xf numFmtId="164" fontId="242" fillId="0" borderId="0" xfId="0" applyNumberFormat="1" applyFont="1" applyBorder="1" applyAlignment="1" applyProtection="1">
      <alignment horizontal="right" vertical="center"/>
      <protection hidden="1"/>
    </xf>
    <xf numFmtId="0" fontId="177" fillId="50" borderId="121" xfId="0" applyFont="1" applyFill="1" applyBorder="1" applyAlignment="1" applyProtection="1">
      <alignment horizontal="left" vertical="top" indent="2"/>
      <protection locked="0"/>
    </xf>
    <xf numFmtId="0" fontId="0" fillId="0" borderId="249" xfId="0" applyBorder="1" applyAlignment="1">
      <alignment horizontal="left" indent="2"/>
    </xf>
    <xf numFmtId="0" fontId="177" fillId="47" borderId="121" xfId="0" applyFont="1" applyFill="1" applyBorder="1" applyAlignment="1" applyProtection="1">
      <alignment horizontal="left" vertical="top" indent="2"/>
      <protection locked="0"/>
    </xf>
    <xf numFmtId="0" fontId="18" fillId="19" borderId="136" xfId="0" applyFont="1" applyFill="1" applyBorder="1" applyAlignment="1" applyProtection="1">
      <alignment horizontal="center" vertical="center" wrapText="1"/>
      <protection hidden="1"/>
    </xf>
    <xf numFmtId="0" fontId="18" fillId="19" borderId="138" xfId="0" applyFont="1" applyFill="1" applyBorder="1" applyAlignment="1" applyProtection="1">
      <alignment horizontal="center" vertical="center"/>
      <protection hidden="1"/>
    </xf>
    <xf numFmtId="0" fontId="18" fillId="19" borderId="139" xfId="0" applyFont="1" applyFill="1" applyBorder="1" applyAlignment="1" applyProtection="1">
      <alignment horizontal="center" vertical="center"/>
      <protection hidden="1"/>
    </xf>
    <xf numFmtId="0" fontId="22" fillId="32" borderId="17" xfId="0" applyFont="1" applyFill="1" applyBorder="1" applyAlignment="1" applyProtection="1">
      <alignment horizontal="left" indent="1"/>
      <protection locked="0"/>
    </xf>
    <xf numFmtId="0" fontId="24" fillId="32" borderId="0" xfId="0" applyFont="1" applyFill="1" applyBorder="1" applyAlignment="1" applyProtection="1">
      <alignment horizontal="left" vertical="top" indent="1"/>
      <protection locked="0"/>
    </xf>
    <xf numFmtId="0" fontId="169" fillId="28" borderId="14" xfId="0" applyFont="1" applyFill="1" applyBorder="1" applyAlignment="1" applyProtection="1">
      <alignment horizontal="left" vertical="center" indent="1"/>
      <protection locked="0"/>
    </xf>
    <xf numFmtId="0" fontId="169" fillId="28" borderId="15" xfId="0" applyFont="1" applyFill="1" applyBorder="1" applyAlignment="1" applyProtection="1">
      <alignment horizontal="left" vertical="center" indent="1"/>
      <protection locked="0"/>
    </xf>
    <xf numFmtId="0" fontId="128" fillId="19" borderId="125" xfId="0" applyFont="1" applyFill="1" applyBorder="1" applyAlignment="1" applyProtection="1">
      <alignment horizontal="left" vertical="center" indent="1"/>
      <protection locked="0"/>
    </xf>
    <xf numFmtId="0" fontId="129" fillId="19" borderId="124" xfId="0" applyFont="1" applyFill="1" applyBorder="1" applyAlignment="1">
      <alignment horizontal="left" vertical="center" indent="1"/>
    </xf>
    <xf numFmtId="0" fontId="129" fillId="19" borderId="127" xfId="0" applyFont="1" applyFill="1" applyBorder="1" applyAlignment="1">
      <alignment horizontal="left" vertical="center" indent="1"/>
    </xf>
    <xf numFmtId="0" fontId="24" fillId="19" borderId="28" xfId="0" applyFont="1" applyFill="1" applyBorder="1" applyAlignment="1" applyProtection="1">
      <alignment horizontal="left" vertical="top" indent="2"/>
      <protection locked="0"/>
    </xf>
    <xf numFmtId="0" fontId="0" fillId="0" borderId="0" xfId="0" applyBorder="1" applyAlignment="1">
      <alignment horizontal="left" indent="2"/>
    </xf>
    <xf numFmtId="0" fontId="24" fillId="19" borderId="325" xfId="0" applyFont="1" applyFill="1" applyBorder="1" applyAlignment="1" applyProtection="1">
      <alignment horizontal="left" vertical="center" indent="2"/>
      <protection locked="0"/>
    </xf>
    <xf numFmtId="0" fontId="0" fillId="0" borderId="314" xfId="0" applyBorder="1" applyAlignment="1">
      <alignment horizontal="left" indent="2"/>
    </xf>
    <xf numFmtId="0" fontId="24" fillId="18" borderId="325" xfId="0" applyFont="1" applyFill="1" applyBorder="1" applyAlignment="1" applyProtection="1">
      <alignment horizontal="left" vertical="center" indent="2"/>
      <protection locked="0"/>
    </xf>
    <xf numFmtId="0" fontId="181" fillId="27" borderId="263" xfId="0" applyFont="1" applyFill="1" applyBorder="1" applyAlignment="1">
      <alignment horizontal="left" vertical="center" indent="2"/>
    </xf>
    <xf numFmtId="0" fontId="182" fillId="27" borderId="105" xfId="0" applyFont="1" applyFill="1" applyBorder="1" applyAlignment="1">
      <alignment horizontal="left" vertical="center" indent="2"/>
    </xf>
    <xf numFmtId="0" fontId="144" fillId="28" borderId="9" xfId="0" applyFont="1" applyFill="1" applyBorder="1" applyAlignment="1" applyProtection="1">
      <alignment horizontal="center" vertical="center"/>
      <protection locked="0"/>
    </xf>
    <xf numFmtId="0" fontId="144" fillId="28" borderId="0" xfId="0" applyFont="1" applyFill="1" applyBorder="1" applyAlignment="1" applyProtection="1">
      <alignment horizontal="center" vertical="center"/>
      <protection locked="0"/>
    </xf>
    <xf numFmtId="0" fontId="20" fillId="9" borderId="183" xfId="0" applyFont="1" applyFill="1" applyBorder="1" applyAlignment="1" applyProtection="1">
      <alignment horizontal="left" vertical="center" indent="1"/>
      <protection locked="0"/>
    </xf>
    <xf numFmtId="0" fontId="4" fillId="0" borderId="54" xfId="0" applyFont="1" applyBorder="1" applyAlignment="1">
      <alignment horizontal="left" vertical="center" indent="1"/>
    </xf>
    <xf numFmtId="0" fontId="22" fillId="19" borderId="309" xfId="0" applyFont="1" applyFill="1" applyBorder="1" applyAlignment="1" applyProtection="1">
      <alignment horizontal="left" vertical="center" indent="1"/>
      <protection locked="0"/>
    </xf>
    <xf numFmtId="0" fontId="22" fillId="19" borderId="121" xfId="0" applyFont="1" applyFill="1" applyBorder="1" applyAlignment="1" applyProtection="1">
      <alignment horizontal="left" vertical="center" indent="1"/>
      <protection locked="0"/>
    </xf>
    <xf numFmtId="0" fontId="22" fillId="19" borderId="24" xfId="0" applyFont="1" applyFill="1" applyBorder="1" applyAlignment="1" applyProtection="1">
      <alignment horizontal="left" vertical="center" indent="1"/>
      <protection locked="0"/>
    </xf>
    <xf numFmtId="0" fontId="22" fillId="19" borderId="308" xfId="0" applyFont="1" applyFill="1" applyBorder="1" applyAlignment="1" applyProtection="1">
      <alignment horizontal="left" vertical="center" indent="1"/>
      <protection locked="0"/>
    </xf>
    <xf numFmtId="0" fontId="24" fillId="19" borderId="33" xfId="0" applyFont="1" applyFill="1" applyBorder="1" applyAlignment="1" applyProtection="1">
      <alignment horizontal="left" vertical="top" indent="2"/>
      <protection locked="0"/>
    </xf>
    <xf numFmtId="0" fontId="0" fillId="0" borderId="34" xfId="0" applyBorder="1" applyAlignment="1">
      <alignment horizontal="left" indent="2"/>
    </xf>
    <xf numFmtId="0" fontId="22" fillId="4" borderId="14" xfId="0" applyFont="1" applyFill="1" applyBorder="1" applyAlignment="1" applyProtection="1">
      <alignment horizontal="left" vertical="center" indent="1"/>
      <protection locked="0"/>
    </xf>
    <xf numFmtId="0" fontId="4" fillId="0" borderId="215" xfId="0" applyFont="1" applyBorder="1" applyAlignment="1">
      <alignment horizontal="left" vertical="center" indent="1"/>
    </xf>
    <xf numFmtId="0" fontId="22" fillId="22" borderId="74" xfId="0" applyFont="1" applyFill="1" applyBorder="1" applyAlignment="1" applyProtection="1">
      <alignment horizontal="left" vertical="center" indent="1"/>
      <protection locked="0"/>
    </xf>
    <xf numFmtId="0" fontId="4" fillId="22" borderId="74" xfId="0" applyFont="1" applyFill="1" applyBorder="1" applyAlignment="1">
      <alignment horizontal="left" vertical="center" indent="1"/>
    </xf>
    <xf numFmtId="0" fontId="147" fillId="0" borderId="14" xfId="0" applyFont="1" applyBorder="1" applyAlignment="1" applyProtection="1">
      <alignment horizontal="left" vertical="center" indent="1"/>
      <protection hidden="1"/>
    </xf>
    <xf numFmtId="0" fontId="0" fillId="0" borderId="74" xfId="0" applyBorder="1" applyAlignment="1">
      <alignment horizontal="left" vertical="center" indent="1"/>
    </xf>
    <xf numFmtId="0" fontId="21" fillId="0" borderId="14" xfId="0" applyFont="1" applyBorder="1" applyAlignment="1" applyProtection="1">
      <alignment horizontal="left" vertical="center" indent="1"/>
      <protection hidden="1"/>
    </xf>
    <xf numFmtId="0" fontId="0" fillId="0" borderId="15" xfId="0" applyBorder="1" applyAlignment="1">
      <alignment horizontal="left" vertical="center" indent="1"/>
    </xf>
    <xf numFmtId="0" fontId="24" fillId="22" borderId="28" xfId="0" applyFont="1" applyFill="1" applyBorder="1" applyAlignment="1" applyProtection="1">
      <alignment horizontal="left" vertical="top" indent="2"/>
      <protection locked="0"/>
    </xf>
    <xf numFmtId="0" fontId="4" fillId="22" borderId="0" xfId="0" applyFont="1" applyFill="1" applyBorder="1" applyAlignment="1">
      <alignment horizontal="left" vertical="top" indent="2"/>
    </xf>
    <xf numFmtId="0" fontId="24" fillId="4" borderId="31" xfId="0" applyFont="1" applyFill="1" applyBorder="1" applyAlignment="1" applyProtection="1">
      <alignment horizontal="left" vertical="top" indent="2"/>
      <protection locked="0"/>
    </xf>
    <xf numFmtId="0" fontId="4" fillId="0" borderId="35" xfId="0" applyFont="1" applyBorder="1" applyAlignment="1">
      <alignment horizontal="left" vertical="top" indent="2"/>
    </xf>
    <xf numFmtId="0" fontId="197" fillId="0" borderId="9" xfId="0" applyFont="1" applyBorder="1" applyAlignment="1" applyProtection="1">
      <alignment horizontal="left" vertical="top" indent="2"/>
      <protection hidden="1"/>
    </xf>
    <xf numFmtId="0" fontId="198" fillId="0" borderId="0" xfId="0" applyFont="1" applyBorder="1" applyAlignment="1">
      <alignment horizontal="left" vertical="top" indent="2"/>
    </xf>
    <xf numFmtId="0" fontId="197" fillId="0" borderId="121" xfId="0" applyFont="1" applyBorder="1" applyAlignment="1" applyProtection="1">
      <alignment horizontal="left" vertical="top" indent="2"/>
      <protection hidden="1"/>
    </xf>
    <xf numFmtId="0" fontId="198" fillId="0" borderId="18" xfId="0" applyFont="1" applyBorder="1" applyAlignment="1">
      <alignment horizontal="left" vertical="top" indent="2"/>
    </xf>
    <xf numFmtId="0" fontId="128" fillId="19" borderId="14" xfId="0" applyFont="1" applyFill="1" applyBorder="1" applyAlignment="1" applyProtection="1">
      <alignment horizontal="left" vertical="center" indent="1"/>
      <protection locked="0"/>
    </xf>
    <xf numFmtId="0" fontId="129" fillId="19" borderId="15" xfId="0" applyFont="1" applyFill="1" applyBorder="1" applyAlignment="1">
      <alignment horizontal="left" vertical="center" indent="1"/>
    </xf>
    <xf numFmtId="0" fontId="179" fillId="28" borderId="53" xfId="0" applyFont="1" applyFill="1" applyBorder="1" applyAlignment="1">
      <alignment horizontal="left" vertical="center" indent="1"/>
    </xf>
    <xf numFmtId="0" fontId="169" fillId="28" borderId="17" xfId="0" applyFont="1" applyFill="1" applyBorder="1" applyAlignment="1" applyProtection="1">
      <alignment horizontal="center" vertical="center" wrapText="1"/>
      <protection hidden="1"/>
    </xf>
    <xf numFmtId="0" fontId="169" fillId="28" borderId="0" xfId="0" applyFont="1" applyFill="1" applyBorder="1" applyAlignment="1" applyProtection="1">
      <alignment horizontal="center" vertical="center" wrapText="1"/>
      <protection hidden="1"/>
    </xf>
    <xf numFmtId="0" fontId="169" fillId="28" borderId="0" xfId="0" applyFont="1" applyFill="1" applyBorder="1" applyAlignment="1" applyProtection="1">
      <alignment horizontal="center" vertical="top" wrapText="1"/>
      <protection hidden="1"/>
    </xf>
    <xf numFmtId="0" fontId="44" fillId="30" borderId="74" xfId="0" applyFont="1" applyFill="1" applyBorder="1" applyAlignment="1" applyProtection="1">
      <alignment horizontal="left" vertical="center" indent="1"/>
      <protection hidden="1"/>
    </xf>
    <xf numFmtId="0" fontId="4" fillId="30" borderId="15" xfId="0" applyFont="1" applyFill="1" applyBorder="1" applyAlignment="1">
      <alignment horizontal="left" vertical="center" indent="1"/>
    </xf>
    <xf numFmtId="0" fontId="44" fillId="7" borderId="199" xfId="0" applyFont="1" applyFill="1" applyBorder="1" applyAlignment="1" applyProtection="1">
      <alignment horizontal="left" vertical="center" indent="1"/>
      <protection hidden="1"/>
    </xf>
    <xf numFmtId="0" fontId="4" fillId="0" borderId="204" xfId="0" applyFont="1" applyBorder="1" applyAlignment="1">
      <alignment horizontal="left" vertical="center" indent="1"/>
    </xf>
    <xf numFmtId="0" fontId="21" fillId="0" borderId="184" xfId="0" applyFont="1" applyBorder="1" applyAlignment="1" applyProtection="1">
      <alignment horizontal="left" vertical="center" indent="1"/>
      <protection hidden="1"/>
    </xf>
    <xf numFmtId="0" fontId="0" fillId="0" borderId="82" xfId="0" applyBorder="1" applyAlignment="1">
      <alignment horizontal="left" vertical="center" indent="1"/>
    </xf>
    <xf numFmtId="0" fontId="147" fillId="0" borderId="199" xfId="0" applyFont="1" applyBorder="1" applyAlignment="1" applyProtection="1">
      <alignment horizontal="left" vertical="center" indent="1"/>
      <protection hidden="1"/>
    </xf>
    <xf numFmtId="0" fontId="0" fillId="0" borderId="99" xfId="0" applyBorder="1" applyAlignment="1">
      <alignment horizontal="left" vertical="center" indent="1"/>
    </xf>
    <xf numFmtId="0" fontId="152" fillId="19" borderId="42" xfId="0" applyFont="1" applyFill="1" applyBorder="1" applyAlignment="1" applyProtection="1">
      <alignment horizontal="left" vertical="center" indent="1"/>
      <protection hidden="1"/>
    </xf>
    <xf numFmtId="0" fontId="150" fillId="19" borderId="16" xfId="0" applyFont="1" applyFill="1" applyBorder="1" applyAlignment="1">
      <alignment horizontal="left" vertical="center" indent="1"/>
    </xf>
    <xf numFmtId="0" fontId="147" fillId="28" borderId="224" xfId="0" applyFont="1" applyFill="1" applyBorder="1" applyAlignment="1" applyProtection="1">
      <alignment horizontal="left" vertical="center" indent="1"/>
      <protection hidden="1"/>
    </xf>
    <xf numFmtId="0" fontId="4" fillId="28" borderId="225" xfId="0" applyFont="1" applyFill="1" applyBorder="1" applyAlignment="1">
      <alignment horizontal="left" vertical="center" indent="1"/>
    </xf>
    <xf numFmtId="0" fontId="197" fillId="28" borderId="57" xfId="0" applyFont="1" applyFill="1" applyBorder="1" applyAlignment="1" applyProtection="1">
      <alignment horizontal="left" vertical="top" indent="2"/>
      <protection hidden="1"/>
    </xf>
    <xf numFmtId="0" fontId="198" fillId="28" borderId="0" xfId="0" applyFont="1" applyFill="1" applyBorder="1" applyAlignment="1">
      <alignment horizontal="left" vertical="top" indent="2"/>
    </xf>
    <xf numFmtId="0" fontId="169" fillId="28" borderId="17" xfId="0" applyFont="1" applyFill="1" applyBorder="1" applyAlignment="1" applyProtection="1">
      <alignment horizontal="center" vertical="center" wrapText="1"/>
      <protection locked="0"/>
    </xf>
    <xf numFmtId="0" fontId="169" fillId="28" borderId="17" xfId="0" applyFont="1" applyFill="1" applyBorder="1" applyAlignment="1" applyProtection="1">
      <alignment horizontal="center" vertical="center"/>
      <protection locked="0"/>
    </xf>
    <xf numFmtId="0" fontId="169" fillId="28" borderId="0" xfId="0" applyFont="1" applyFill="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34" fillId="19" borderId="16" xfId="0" applyFont="1" applyFill="1" applyBorder="1" applyAlignment="1" applyProtection="1">
      <alignment horizontal="right" vertical="top"/>
      <protection hidden="1"/>
    </xf>
    <xf numFmtId="0" fontId="134" fillId="19" borderId="192" xfId="0" applyFont="1" applyFill="1" applyBorder="1" applyAlignment="1" applyProtection="1">
      <alignment horizontal="right" vertical="top"/>
      <protection hidden="1"/>
    </xf>
    <xf numFmtId="0" fontId="168" fillId="21" borderId="197" xfId="0" applyFont="1" applyFill="1" applyBorder="1" applyAlignment="1" applyProtection="1">
      <alignment horizontal="left" vertical="center" indent="1"/>
      <protection locked="0"/>
    </xf>
    <xf numFmtId="0" fontId="0" fillId="0" borderId="202" xfId="0" applyBorder="1" applyAlignment="1">
      <alignment horizontal="left" vertical="center" indent="1"/>
    </xf>
    <xf numFmtId="0" fontId="0" fillId="0" borderId="54" xfId="0" applyBorder="1" applyAlignment="1">
      <alignment horizontal="left" vertical="center" indent="1"/>
    </xf>
    <xf numFmtId="0" fontId="0" fillId="0" borderId="245" xfId="0" applyBorder="1" applyAlignment="1">
      <alignment horizontal="left" vertical="center" indent="1"/>
    </xf>
    <xf numFmtId="0" fontId="168" fillId="28" borderId="197" xfId="0" applyFont="1" applyFill="1" applyBorder="1" applyAlignment="1" applyProtection="1">
      <alignment horizontal="left" vertical="center" indent="1"/>
      <protection locked="0"/>
    </xf>
    <xf numFmtId="0" fontId="128" fillId="19" borderId="42" xfId="0" applyFont="1" applyFill="1" applyBorder="1" applyAlignment="1" applyProtection="1">
      <alignment horizontal="left" vertical="center" indent="1"/>
      <protection locked="0"/>
    </xf>
    <xf numFmtId="0" fontId="0" fillId="0" borderId="16" xfId="0" applyBorder="1" applyAlignment="1">
      <alignment horizontal="left" vertical="center" indent="1"/>
    </xf>
    <xf numFmtId="0" fontId="0" fillId="0" borderId="192" xfId="0" applyBorder="1" applyAlignment="1">
      <alignment horizontal="left" vertical="center" indent="1"/>
    </xf>
    <xf numFmtId="0" fontId="168" fillId="5" borderId="197" xfId="0" applyFont="1" applyFill="1" applyBorder="1" applyAlignment="1" applyProtection="1">
      <alignment horizontal="left" vertical="center" indent="1"/>
      <protection locked="0"/>
    </xf>
    <xf numFmtId="0" fontId="0" fillId="0" borderId="53" xfId="0" applyBorder="1" applyAlignment="1">
      <alignment horizontal="left" indent="1"/>
    </xf>
    <xf numFmtId="0" fontId="0" fillId="0" borderId="202" xfId="0" applyBorder="1" applyAlignment="1">
      <alignment horizontal="left" indent="1"/>
    </xf>
    <xf numFmtId="0" fontId="22" fillId="19" borderId="42" xfId="0" applyFont="1" applyFill="1" applyBorder="1" applyAlignment="1" applyProtection="1">
      <alignment horizontal="left" vertical="center" indent="1"/>
      <protection locked="0"/>
    </xf>
    <xf numFmtId="0" fontId="0" fillId="21" borderId="53" xfId="0" applyFill="1" applyBorder="1" applyAlignment="1">
      <alignment horizontal="left" vertical="center" indent="1"/>
    </xf>
    <xf numFmtId="0" fontId="0" fillId="21" borderId="202" xfId="0" applyFill="1" applyBorder="1" applyAlignment="1">
      <alignment horizontal="left" vertical="center" indent="1"/>
    </xf>
    <xf numFmtId="1" fontId="152" fillId="32" borderId="36" xfId="1" applyNumberFormat="1" applyFont="1" applyFill="1" applyBorder="1" applyAlignment="1" applyProtection="1">
      <alignment horizontal="center"/>
      <protection hidden="1"/>
    </xf>
    <xf numFmtId="167" fontId="173" fillId="32" borderId="12" xfId="1" applyNumberFormat="1" applyFont="1" applyFill="1" applyBorder="1" applyAlignment="1" applyProtection="1">
      <alignment horizontal="center" vertical="top"/>
      <protection hidden="1"/>
    </xf>
    <xf numFmtId="1" fontId="152" fillId="32" borderId="45" xfId="1" applyNumberFormat="1" applyFont="1" applyFill="1" applyBorder="1" applyAlignment="1" applyProtection="1">
      <alignment horizontal="center"/>
      <protection hidden="1"/>
    </xf>
    <xf numFmtId="167" fontId="173" fillId="32" borderId="201" xfId="1" applyNumberFormat="1" applyFont="1" applyFill="1" applyBorder="1" applyAlignment="1" applyProtection="1">
      <alignment horizontal="center" vertical="top"/>
      <protection hidden="1"/>
    </xf>
    <xf numFmtId="0" fontId="18" fillId="19" borderId="16" xfId="0" applyFont="1" applyFill="1" applyBorder="1" applyAlignment="1" applyProtection="1">
      <alignment horizontal="center" vertical="center"/>
      <protection locked="0"/>
    </xf>
    <xf numFmtId="0" fontId="18" fillId="19" borderId="43" xfId="0" applyFont="1" applyFill="1" applyBorder="1" applyAlignment="1" applyProtection="1">
      <alignment horizontal="center" vertical="center"/>
      <protection locked="0"/>
    </xf>
    <xf numFmtId="1" fontId="22" fillId="32" borderId="36" xfId="0" applyNumberFormat="1" applyFont="1" applyFill="1" applyBorder="1" applyAlignment="1" applyProtection="1">
      <alignment horizontal="center"/>
      <protection hidden="1"/>
    </xf>
    <xf numFmtId="1" fontId="152" fillId="32" borderId="47" xfId="1" applyNumberFormat="1" applyFont="1" applyFill="1" applyBorder="1" applyAlignment="1" applyProtection="1">
      <alignment horizontal="center"/>
      <protection hidden="1"/>
    </xf>
    <xf numFmtId="167" fontId="173" fillId="32" borderId="127" xfId="1" applyNumberFormat="1" applyFont="1" applyFill="1" applyBorder="1" applyAlignment="1" applyProtection="1">
      <alignment horizontal="center" vertical="top"/>
      <protection hidden="1"/>
    </xf>
    <xf numFmtId="167" fontId="24" fillId="32" borderId="322" xfId="0" applyNumberFormat="1" applyFont="1" applyFill="1" applyBorder="1" applyAlignment="1" applyProtection="1">
      <alignment horizontal="center" vertical="top"/>
      <protection hidden="1"/>
    </xf>
    <xf numFmtId="0" fontId="195" fillId="42" borderId="42" xfId="1" applyFont="1" applyFill="1" applyBorder="1" applyAlignment="1" applyProtection="1">
      <alignment horizontal="center" vertical="center"/>
      <protection locked="0"/>
    </xf>
    <xf numFmtId="0" fontId="188" fillId="42" borderId="16" xfId="0" applyFont="1" applyFill="1" applyBorder="1" applyAlignment="1">
      <alignment horizontal="center" vertical="center"/>
    </xf>
    <xf numFmtId="0" fontId="188" fillId="42" borderId="43" xfId="0" applyFont="1" applyFill="1" applyBorder="1" applyAlignment="1">
      <alignment horizontal="center" vertical="center"/>
    </xf>
    <xf numFmtId="1" fontId="22" fillId="32" borderId="17" xfId="0" applyNumberFormat="1" applyFont="1" applyFill="1" applyBorder="1" applyAlignment="1" applyProtection="1">
      <alignment horizontal="center"/>
      <protection hidden="1"/>
    </xf>
    <xf numFmtId="0" fontId="128" fillId="19" borderId="350" xfId="0" applyFont="1" applyFill="1" applyBorder="1" applyAlignment="1" applyProtection="1">
      <alignment horizontal="center" vertical="center"/>
      <protection locked="0"/>
    </xf>
    <xf numFmtId="0" fontId="128" fillId="0" borderId="351" xfId="0" applyFont="1" applyBorder="1" applyAlignment="1">
      <alignment horizontal="center" vertical="center"/>
    </xf>
    <xf numFmtId="0" fontId="168" fillId="28" borderId="53" xfId="0" applyFont="1" applyFill="1" applyBorder="1" applyAlignment="1">
      <alignment horizontal="left" vertical="center" indent="1"/>
    </xf>
    <xf numFmtId="0" fontId="168" fillId="28" borderId="97" xfId="0" applyFont="1" applyFill="1" applyBorder="1" applyAlignment="1">
      <alignment horizontal="left" vertical="center" indent="1"/>
    </xf>
    <xf numFmtId="0" fontId="11" fillId="19" borderId="136" xfId="0" applyFont="1" applyFill="1" applyBorder="1" applyAlignment="1" applyProtection="1">
      <alignment horizontal="center" vertical="center"/>
      <protection locked="0"/>
    </xf>
    <xf numFmtId="0" fontId="11" fillId="19" borderId="138" xfId="0" applyFont="1" applyFill="1" applyBorder="1" applyAlignment="1" applyProtection="1">
      <alignment horizontal="center" vertical="center"/>
      <protection locked="0"/>
    </xf>
    <xf numFmtId="0" fontId="11" fillId="19" borderId="139" xfId="0" applyFont="1" applyFill="1" applyBorder="1" applyAlignment="1" applyProtection="1">
      <alignment horizontal="center" vertical="center"/>
      <protection locked="0"/>
    </xf>
    <xf numFmtId="0" fontId="22" fillId="3" borderId="17" xfId="0" applyFont="1" applyFill="1" applyBorder="1" applyAlignment="1" applyProtection="1">
      <alignment horizontal="left" indent="1"/>
      <protection locked="0"/>
    </xf>
    <xf numFmtId="0" fontId="24" fillId="3" borderId="0" xfId="0" applyFont="1" applyFill="1" applyBorder="1" applyAlignment="1" applyProtection="1">
      <alignment horizontal="left" vertical="top" indent="1"/>
      <protection locked="0"/>
    </xf>
    <xf numFmtId="1" fontId="22" fillId="32" borderId="40" xfId="0" applyNumberFormat="1" applyFont="1" applyFill="1" applyBorder="1" applyAlignment="1" applyProtection="1">
      <alignment horizontal="center"/>
      <protection hidden="1"/>
    </xf>
    <xf numFmtId="167" fontId="24" fillId="32" borderId="349" xfId="0" applyNumberFormat="1" applyFont="1" applyFill="1" applyBorder="1" applyAlignment="1" applyProtection="1">
      <alignment horizontal="center" vertical="top"/>
      <protection hidden="1"/>
    </xf>
    <xf numFmtId="167" fontId="24" fillId="32" borderId="323" xfId="0" applyNumberFormat="1" applyFont="1" applyFill="1" applyBorder="1" applyAlignment="1" applyProtection="1">
      <alignment horizontal="center" vertical="top"/>
      <protection hidden="1"/>
    </xf>
    <xf numFmtId="0" fontId="144" fillId="40" borderId="329" xfId="0" applyFont="1" applyFill="1" applyBorder="1" applyAlignment="1" applyProtection="1">
      <alignment horizontal="center" vertical="center"/>
      <protection locked="0"/>
    </xf>
    <xf numFmtId="0" fontId="144" fillId="40" borderId="346" xfId="0" applyFont="1" applyFill="1" applyBorder="1" applyAlignment="1" applyProtection="1">
      <alignment horizontal="center" vertical="center"/>
      <protection locked="0"/>
    </xf>
    <xf numFmtId="0" fontId="144" fillId="40" borderId="55" xfId="0" applyFont="1" applyFill="1" applyBorder="1" applyAlignment="1" applyProtection="1">
      <alignment horizontal="center" vertical="center"/>
      <protection locked="0"/>
    </xf>
    <xf numFmtId="0" fontId="144" fillId="40" borderId="255" xfId="0" applyFont="1" applyFill="1" applyBorder="1" applyAlignment="1" applyProtection="1">
      <alignment horizontal="center" vertical="center"/>
      <protection locked="0"/>
    </xf>
    <xf numFmtId="0" fontId="42" fillId="0" borderId="0" xfId="0" applyFont="1" applyBorder="1" applyAlignment="1" applyProtection="1">
      <alignment horizontal="right" vertical="center" indent="1"/>
      <protection hidden="1"/>
    </xf>
    <xf numFmtId="0" fontId="0" fillId="0" borderId="117" xfId="0" applyBorder="1" applyAlignment="1" applyProtection="1">
      <alignment horizontal="right" vertical="center"/>
      <protection hidden="1"/>
    </xf>
    <xf numFmtId="0" fontId="168" fillId="5" borderId="199" xfId="0" applyFont="1" applyFill="1" applyBorder="1" applyAlignment="1" applyProtection="1">
      <alignment horizontal="left" vertical="center" indent="1"/>
      <protection locked="0"/>
    </xf>
    <xf numFmtId="0" fontId="169" fillId="0" borderId="99" xfId="0" applyFont="1" applyBorder="1" applyAlignment="1">
      <alignment horizontal="left" vertical="center" indent="1"/>
    </xf>
    <xf numFmtId="0" fontId="169" fillId="0" borderId="254" xfId="0" applyFont="1" applyBorder="1" applyAlignment="1">
      <alignment horizontal="left" vertical="center" indent="1"/>
    </xf>
    <xf numFmtId="0" fontId="169" fillId="0" borderId="204" xfId="0" applyFont="1" applyBorder="1" applyAlignment="1">
      <alignment horizontal="left" vertical="center" indent="1"/>
    </xf>
    <xf numFmtId="0" fontId="169" fillId="0" borderId="105" xfId="0" applyFont="1" applyBorder="1" applyAlignment="1">
      <alignment horizontal="left" vertical="center" indent="1"/>
    </xf>
    <xf numFmtId="0" fontId="169" fillId="0" borderId="252" xfId="0" applyFont="1" applyBorder="1" applyAlignment="1">
      <alignment horizontal="left" vertical="center" indent="1"/>
    </xf>
    <xf numFmtId="0" fontId="179" fillId="28" borderId="202" xfId="0" applyFont="1" applyFill="1" applyBorder="1" applyAlignment="1">
      <alignment horizontal="left" vertical="center" indent="1"/>
    </xf>
    <xf numFmtId="0" fontId="168" fillId="28" borderId="199" xfId="0" applyFont="1" applyFill="1" applyBorder="1" applyAlignment="1" applyProtection="1">
      <alignment horizontal="left" vertical="center" indent="1"/>
      <protection locked="0"/>
    </xf>
    <xf numFmtId="0" fontId="169" fillId="28" borderId="99" xfId="0" applyFont="1" applyFill="1" applyBorder="1" applyAlignment="1">
      <alignment horizontal="left" vertical="center" indent="1"/>
    </xf>
    <xf numFmtId="0" fontId="169" fillId="28" borderId="254" xfId="0" applyFont="1" applyFill="1" applyBorder="1" applyAlignment="1">
      <alignment horizontal="left" vertical="center" indent="1"/>
    </xf>
    <xf numFmtId="0" fontId="169" fillId="28" borderId="204" xfId="0" applyFont="1" applyFill="1" applyBorder="1" applyAlignment="1">
      <alignment horizontal="left" vertical="center" indent="1"/>
    </xf>
    <xf numFmtId="0" fontId="169" fillId="28" borderId="105" xfId="0" applyFont="1" applyFill="1" applyBorder="1" applyAlignment="1">
      <alignment horizontal="left" vertical="center" indent="1"/>
    </xf>
    <xf numFmtId="0" fontId="169" fillId="28" borderId="252" xfId="0" applyFont="1" applyFill="1" applyBorder="1" applyAlignment="1">
      <alignment horizontal="left" vertical="center" indent="1"/>
    </xf>
    <xf numFmtId="0" fontId="168" fillId="25" borderId="42" xfId="0" applyFont="1" applyFill="1" applyBorder="1" applyAlignment="1" applyProtection="1">
      <alignment horizontal="left" vertical="center" indent="1"/>
      <protection locked="0"/>
    </xf>
    <xf numFmtId="0" fontId="4" fillId="0" borderId="22" xfId="0" applyFont="1" applyBorder="1" applyAlignment="1">
      <alignment horizontal="left" vertical="center" indent="1"/>
    </xf>
    <xf numFmtId="0" fontId="22" fillId="4" borderId="42" xfId="0" applyFont="1" applyFill="1" applyBorder="1" applyAlignment="1" applyProtection="1">
      <alignment horizontal="left" vertical="center" indent="1"/>
      <protection locked="0"/>
    </xf>
    <xf numFmtId="0" fontId="144" fillId="40" borderId="263" xfId="0" applyFont="1" applyFill="1" applyBorder="1" applyAlignment="1" applyProtection="1">
      <alignment horizontal="center" vertical="center"/>
      <protection locked="0"/>
    </xf>
    <xf numFmtId="0" fontId="144" fillId="40" borderId="252" xfId="0" applyFont="1" applyFill="1" applyBorder="1" applyAlignment="1" applyProtection="1">
      <alignment horizontal="center" vertical="center"/>
      <protection locked="0"/>
    </xf>
    <xf numFmtId="0" fontId="179" fillId="48" borderId="15" xfId="0" applyFont="1" applyFill="1" applyBorder="1" applyAlignment="1" applyProtection="1">
      <alignment horizontal="left" vertical="center" indent="1"/>
      <protection locked="0"/>
    </xf>
    <xf numFmtId="0" fontId="179" fillId="48" borderId="18" xfId="0" applyFont="1" applyFill="1" applyBorder="1" applyAlignment="1" applyProtection="1">
      <alignment horizontal="left" vertical="center" indent="1"/>
      <protection locked="0"/>
    </xf>
    <xf numFmtId="0" fontId="179" fillId="48" borderId="18" xfId="0" applyFont="1" applyFill="1" applyBorder="1" applyAlignment="1">
      <alignment horizontal="left" vertical="center" indent="1"/>
    </xf>
    <xf numFmtId="0" fontId="179" fillId="48" borderId="249" xfId="0" applyFont="1" applyFill="1" applyBorder="1" applyAlignment="1">
      <alignment horizontal="left" vertical="center" indent="1"/>
    </xf>
    <xf numFmtId="0" fontId="18" fillId="18" borderId="42" xfId="0" applyFont="1" applyFill="1" applyBorder="1" applyAlignment="1" applyProtection="1">
      <alignment horizontal="left" vertical="center" indent="1"/>
      <protection hidden="1"/>
    </xf>
    <xf numFmtId="0" fontId="0" fillId="18" borderId="192" xfId="0" applyFill="1" applyBorder="1" applyAlignment="1">
      <alignment horizontal="left" vertical="center" indent="1"/>
    </xf>
    <xf numFmtId="0" fontId="178" fillId="0" borderId="14" xfId="0" applyFont="1" applyBorder="1" applyAlignment="1" applyProtection="1">
      <alignment horizontal="left" vertical="center" indent="1"/>
      <protection locked="0"/>
    </xf>
    <xf numFmtId="0" fontId="179" fillId="0" borderId="17" xfId="0" applyFont="1" applyBorder="1" applyAlignment="1">
      <alignment horizontal="left" vertical="center" indent="1"/>
    </xf>
    <xf numFmtId="0" fontId="179" fillId="0" borderId="74" xfId="0" applyFont="1" applyBorder="1" applyAlignment="1" applyProtection="1">
      <alignment horizontal="left" vertical="center" indent="1"/>
      <protection locked="0"/>
    </xf>
    <xf numFmtId="0" fontId="179" fillId="0" borderId="15" xfId="0" applyFont="1" applyBorder="1" applyAlignment="1">
      <alignment horizontal="left" vertical="center" indent="1"/>
    </xf>
    <xf numFmtId="0" fontId="179" fillId="0" borderId="18" xfId="0" applyFont="1" applyBorder="1" applyAlignment="1">
      <alignment horizontal="left" vertical="center" indent="1"/>
    </xf>
    <xf numFmtId="164" fontId="12" fillId="43" borderId="334" xfId="0" applyNumberFormat="1" applyFont="1" applyFill="1" applyBorder="1" applyAlignment="1" applyProtection="1">
      <alignment horizontal="center" vertical="center"/>
      <protection locked="0"/>
    </xf>
    <xf numFmtId="164" fontId="12" fillId="43" borderId="277" xfId="0" applyNumberFormat="1" applyFont="1" applyFill="1" applyBorder="1" applyAlignment="1" applyProtection="1">
      <alignment horizontal="center" vertical="center"/>
      <protection locked="0"/>
    </xf>
    <xf numFmtId="164" fontId="12" fillId="43" borderId="93" xfId="0" applyNumberFormat="1" applyFont="1" applyFill="1" applyBorder="1" applyAlignment="1" applyProtection="1">
      <alignment horizontal="center" vertical="center"/>
      <protection locked="0"/>
    </xf>
    <xf numFmtId="164" fontId="12" fillId="43" borderId="90" xfId="0" applyNumberFormat="1" applyFont="1" applyFill="1" applyBorder="1" applyAlignment="1" applyProtection="1">
      <alignment horizontal="center" vertical="center"/>
      <protection locked="0"/>
    </xf>
    <xf numFmtId="0" fontId="179" fillId="0" borderId="14" xfId="0" applyFont="1" applyBorder="1" applyAlignment="1" applyProtection="1">
      <alignment horizontal="left" vertical="center" indent="1"/>
      <protection locked="0"/>
    </xf>
    <xf numFmtId="0" fontId="169" fillId="0" borderId="14" xfId="0" applyFont="1" applyBorder="1" applyAlignment="1" applyProtection="1">
      <alignment horizontal="left" vertical="center" indent="1"/>
      <protection locked="0"/>
    </xf>
    <xf numFmtId="0" fontId="0" fillId="0" borderId="17" xfId="0" applyBorder="1" applyAlignment="1">
      <alignment horizontal="left" vertical="center" indent="1"/>
    </xf>
    <xf numFmtId="0" fontId="178" fillId="25" borderId="42" xfId="0" applyFont="1" applyFill="1" applyBorder="1" applyAlignment="1" applyProtection="1">
      <alignment horizontal="left" vertical="center" indent="1"/>
      <protection locked="0"/>
    </xf>
    <xf numFmtId="0" fontId="178" fillId="25" borderId="16" xfId="0" applyFont="1" applyFill="1" applyBorder="1" applyAlignment="1" applyProtection="1">
      <alignment horizontal="left" vertical="center" indent="1"/>
      <protection locked="0"/>
    </xf>
    <xf numFmtId="0" fontId="179" fillId="25" borderId="16" xfId="0" applyFont="1" applyFill="1" applyBorder="1" applyAlignment="1">
      <alignment horizontal="left" vertical="center" indent="1"/>
    </xf>
    <xf numFmtId="0" fontId="179" fillId="25" borderId="22" xfId="0" applyFont="1" applyFill="1" applyBorder="1" applyAlignment="1">
      <alignment horizontal="left" vertical="center" indent="1"/>
    </xf>
    <xf numFmtId="0" fontId="178" fillId="25" borderId="159" xfId="0" applyFont="1" applyFill="1" applyBorder="1" applyAlignment="1" applyProtection="1">
      <alignment horizontal="left" vertical="center" indent="1"/>
      <protection locked="0"/>
    </xf>
    <xf numFmtId="0" fontId="178" fillId="25" borderId="54" xfId="0" applyFont="1" applyFill="1" applyBorder="1" applyAlignment="1" applyProtection="1">
      <alignment horizontal="left" vertical="center" indent="1"/>
      <protection locked="0"/>
    </xf>
    <xf numFmtId="0" fontId="179" fillId="25" borderId="54" xfId="0" applyFont="1" applyFill="1" applyBorder="1" applyAlignment="1">
      <alignment horizontal="left" vertical="center" indent="1"/>
    </xf>
    <xf numFmtId="0" fontId="179" fillId="25" borderId="245" xfId="0" applyFont="1" applyFill="1" applyBorder="1" applyAlignment="1">
      <alignment horizontal="left" vertical="center" indent="1"/>
    </xf>
    <xf numFmtId="0" fontId="207" fillId="0" borderId="0" xfId="0" applyFont="1" applyFill="1" applyBorder="1" applyAlignment="1" applyProtection="1">
      <alignment vertical="center"/>
      <protection locked="0"/>
    </xf>
    <xf numFmtId="0" fontId="208" fillId="0" borderId="0" xfId="0" applyFont="1" applyFill="1" applyBorder="1" applyAlignment="1">
      <alignment vertical="center"/>
    </xf>
    <xf numFmtId="0" fontId="169" fillId="28" borderId="24" xfId="0" applyFont="1" applyFill="1" applyBorder="1" applyAlignment="1" applyProtection="1">
      <alignment horizontal="right" vertical="center"/>
      <protection locked="0"/>
    </xf>
    <xf numFmtId="0" fontId="169" fillId="28" borderId="9" xfId="0" applyFont="1" applyFill="1" applyBorder="1" applyAlignment="1" applyProtection="1">
      <alignment horizontal="right" vertical="center"/>
      <protection locked="0"/>
    </xf>
    <xf numFmtId="0" fontId="169" fillId="28" borderId="25" xfId="0" applyFont="1" applyFill="1" applyBorder="1" applyAlignment="1" applyProtection="1">
      <alignment horizontal="left" vertical="center"/>
      <protection locked="0"/>
    </xf>
    <xf numFmtId="0" fontId="169" fillId="28" borderId="250" xfId="0" applyFont="1" applyFill="1" applyBorder="1" applyAlignment="1" applyProtection="1">
      <alignment horizontal="left" vertical="center"/>
      <protection locked="0"/>
    </xf>
    <xf numFmtId="1" fontId="22" fillId="32" borderId="169" xfId="0" applyNumberFormat="1" applyFont="1" applyFill="1" applyBorder="1" applyAlignment="1" applyProtection="1">
      <alignment horizontal="center" vertical="center"/>
      <protection hidden="1"/>
    </xf>
    <xf numFmtId="0" fontId="0" fillId="32" borderId="19" xfId="0" applyFill="1" applyBorder="1" applyAlignment="1">
      <alignment horizontal="center" vertical="center"/>
    </xf>
    <xf numFmtId="0" fontId="169" fillId="47" borderId="197" xfId="0" applyFont="1" applyFill="1" applyBorder="1" applyAlignment="1" applyProtection="1">
      <alignment horizontal="left" vertical="center" indent="1"/>
      <protection locked="0"/>
    </xf>
    <xf numFmtId="0" fontId="169" fillId="47" borderId="53" xfId="0" applyFont="1" applyFill="1" applyBorder="1" applyAlignment="1" applyProtection="1">
      <alignment horizontal="left" vertical="center" indent="1"/>
      <protection locked="0"/>
    </xf>
    <xf numFmtId="0" fontId="4" fillId="47" borderId="53" xfId="0" applyFont="1" applyFill="1" applyBorder="1" applyAlignment="1">
      <alignment horizontal="left" vertical="center" indent="1"/>
    </xf>
    <xf numFmtId="0" fontId="4" fillId="47" borderId="202" xfId="0" applyFont="1" applyFill="1" applyBorder="1" applyAlignment="1">
      <alignment horizontal="left" vertical="center" indent="1"/>
    </xf>
    <xf numFmtId="0" fontId="201" fillId="19" borderId="64" xfId="0" quotePrefix="1" applyFont="1" applyFill="1" applyBorder="1" applyAlignment="1" applyProtection="1">
      <alignment horizontal="left" vertical="center" indent="1"/>
      <protection locked="0"/>
    </xf>
    <xf numFmtId="0" fontId="4" fillId="0" borderId="7" xfId="0" applyFont="1" applyBorder="1" applyAlignment="1">
      <alignment horizontal="left" vertical="center" indent="1"/>
    </xf>
    <xf numFmtId="0" fontId="201" fillId="19" borderId="28" xfId="0" quotePrefix="1" applyFont="1" applyFill="1" applyBorder="1" applyAlignment="1" applyProtection="1">
      <alignment horizontal="left" vertical="center" indent="1"/>
      <protection locked="0"/>
    </xf>
    <xf numFmtId="0" fontId="4" fillId="0" borderId="0" xfId="0" applyFont="1" applyBorder="1" applyAlignment="1">
      <alignment horizontal="left" vertical="center" indent="1"/>
    </xf>
    <xf numFmtId="0" fontId="168" fillId="28" borderId="183" xfId="0" quotePrefix="1" applyFont="1" applyFill="1" applyBorder="1" applyAlignment="1" applyProtection="1">
      <alignment horizontal="left" vertical="center" indent="1"/>
      <protection locked="0"/>
    </xf>
    <xf numFmtId="0" fontId="168" fillId="28" borderId="14" xfId="0" applyFont="1" applyFill="1" applyBorder="1" applyAlignment="1" applyProtection="1">
      <alignment horizontal="left" vertical="center" wrapText="1" indent="1"/>
      <protection locked="0"/>
    </xf>
    <xf numFmtId="0" fontId="209" fillId="0" borderId="204" xfId="0" applyFont="1" applyBorder="1" applyAlignment="1" applyProtection="1">
      <alignment horizontal="left" vertical="center" indent="1"/>
      <protection locked="0"/>
    </xf>
    <xf numFmtId="0" fontId="179" fillId="0" borderId="105" xfId="0" applyFont="1" applyBorder="1" applyAlignment="1">
      <alignment horizontal="left" indent="1"/>
    </xf>
    <xf numFmtId="0" fontId="169" fillId="0" borderId="74" xfId="0" applyFont="1" applyBorder="1" applyAlignment="1" applyProtection="1">
      <alignment horizontal="left" vertical="center" indent="1"/>
      <protection locked="0"/>
    </xf>
    <xf numFmtId="0" fontId="0" fillId="0" borderId="0" xfId="0" applyBorder="1" applyAlignment="1">
      <alignment horizontal="left" indent="1"/>
    </xf>
    <xf numFmtId="0" fontId="209" fillId="0" borderId="74" xfId="0" applyFont="1" applyBorder="1" applyAlignment="1" applyProtection="1">
      <alignment horizontal="left" vertical="center" indent="1"/>
      <protection locked="0"/>
    </xf>
    <xf numFmtId="0" fontId="179" fillId="0" borderId="0" xfId="0" applyFont="1" applyBorder="1" applyAlignment="1">
      <alignment horizontal="left" indent="1"/>
    </xf>
    <xf numFmtId="0" fontId="4" fillId="47" borderId="53" xfId="0" applyFont="1" applyFill="1" applyBorder="1" applyAlignment="1">
      <alignment horizontal="left" indent="1"/>
    </xf>
    <xf numFmtId="0" fontId="169" fillId="28" borderId="24" xfId="0" quotePrefix="1" applyFont="1" applyFill="1" applyBorder="1" applyAlignment="1" applyProtection="1">
      <alignment horizontal="left" vertical="center" indent="1"/>
      <protection locked="0"/>
    </xf>
    <xf numFmtId="0" fontId="0" fillId="0" borderId="25" xfId="0" applyBorder="1" applyAlignment="1">
      <alignment horizontal="left" vertical="center" indent="1"/>
    </xf>
    <xf numFmtId="0" fontId="0" fillId="0" borderId="17" xfId="0" applyBorder="1" applyAlignment="1">
      <alignment horizontal="left" indent="1"/>
    </xf>
    <xf numFmtId="0" fontId="200" fillId="0" borderId="74" xfId="0" applyFont="1" applyBorder="1" applyAlignment="1" applyProtection="1">
      <alignment horizontal="left" vertical="top" indent="1"/>
      <protection locked="0"/>
    </xf>
    <xf numFmtId="0" fontId="169" fillId="0" borderId="199" xfId="0" applyFont="1" applyBorder="1" applyAlignment="1" applyProtection="1">
      <alignment horizontal="left" vertical="center" indent="1"/>
      <protection locked="0"/>
    </xf>
    <xf numFmtId="0" fontId="0" fillId="0" borderId="99" xfId="0" applyBorder="1" applyAlignment="1">
      <alignment horizontal="left" indent="1"/>
    </xf>
    <xf numFmtId="0" fontId="169" fillId="28" borderId="9" xfId="0" quotePrefix="1" applyFont="1" applyFill="1" applyBorder="1" applyAlignment="1" applyProtection="1">
      <alignment horizontal="left" vertical="center" indent="1"/>
      <protection locked="0"/>
    </xf>
    <xf numFmtId="0" fontId="0" fillId="0" borderId="0" xfId="0" applyBorder="1" applyAlignment="1">
      <alignment horizontal="left" vertical="center" indent="1"/>
    </xf>
    <xf numFmtId="0" fontId="0" fillId="0" borderId="250" xfId="0" applyBorder="1" applyAlignment="1">
      <alignment horizontal="left" vertical="center" indent="1"/>
    </xf>
    <xf numFmtId="0" fontId="201" fillId="19" borderId="23" xfId="0" quotePrefix="1" applyFont="1" applyFill="1" applyBorder="1" applyAlignment="1" applyProtection="1">
      <alignment horizontal="left" vertical="center" indent="1"/>
      <protection locked="0"/>
    </xf>
    <xf numFmtId="0" fontId="4" fillId="0" borderId="17" xfId="0" applyFont="1" applyBorder="1" applyAlignment="1">
      <alignment horizontal="left" vertical="center" indent="1"/>
    </xf>
    <xf numFmtId="0" fontId="168" fillId="0" borderId="0" xfId="0" applyFont="1" applyFill="1" applyBorder="1" applyAlignment="1" applyProtection="1">
      <alignment vertical="center"/>
      <protection locked="0"/>
    </xf>
    <xf numFmtId="0" fontId="169" fillId="0" borderId="0" xfId="0" applyFont="1" applyFill="1" applyBorder="1" applyAlignment="1">
      <alignment vertical="center"/>
    </xf>
    <xf numFmtId="0" fontId="178" fillId="25" borderId="184" xfId="0" applyFont="1" applyFill="1" applyBorder="1" applyAlignment="1" applyProtection="1">
      <alignment horizontal="left" vertical="center" indent="1"/>
      <protection locked="0"/>
    </xf>
    <xf numFmtId="0" fontId="178" fillId="25" borderId="82" xfId="0" applyFont="1" applyFill="1" applyBorder="1" applyAlignment="1" applyProtection="1">
      <alignment horizontal="left" vertical="center" indent="1"/>
      <protection locked="0"/>
    </xf>
    <xf numFmtId="0" fontId="179" fillId="25" borderId="82" xfId="0" applyFont="1" applyFill="1" applyBorder="1" applyAlignment="1">
      <alignment horizontal="left" vertical="center" indent="1"/>
    </xf>
    <xf numFmtId="0" fontId="179" fillId="25" borderId="265" xfId="0" applyFont="1" applyFill="1" applyBorder="1" applyAlignment="1">
      <alignment horizontal="left" vertical="center" indent="1"/>
    </xf>
    <xf numFmtId="0" fontId="152" fillId="19" borderId="14" xfId="0" applyFont="1" applyFill="1" applyBorder="1" applyAlignment="1" applyProtection="1">
      <alignment horizontal="left" vertical="center" indent="1"/>
      <protection locked="0"/>
    </xf>
    <xf numFmtId="0" fontId="152" fillId="19" borderId="74" xfId="0" applyFont="1" applyFill="1" applyBorder="1" applyAlignment="1">
      <alignment horizontal="left" vertical="center" indent="1"/>
    </xf>
    <xf numFmtId="0" fontId="152" fillId="19" borderId="176" xfId="0" quotePrefix="1" applyFont="1" applyFill="1" applyBorder="1" applyAlignment="1" applyProtection="1">
      <alignment horizontal="left" vertical="center" indent="1"/>
      <protection locked="0"/>
    </xf>
    <xf numFmtId="0" fontId="0" fillId="0" borderId="162" xfId="0" applyBorder="1" applyAlignment="1">
      <alignment horizontal="left" vertical="center" indent="1"/>
    </xf>
    <xf numFmtId="0" fontId="169" fillId="28" borderId="55" xfId="0" quotePrefix="1" applyFont="1" applyFill="1" applyBorder="1" applyAlignment="1" applyProtection="1">
      <alignment horizontal="left" vertical="center" indent="1"/>
      <protection locked="0"/>
    </xf>
    <xf numFmtId="0" fontId="0" fillId="0" borderId="7" xfId="0" applyBorder="1" applyAlignment="1">
      <alignment horizontal="left" vertical="center" indent="1"/>
    </xf>
    <xf numFmtId="0" fontId="0" fillId="0" borderId="255" xfId="0" applyBorder="1" applyAlignment="1">
      <alignment horizontal="left" vertical="center" indent="1"/>
    </xf>
    <xf numFmtId="0" fontId="170" fillId="0" borderId="0" xfId="0" applyFont="1" applyFill="1" applyBorder="1" applyAlignment="1" applyProtection="1">
      <alignment vertical="center"/>
      <protection locked="0"/>
    </xf>
    <xf numFmtId="0" fontId="171" fillId="0" borderId="0" xfId="0" applyFont="1" applyFill="1" applyBorder="1" applyAlignment="1">
      <alignment vertical="center"/>
    </xf>
    <xf numFmtId="0" fontId="169" fillId="28" borderId="57" xfId="0" applyFont="1" applyFill="1" applyBorder="1" applyAlignment="1" applyProtection="1">
      <alignment horizontal="center" vertical="center"/>
      <protection locked="0"/>
    </xf>
    <xf numFmtId="0" fontId="169" fillId="28" borderId="250" xfId="0" applyFont="1" applyFill="1" applyBorder="1" applyAlignment="1" applyProtection="1">
      <alignment horizontal="center" vertical="center"/>
      <protection locked="0"/>
    </xf>
    <xf numFmtId="0" fontId="169" fillId="28" borderId="58" xfId="0" applyFont="1" applyFill="1" applyBorder="1" applyAlignment="1" applyProtection="1">
      <alignment horizontal="center" vertical="center"/>
      <protection locked="0"/>
    </xf>
    <xf numFmtId="0" fontId="169" fillId="28" borderId="18" xfId="0" applyFont="1" applyFill="1" applyBorder="1" applyAlignment="1" applyProtection="1">
      <alignment horizontal="center" vertical="center"/>
      <protection locked="0"/>
    </xf>
    <xf numFmtId="0" fontId="169" fillId="28" borderId="249" xfId="0" applyFont="1" applyFill="1" applyBorder="1" applyAlignment="1" applyProtection="1">
      <alignment horizontal="center" vertical="center"/>
      <protection locked="0"/>
    </xf>
    <xf numFmtId="0" fontId="0" fillId="28" borderId="9" xfId="0" applyFill="1" applyBorder="1" applyAlignment="1">
      <alignment vertical="center"/>
    </xf>
    <xf numFmtId="0" fontId="0" fillId="28" borderId="250" xfId="0" applyFill="1" applyBorder="1" applyAlignment="1">
      <alignment vertical="center"/>
    </xf>
    <xf numFmtId="0" fontId="215" fillId="25" borderId="264" xfId="0" applyFont="1" applyFill="1" applyBorder="1" applyAlignment="1" applyProtection="1">
      <alignment horizontal="center" vertical="center"/>
      <protection locked="0"/>
    </xf>
    <xf numFmtId="0" fontId="215" fillId="25" borderId="82" xfId="0" applyFont="1" applyFill="1" applyBorder="1" applyAlignment="1" applyProtection="1">
      <alignment horizontal="center" vertical="center"/>
      <protection locked="0"/>
    </xf>
    <xf numFmtId="0" fontId="215" fillId="25" borderId="265" xfId="0" applyFont="1" applyFill="1" applyBorder="1" applyAlignment="1" applyProtection="1">
      <alignment horizontal="center" vertical="center"/>
      <protection locked="0"/>
    </xf>
    <xf numFmtId="1" fontId="22" fillId="32" borderId="19" xfId="0" applyNumberFormat="1" applyFont="1" applyFill="1" applyBorder="1" applyAlignment="1" applyProtection="1">
      <alignment horizontal="center" vertical="center"/>
      <protection hidden="1"/>
    </xf>
    <xf numFmtId="0" fontId="0" fillId="32" borderId="170" xfId="0" applyFill="1" applyBorder="1" applyAlignment="1">
      <alignment horizontal="center" vertical="center"/>
    </xf>
    <xf numFmtId="164" fontId="12" fillId="43" borderId="334" xfId="0" applyNumberFormat="1" applyFont="1" applyFill="1" applyBorder="1" applyAlignment="1" applyProtection="1">
      <alignment vertical="center"/>
      <protection locked="0"/>
    </xf>
    <xf numFmtId="0" fontId="0" fillId="43" borderId="277" xfId="0" applyFill="1" applyBorder="1" applyAlignment="1">
      <alignment vertical="center"/>
    </xf>
    <xf numFmtId="0" fontId="0" fillId="43" borderId="336" xfId="0" applyFill="1" applyBorder="1" applyAlignment="1">
      <alignment vertical="center"/>
    </xf>
    <xf numFmtId="0" fontId="28" fillId="0" borderId="75" xfId="0" applyFont="1" applyBorder="1" applyAlignment="1" applyProtection="1">
      <alignment horizontal="left" vertical="center" indent="1"/>
      <protection locked="0"/>
    </xf>
    <xf numFmtId="0" fontId="0" fillId="0" borderId="50" xfId="0" applyBorder="1" applyAlignment="1">
      <alignment horizontal="left" vertical="center" indent="1"/>
    </xf>
    <xf numFmtId="0" fontId="28" fillId="0" borderId="74" xfId="0" applyFont="1" applyBorder="1" applyAlignment="1" applyProtection="1">
      <alignment horizontal="left" vertical="center" indent="1"/>
      <protection locked="0"/>
    </xf>
    <xf numFmtId="0" fontId="23" fillId="28" borderId="9" xfId="0" applyFont="1" applyFill="1" applyBorder="1" applyAlignment="1" applyProtection="1">
      <alignment horizontal="center" vertical="center"/>
      <protection locked="0"/>
    </xf>
    <xf numFmtId="0" fontId="23" fillId="28" borderId="250" xfId="0" applyFont="1" applyFill="1" applyBorder="1" applyAlignment="1" applyProtection="1">
      <alignment horizontal="center" vertical="center"/>
      <protection locked="0"/>
    </xf>
    <xf numFmtId="0" fontId="12" fillId="0" borderId="74" xfId="0" applyFont="1" applyBorder="1" applyAlignment="1" applyProtection="1">
      <alignment horizontal="left" vertical="center" indent="1"/>
      <protection locked="0"/>
    </xf>
    <xf numFmtId="0" fontId="169" fillId="28" borderId="9" xfId="0" applyFont="1" applyFill="1" applyBorder="1" applyAlignment="1" applyProtection="1">
      <alignment horizontal="center" vertical="center"/>
      <protection locked="0"/>
    </xf>
    <xf numFmtId="0" fontId="169" fillId="28" borderId="121" xfId="0" applyFont="1" applyFill="1" applyBorder="1" applyAlignment="1" applyProtection="1">
      <alignment horizontal="center" vertical="center"/>
      <protection locked="0"/>
    </xf>
    <xf numFmtId="0" fontId="4" fillId="0" borderId="250" xfId="0" applyFont="1" applyBorder="1" applyAlignment="1">
      <alignment horizontal="left" vertical="center" indent="1"/>
    </xf>
    <xf numFmtId="164" fontId="12" fillId="43" borderId="335" xfId="0" applyNumberFormat="1" applyFont="1" applyFill="1" applyBorder="1" applyAlignment="1" applyProtection="1">
      <alignment horizontal="center" vertical="center"/>
      <protection locked="0"/>
    </xf>
    <xf numFmtId="0" fontId="0" fillId="43" borderId="277" xfId="0" applyFill="1" applyBorder="1" applyAlignment="1"/>
    <xf numFmtId="0" fontId="0" fillId="0" borderId="277" xfId="0" applyBorder="1" applyAlignment="1"/>
    <xf numFmtId="164" fontId="12" fillId="43" borderId="112" xfId="0" applyNumberFormat="1" applyFont="1" applyFill="1" applyBorder="1" applyAlignment="1" applyProtection="1">
      <alignment vertical="center"/>
      <protection locked="0"/>
    </xf>
    <xf numFmtId="0" fontId="0" fillId="43" borderId="110" xfId="0" applyFill="1" applyBorder="1" applyAlignment="1">
      <alignment vertical="center"/>
    </xf>
    <xf numFmtId="0" fontId="0" fillId="43" borderId="361" xfId="0" applyFill="1" applyBorder="1" applyAlignment="1">
      <alignment vertical="center"/>
    </xf>
    <xf numFmtId="0" fontId="4" fillId="0" borderId="25" xfId="0" applyFont="1" applyBorder="1" applyAlignment="1">
      <alignment horizontal="left" vertical="center" indent="1"/>
    </xf>
    <xf numFmtId="0" fontId="169" fillId="28" borderId="263" xfId="0" applyFont="1" applyFill="1" applyBorder="1" applyAlignment="1" applyProtection="1">
      <alignment horizontal="center" vertical="center"/>
      <protection locked="0"/>
    </xf>
    <xf numFmtId="0" fontId="169" fillId="28" borderId="252" xfId="0" applyFont="1" applyFill="1" applyBorder="1" applyAlignment="1" applyProtection="1">
      <alignment horizontal="center" vertical="center"/>
      <protection locked="0"/>
    </xf>
    <xf numFmtId="164" fontId="12" fillId="43" borderId="106" xfId="0" applyNumberFormat="1" applyFont="1" applyFill="1" applyBorder="1" applyAlignment="1" applyProtection="1">
      <alignment horizontal="center" vertical="center"/>
      <protection locked="0"/>
    </xf>
    <xf numFmtId="0" fontId="0" fillId="43" borderId="90" xfId="0" applyFill="1" applyBorder="1" applyAlignment="1"/>
    <xf numFmtId="0" fontId="0" fillId="0" borderId="90" xfId="0" applyBorder="1" applyAlignment="1"/>
    <xf numFmtId="0" fontId="27" fillId="0" borderId="75" xfId="0" applyFont="1" applyBorder="1" applyAlignment="1" applyProtection="1">
      <alignment horizontal="left" vertical="center" indent="1"/>
      <protection locked="0"/>
    </xf>
    <xf numFmtId="0" fontId="27" fillId="0" borderId="74" xfId="0" applyFont="1" applyBorder="1" applyAlignment="1" applyProtection="1">
      <alignment horizontal="left" vertical="center" indent="1"/>
      <protection locked="0"/>
    </xf>
    <xf numFmtId="0" fontId="23" fillId="28" borderId="261" xfId="0" applyFont="1" applyFill="1" applyBorder="1" applyAlignment="1" applyProtection="1">
      <alignment horizontal="center" vertical="center"/>
      <protection locked="0"/>
    </xf>
    <xf numFmtId="0" fontId="23" fillId="28" borderId="262" xfId="0" applyFont="1" applyFill="1" applyBorder="1" applyAlignment="1" applyProtection="1">
      <alignment horizontal="center" vertical="center"/>
      <protection locked="0"/>
    </xf>
    <xf numFmtId="0" fontId="23" fillId="28" borderId="263" xfId="0" applyFont="1" applyFill="1" applyBorder="1" applyAlignment="1" applyProtection="1">
      <alignment horizontal="center" vertical="center"/>
      <protection locked="0"/>
    </xf>
    <xf numFmtId="0" fontId="23" fillId="28" borderId="252" xfId="0" applyFont="1" applyFill="1" applyBorder="1" applyAlignment="1" applyProtection="1">
      <alignment horizontal="center" vertical="center"/>
      <protection locked="0"/>
    </xf>
    <xf numFmtId="0" fontId="23" fillId="28" borderId="24" xfId="0" applyFont="1" applyFill="1" applyBorder="1" applyAlignment="1" applyProtection="1">
      <alignment horizontal="center" vertical="center"/>
      <protection locked="0"/>
    </xf>
    <xf numFmtId="0" fontId="23" fillId="28" borderId="25" xfId="0" applyFont="1" applyFill="1" applyBorder="1" applyAlignment="1" applyProtection="1">
      <alignment horizontal="center" vertical="center"/>
      <protection locked="0"/>
    </xf>
    <xf numFmtId="164" fontId="12" fillId="43" borderId="112" xfId="0" applyNumberFormat="1" applyFont="1" applyFill="1" applyBorder="1" applyAlignment="1" applyProtection="1">
      <alignment horizontal="center" vertical="center"/>
      <protection locked="0"/>
    </xf>
    <xf numFmtId="164" fontId="12" fillId="43" borderId="110" xfId="0" applyNumberFormat="1" applyFont="1" applyFill="1" applyBorder="1" applyAlignment="1" applyProtection="1">
      <alignment horizontal="center" vertical="center"/>
      <protection locked="0"/>
    </xf>
    <xf numFmtId="164" fontId="12" fillId="43" borderId="333" xfId="0" applyNumberFormat="1" applyFont="1" applyFill="1" applyBorder="1" applyAlignment="1" applyProtection="1">
      <alignment horizontal="center" vertical="center"/>
      <protection locked="0"/>
    </xf>
    <xf numFmtId="164" fontId="12" fillId="43" borderId="336" xfId="0" applyNumberFormat="1" applyFont="1" applyFill="1" applyBorder="1" applyAlignment="1" applyProtection="1">
      <alignment horizontal="center" vertical="center"/>
      <protection locked="0"/>
    </xf>
    <xf numFmtId="164" fontId="12" fillId="43" borderId="359" xfId="0" applyNumberFormat="1" applyFont="1" applyFill="1" applyBorder="1" applyAlignment="1" applyProtection="1">
      <alignment horizontal="center" vertical="center"/>
      <protection locked="0"/>
    </xf>
    <xf numFmtId="164" fontId="12" fillId="43" borderId="360" xfId="0" applyNumberFormat="1" applyFont="1" applyFill="1" applyBorder="1" applyAlignment="1" applyProtection="1">
      <alignment horizontal="center" vertical="center"/>
      <protection locked="0"/>
    </xf>
    <xf numFmtId="164" fontId="12" fillId="43" borderId="361" xfId="0" applyNumberFormat="1" applyFont="1" applyFill="1" applyBorder="1" applyAlignment="1" applyProtection="1">
      <alignment horizontal="center" vertical="center"/>
      <protection locked="0"/>
    </xf>
    <xf numFmtId="0" fontId="169" fillId="28" borderId="24" xfId="0" applyFont="1" applyFill="1" applyBorder="1" applyAlignment="1" applyProtection="1">
      <alignment horizontal="center" vertical="center"/>
      <protection locked="0"/>
    </xf>
    <xf numFmtId="0" fontId="169" fillId="28" borderId="25" xfId="0" applyFont="1" applyFill="1" applyBorder="1" applyAlignment="1" applyProtection="1">
      <alignment horizontal="center" vertical="center"/>
      <protection locked="0"/>
    </xf>
    <xf numFmtId="0" fontId="169" fillId="28" borderId="261" xfId="0" applyFont="1" applyFill="1" applyBorder="1" applyAlignment="1" applyProtection="1">
      <alignment horizontal="center" vertical="center"/>
      <protection locked="0"/>
    </xf>
    <xf numFmtId="0" fontId="169" fillId="28" borderId="262" xfId="0" applyFont="1" applyFill="1" applyBorder="1" applyAlignment="1" applyProtection="1">
      <alignment horizontal="center" vertical="center"/>
      <protection locked="0"/>
    </xf>
    <xf numFmtId="0" fontId="168" fillId="25" borderId="184" xfId="0" applyFont="1" applyFill="1" applyBorder="1" applyAlignment="1" applyProtection="1">
      <alignment horizontal="left" vertical="center" indent="1"/>
      <protection locked="0"/>
    </xf>
    <xf numFmtId="0" fontId="168" fillId="25" borderId="82" xfId="0" applyFont="1" applyFill="1" applyBorder="1" applyAlignment="1" applyProtection="1">
      <alignment horizontal="left" vertical="center" indent="1"/>
      <protection locked="0"/>
    </xf>
    <xf numFmtId="0" fontId="169" fillId="25" borderId="82" xfId="0" applyFont="1" applyFill="1" applyBorder="1" applyAlignment="1">
      <alignment horizontal="left" vertical="center" indent="1"/>
    </xf>
    <xf numFmtId="0" fontId="169" fillId="25" borderId="265" xfId="0" applyFont="1" applyFill="1" applyBorder="1" applyAlignment="1">
      <alignment horizontal="left" vertical="center" indent="1"/>
    </xf>
    <xf numFmtId="0" fontId="4" fillId="0" borderId="255" xfId="0" applyFont="1" applyBorder="1" applyAlignment="1">
      <alignment horizontal="left" vertical="center" indent="1"/>
    </xf>
    <xf numFmtId="0" fontId="168" fillId="28" borderId="167" xfId="0" applyFont="1" applyFill="1" applyBorder="1" applyAlignment="1">
      <alignment horizontal="left" vertical="center" indent="1"/>
    </xf>
    <xf numFmtId="0" fontId="168" fillId="28" borderId="7" xfId="0" applyFont="1" applyFill="1" applyBorder="1" applyAlignment="1">
      <alignment horizontal="left" vertical="center" indent="1"/>
    </xf>
    <xf numFmtId="0" fontId="236" fillId="21" borderId="159" xfId="0" applyFont="1" applyFill="1" applyBorder="1" applyAlignment="1">
      <alignment horizontal="left" vertical="center" indent="1"/>
    </xf>
    <xf numFmtId="0" fontId="222" fillId="21" borderId="54" xfId="0" applyFont="1" applyFill="1" applyBorder="1" applyAlignment="1">
      <alignment horizontal="left" vertical="center" indent="1"/>
    </xf>
    <xf numFmtId="0" fontId="22" fillId="32" borderId="193" xfId="0" applyFont="1" applyFill="1" applyBorder="1" applyAlignment="1" applyProtection="1">
      <alignment horizontal="center" vertical="center"/>
      <protection hidden="1"/>
    </xf>
    <xf numFmtId="0" fontId="22" fillId="32" borderId="194" xfId="0" applyFont="1" applyFill="1" applyBorder="1" applyAlignment="1" applyProtection="1">
      <alignment horizontal="center" vertical="center"/>
      <protection hidden="1"/>
    </xf>
    <xf numFmtId="167" fontId="24" fillId="32" borderId="18" xfId="0" applyNumberFormat="1" applyFont="1" applyFill="1" applyBorder="1" applyAlignment="1" applyProtection="1">
      <alignment horizontal="center" vertical="top"/>
      <protection hidden="1"/>
    </xf>
    <xf numFmtId="167" fontId="24" fillId="32" borderId="41" xfId="0" applyNumberFormat="1" applyFont="1" applyFill="1" applyBorder="1" applyAlignment="1" applyProtection="1">
      <alignment horizontal="center" vertical="top"/>
      <protection hidden="1"/>
    </xf>
    <xf numFmtId="0" fontId="22" fillId="32" borderId="195" xfId="0" applyFont="1" applyFill="1" applyBorder="1" applyAlignment="1" applyProtection="1">
      <alignment horizontal="center" vertical="center"/>
      <protection hidden="1"/>
    </xf>
    <xf numFmtId="0" fontId="22" fillId="32" borderId="196" xfId="0" applyFont="1" applyFill="1" applyBorder="1" applyAlignment="1" applyProtection="1">
      <alignment horizontal="center" vertical="center"/>
      <protection hidden="1"/>
    </xf>
    <xf numFmtId="0" fontId="22" fillId="32" borderId="149" xfId="0" applyFont="1" applyFill="1" applyBorder="1" applyAlignment="1" applyProtection="1">
      <alignment horizontal="center" vertical="center"/>
      <protection hidden="1"/>
    </xf>
    <xf numFmtId="0" fontId="22" fillId="32" borderId="113" xfId="0" applyFont="1" applyFill="1" applyBorder="1" applyAlignment="1" applyProtection="1">
      <alignment horizontal="center" vertical="center"/>
      <protection hidden="1"/>
    </xf>
    <xf numFmtId="1" fontId="22" fillId="32" borderId="21" xfId="0" applyNumberFormat="1" applyFont="1" applyFill="1" applyBorder="1" applyAlignment="1" applyProtection="1">
      <alignment horizontal="center" vertical="center"/>
      <protection hidden="1"/>
    </xf>
    <xf numFmtId="1" fontId="22" fillId="32" borderId="192" xfId="0" applyNumberFormat="1" applyFont="1" applyFill="1" applyBorder="1" applyAlignment="1" applyProtection="1">
      <alignment horizontal="center" vertical="center"/>
      <protection hidden="1"/>
    </xf>
    <xf numFmtId="1" fontId="22" fillId="32" borderId="43" xfId="0" applyNumberFormat="1" applyFont="1" applyFill="1" applyBorder="1" applyAlignment="1" applyProtection="1">
      <alignment horizontal="center" vertical="center"/>
      <protection hidden="1"/>
    </xf>
    <xf numFmtId="0" fontId="11" fillId="19" borderId="14" xfId="0" applyFont="1" applyFill="1" applyBorder="1" applyAlignment="1" applyProtection="1">
      <alignment horizontal="left" vertical="center" indent="1"/>
      <protection hidden="1"/>
    </xf>
    <xf numFmtId="0" fontId="11" fillId="19" borderId="17" xfId="0" applyFont="1" applyFill="1" applyBorder="1" applyAlignment="1" applyProtection="1">
      <alignment horizontal="left" vertical="center" indent="1"/>
      <protection hidden="1"/>
    </xf>
    <xf numFmtId="0" fontId="11" fillId="19" borderId="204" xfId="0" applyFont="1" applyFill="1" applyBorder="1" applyAlignment="1" applyProtection="1">
      <alignment horizontal="left" vertical="center" indent="1"/>
      <protection hidden="1"/>
    </xf>
    <xf numFmtId="0" fontId="11" fillId="19" borderId="105" xfId="0" applyFont="1" applyFill="1" applyBorder="1" applyAlignment="1" applyProtection="1">
      <alignment horizontal="left" vertical="center" indent="1"/>
      <protection hidden="1"/>
    </xf>
    <xf numFmtId="0" fontId="168" fillId="28" borderId="74" xfId="0" applyFont="1" applyFill="1" applyBorder="1" applyAlignment="1" applyProtection="1">
      <alignment horizontal="left" vertical="center" indent="1"/>
      <protection locked="0" hidden="1"/>
    </xf>
    <xf numFmtId="0" fontId="168" fillId="28" borderId="0" xfId="0" applyFont="1" applyFill="1" applyBorder="1" applyAlignment="1" applyProtection="1">
      <alignment horizontal="left" vertical="center" indent="1"/>
      <protection locked="0" hidden="1"/>
    </xf>
    <xf numFmtId="0" fontId="169" fillId="0" borderId="184" xfId="0" applyFont="1" applyFill="1" applyBorder="1" applyAlignment="1">
      <alignment horizontal="left" vertical="center" indent="1"/>
    </xf>
    <xf numFmtId="0" fontId="169" fillId="0" borderId="185" xfId="0" applyFont="1" applyFill="1" applyBorder="1" applyAlignment="1">
      <alignment horizontal="left" vertical="center" indent="1"/>
    </xf>
    <xf numFmtId="0" fontId="169" fillId="0" borderId="159" xfId="0" applyFont="1" applyFill="1" applyBorder="1" applyAlignment="1">
      <alignment horizontal="left" vertical="center" indent="1"/>
    </xf>
    <xf numFmtId="0" fontId="169" fillId="0" borderId="160" xfId="0" applyFont="1" applyFill="1" applyBorder="1" applyAlignment="1">
      <alignment horizontal="left" vertical="center" indent="1"/>
    </xf>
    <xf numFmtId="167" fontId="24" fillId="32" borderId="39" xfId="0" applyNumberFormat="1" applyFont="1" applyFill="1" applyBorder="1" applyAlignment="1" applyProtection="1">
      <alignment horizontal="center" vertical="top"/>
      <protection hidden="1"/>
    </xf>
    <xf numFmtId="1" fontId="22" fillId="32" borderId="47" xfId="0" applyNumberFormat="1" applyFont="1" applyFill="1" applyBorder="1" applyAlignment="1" applyProtection="1">
      <alignment horizontal="center"/>
      <protection hidden="1"/>
    </xf>
    <xf numFmtId="167" fontId="24" fillId="32" borderId="48" xfId="0" applyNumberFormat="1" applyFont="1" applyFill="1" applyBorder="1" applyAlignment="1" applyProtection="1">
      <alignment horizontal="center" vertical="top"/>
      <protection hidden="1"/>
    </xf>
    <xf numFmtId="0" fontId="168" fillId="47" borderId="197" xfId="0" applyFont="1" applyFill="1" applyBorder="1" applyAlignment="1" applyProtection="1">
      <alignment horizontal="left" vertical="center" indent="1"/>
      <protection locked="0"/>
    </xf>
    <xf numFmtId="0" fontId="233" fillId="0" borderId="202" xfId="0" applyFont="1" applyBorder="1" applyAlignment="1">
      <alignment horizontal="left" vertical="center" indent="1"/>
    </xf>
    <xf numFmtId="0" fontId="0" fillId="18" borderId="16" xfId="0" applyFill="1" applyBorder="1" applyAlignment="1">
      <alignment horizontal="left" indent="1"/>
    </xf>
    <xf numFmtId="0" fontId="0" fillId="0" borderId="16" xfId="0" applyBorder="1" applyAlignment="1">
      <alignment vertical="center"/>
    </xf>
    <xf numFmtId="0" fontId="0" fillId="0" borderId="43" xfId="0" applyBorder="1" applyAlignment="1">
      <alignment vertical="center"/>
    </xf>
    <xf numFmtId="0" fontId="218" fillId="21" borderId="159" xfId="0" applyFont="1" applyFill="1" applyBorder="1" applyAlignment="1" applyProtection="1">
      <alignment horizontal="left" vertical="center" indent="1"/>
      <protection locked="0"/>
    </xf>
    <xf numFmtId="0" fontId="219" fillId="21" borderId="54" xfId="0" applyFont="1" applyFill="1" applyBorder="1" applyAlignment="1">
      <alignment horizontal="left" indent="1"/>
    </xf>
    <xf numFmtId="0" fontId="219" fillId="21" borderId="160" xfId="0" applyFont="1" applyFill="1" applyBorder="1" applyAlignment="1">
      <alignment horizontal="left" indent="1"/>
    </xf>
    <xf numFmtId="0" fontId="18" fillId="19" borderId="42" xfId="0" applyFont="1" applyFill="1" applyBorder="1" applyAlignment="1" applyProtection="1">
      <alignment horizontal="center" vertical="center"/>
      <protection locked="0"/>
    </xf>
    <xf numFmtId="0" fontId="188" fillId="19" borderId="16" xfId="0" applyFont="1" applyFill="1" applyBorder="1"/>
    <xf numFmtId="0" fontId="188" fillId="19" borderId="43" xfId="0" applyFont="1" applyFill="1" applyBorder="1"/>
    <xf numFmtId="1" fontId="22" fillId="32" borderId="42" xfId="0" applyNumberFormat="1" applyFont="1" applyFill="1" applyBorder="1" applyAlignment="1" applyProtection="1">
      <alignment horizontal="center" vertical="center"/>
      <protection hidden="1"/>
    </xf>
    <xf numFmtId="0" fontId="168" fillId="0" borderId="0" xfId="0" applyFont="1" applyFill="1" applyBorder="1" applyAlignment="1" applyProtection="1">
      <alignment horizontal="right" vertical="center" indent="1"/>
      <protection hidden="1"/>
    </xf>
    <xf numFmtId="0" fontId="168" fillId="0" borderId="94" xfId="0" applyFont="1" applyFill="1" applyBorder="1" applyAlignment="1" applyProtection="1">
      <alignment horizontal="right" vertical="center" indent="1"/>
      <protection hidden="1"/>
    </xf>
    <xf numFmtId="0" fontId="228" fillId="0" borderId="0" xfId="0" applyFont="1" applyBorder="1" applyAlignment="1" applyProtection="1">
      <alignment horizontal="left" vertical="center" indent="5"/>
      <protection locked="0"/>
    </xf>
    <xf numFmtId="0" fontId="0" fillId="0" borderId="0" xfId="0" applyAlignment="1">
      <alignment horizontal="left" vertical="center" indent="5"/>
    </xf>
    <xf numFmtId="0" fontId="228" fillId="0" borderId="0" xfId="0" applyFont="1" applyBorder="1" applyAlignment="1" applyProtection="1">
      <alignment horizontal="left" vertical="center" indent="1"/>
      <protection locked="0"/>
    </xf>
    <xf numFmtId="0" fontId="224" fillId="0" borderId="0" xfId="0" applyFont="1" applyBorder="1" applyAlignment="1" applyProtection="1">
      <alignment horizontal="left" vertical="center" indent="22"/>
      <protection locked="0"/>
    </xf>
    <xf numFmtId="0" fontId="124" fillId="0" borderId="0" xfId="0" applyFont="1" applyBorder="1" applyAlignment="1" applyProtection="1">
      <alignment horizontal="left" vertical="center" indent="22"/>
      <protection locked="0"/>
    </xf>
    <xf numFmtId="0" fontId="18" fillId="19" borderId="169" xfId="0" applyFont="1" applyFill="1" applyBorder="1" applyAlignment="1" applyProtection="1">
      <alignment horizontal="center" vertical="center"/>
      <protection locked="0"/>
    </xf>
    <xf numFmtId="0" fontId="188" fillId="19" borderId="19" xfId="0" applyFont="1" applyFill="1" applyBorder="1"/>
    <xf numFmtId="0" fontId="188" fillId="19" borderId="170" xfId="0" applyFont="1" applyFill="1" applyBorder="1"/>
    <xf numFmtId="0" fontId="227" fillId="0" borderId="0" xfId="0" applyFont="1" applyBorder="1" applyAlignment="1" applyProtection="1">
      <alignment horizontal="left" vertical="center" indent="1"/>
      <protection locked="0"/>
    </xf>
    <xf numFmtId="0" fontId="227" fillId="0" borderId="0" xfId="0" applyFont="1" applyBorder="1" applyAlignment="1" applyProtection="1">
      <alignment horizontal="left" vertical="center" indent="5"/>
      <protection locked="0"/>
    </xf>
    <xf numFmtId="0" fontId="153" fillId="19" borderId="42" xfId="0" applyFont="1" applyFill="1" applyBorder="1" applyAlignment="1" applyProtection="1">
      <alignment horizontal="center" vertical="center"/>
      <protection locked="0"/>
    </xf>
    <xf numFmtId="0" fontId="189" fillId="19" borderId="16" xfId="0" applyFont="1" applyFill="1" applyBorder="1"/>
    <xf numFmtId="0" fontId="189" fillId="19" borderId="43" xfId="0" applyFont="1" applyFill="1" applyBorder="1"/>
    <xf numFmtId="0" fontId="179" fillId="28" borderId="54" xfId="0" applyFont="1" applyFill="1" applyBorder="1" applyAlignment="1">
      <alignment horizontal="left" indent="1"/>
    </xf>
    <xf numFmtId="0" fontId="179" fillId="28" borderId="160" xfId="0" applyFont="1" applyFill="1" applyBorder="1" applyAlignment="1">
      <alignment horizontal="left" indent="1"/>
    </xf>
    <xf numFmtId="0" fontId="145" fillId="28" borderId="159" xfId="0" applyFont="1" applyFill="1" applyBorder="1" applyAlignment="1" applyProtection="1">
      <alignment horizontal="left" vertical="center" indent="1"/>
      <protection locked="0"/>
    </xf>
    <xf numFmtId="0" fontId="221" fillId="28" borderId="54" xfId="0" applyFont="1" applyFill="1" applyBorder="1" applyAlignment="1">
      <alignment horizontal="left" indent="1"/>
    </xf>
    <xf numFmtId="0" fontId="221" fillId="28" borderId="160" xfId="0" applyFont="1" applyFill="1" applyBorder="1" applyAlignment="1">
      <alignment horizontal="left" indent="1"/>
    </xf>
    <xf numFmtId="0" fontId="18" fillId="19" borderId="14" xfId="0" applyFont="1" applyFill="1" applyBorder="1" applyAlignment="1" applyProtection="1">
      <alignment horizontal="left" vertical="center" indent="1"/>
      <protection hidden="1"/>
    </xf>
    <xf numFmtId="0" fontId="18" fillId="19" borderId="17" xfId="0" applyFont="1" applyFill="1" applyBorder="1" applyAlignment="1" applyProtection="1">
      <alignment horizontal="left" vertical="center" indent="1"/>
      <protection hidden="1"/>
    </xf>
    <xf numFmtId="0" fontId="18" fillId="19" borderId="40" xfId="0" applyFont="1" applyFill="1" applyBorder="1" applyAlignment="1" applyProtection="1">
      <alignment horizontal="left" vertical="center" indent="1"/>
      <protection hidden="1"/>
    </xf>
    <xf numFmtId="0" fontId="0" fillId="19" borderId="15" xfId="0" applyFill="1" applyBorder="1" applyAlignment="1">
      <alignment horizontal="left" vertical="center" indent="1"/>
    </xf>
    <xf numFmtId="0" fontId="0" fillId="19" borderId="18" xfId="0" applyFill="1" applyBorder="1" applyAlignment="1">
      <alignment horizontal="left" vertical="center" indent="1"/>
    </xf>
    <xf numFmtId="0" fontId="0" fillId="19" borderId="41" xfId="0" applyFill="1" applyBorder="1" applyAlignment="1">
      <alignment horizontal="left" vertical="center" indent="1"/>
    </xf>
    <xf numFmtId="0" fontId="85" fillId="4" borderId="69" xfId="0" applyFont="1" applyFill="1" applyBorder="1" applyAlignment="1" applyProtection="1">
      <alignment horizontal="right" vertical="top" indent="1"/>
      <protection hidden="1"/>
    </xf>
    <xf numFmtId="0" fontId="85" fillId="4" borderId="102" xfId="0" applyFont="1" applyFill="1" applyBorder="1" applyAlignment="1" applyProtection="1">
      <alignment horizontal="right" vertical="top" indent="1"/>
      <protection hidden="1"/>
    </xf>
    <xf numFmtId="0" fontId="24" fillId="4" borderId="150" xfId="0" applyFont="1" applyFill="1" applyBorder="1" applyAlignment="1" applyProtection="1">
      <alignment horizontal="left" vertical="center" wrapText="1" indent="1"/>
      <protection hidden="1"/>
    </xf>
    <xf numFmtId="0" fontId="24" fillId="4" borderId="151" xfId="0" applyFont="1" applyFill="1" applyBorder="1" applyAlignment="1" applyProtection="1">
      <alignment horizontal="left" vertical="center" wrapText="1" indent="1"/>
      <protection hidden="1"/>
    </xf>
    <xf numFmtId="0" fontId="22" fillId="0" borderId="152" xfId="0" applyFont="1" applyBorder="1" applyAlignment="1" applyProtection="1">
      <alignment horizontal="left" vertical="center" wrapText="1" indent="1"/>
      <protection hidden="1"/>
    </xf>
    <xf numFmtId="0" fontId="24" fillId="4" borderId="15" xfId="0" applyFont="1" applyFill="1" applyBorder="1" applyAlignment="1" applyProtection="1">
      <alignment horizontal="left" vertical="center" wrapText="1" indent="1"/>
      <protection hidden="1"/>
    </xf>
    <xf numFmtId="0" fontId="24" fillId="4" borderId="18" xfId="0" applyFont="1" applyFill="1" applyBorder="1" applyAlignment="1" applyProtection="1">
      <alignment horizontal="left" vertical="center" wrapText="1" indent="1"/>
      <protection hidden="1"/>
    </xf>
    <xf numFmtId="0" fontId="22" fillId="0" borderId="41" xfId="0" applyFont="1" applyBorder="1" applyAlignment="1" applyProtection="1">
      <alignment horizontal="left" vertical="center" wrapText="1" indent="1"/>
      <protection hidden="1"/>
    </xf>
    <xf numFmtId="0" fontId="22" fillId="13" borderId="161" xfId="0" applyFont="1" applyFill="1" applyBorder="1" applyAlignment="1" applyProtection="1">
      <alignment horizontal="left" vertical="center" indent="1"/>
      <protection hidden="1"/>
    </xf>
    <xf numFmtId="0" fontId="26" fillId="13" borderId="162" xfId="0" applyFont="1" applyFill="1" applyBorder="1" applyAlignment="1" applyProtection="1">
      <alignment horizontal="left" vertical="center" indent="1"/>
      <protection hidden="1"/>
    </xf>
    <xf numFmtId="175" fontId="21" fillId="0" borderId="0" xfId="0" applyNumberFormat="1" applyFont="1" applyFill="1" applyBorder="1" applyAlignment="1" applyProtection="1">
      <alignment horizontal="left" vertical="center" indent="3"/>
      <protection hidden="1"/>
    </xf>
    <xf numFmtId="0" fontId="4" fillId="0" borderId="0" xfId="0" applyFont="1" applyBorder="1" applyAlignment="1">
      <alignment horizontal="left" vertical="center" indent="3"/>
    </xf>
    <xf numFmtId="0" fontId="85" fillId="11" borderId="140" xfId="0" applyFont="1" applyFill="1" applyBorder="1" applyAlignment="1" applyProtection="1">
      <alignment horizontal="right" vertical="top" indent="1"/>
      <protection hidden="1"/>
    </xf>
    <xf numFmtId="0" fontId="85" fillId="11" borderId="41" xfId="0" applyFont="1" applyFill="1" applyBorder="1" applyAlignment="1" applyProtection="1">
      <alignment horizontal="right" vertical="top" indent="1"/>
      <protection hidden="1"/>
    </xf>
    <xf numFmtId="0" fontId="178" fillId="43" borderId="42" xfId="0" applyFont="1" applyFill="1" applyBorder="1" applyAlignment="1" applyProtection="1">
      <alignment horizontal="left" vertical="center" indent="1"/>
      <protection hidden="1"/>
    </xf>
    <xf numFmtId="0" fontId="178" fillId="43" borderId="16" xfId="0" applyFont="1" applyFill="1" applyBorder="1" applyAlignment="1" applyProtection="1">
      <alignment horizontal="left" vertical="center" indent="1"/>
      <protection hidden="1"/>
    </xf>
    <xf numFmtId="0" fontId="178" fillId="43" borderId="43" xfId="0" applyFont="1" applyFill="1" applyBorder="1" applyAlignment="1" applyProtection="1">
      <alignment horizontal="left" vertical="center" indent="1"/>
      <protection hidden="1"/>
    </xf>
    <xf numFmtId="0" fontId="178" fillId="43" borderId="42" xfId="0" applyFont="1" applyFill="1" applyBorder="1" applyAlignment="1" applyProtection="1">
      <alignment horizontal="left" vertical="center" wrapText="1" indent="1"/>
      <protection hidden="1"/>
    </xf>
    <xf numFmtId="0" fontId="179" fillId="43" borderId="16" xfId="0" applyFont="1" applyFill="1" applyBorder="1" applyAlignment="1">
      <alignment horizontal="left" vertical="center" wrapText="1" indent="1"/>
    </xf>
    <xf numFmtId="0" fontId="179" fillId="43" borderId="43" xfId="0" applyFont="1" applyFill="1" applyBorder="1" applyAlignment="1">
      <alignment horizontal="left" vertical="center" wrapText="1" indent="1"/>
    </xf>
    <xf numFmtId="0" fontId="20" fillId="5" borderId="118" xfId="0" applyFont="1" applyFill="1" applyBorder="1" applyAlignment="1" applyProtection="1">
      <alignment horizontal="left" vertical="center" indent="1"/>
      <protection hidden="1"/>
    </xf>
    <xf numFmtId="0" fontId="20" fillId="5" borderId="119" xfId="0" applyFont="1" applyFill="1" applyBorder="1" applyAlignment="1" applyProtection="1">
      <alignment horizontal="left" vertical="center" indent="1"/>
      <protection hidden="1"/>
    </xf>
    <xf numFmtId="0" fontId="20" fillId="5" borderId="118" xfId="0" applyFont="1" applyFill="1" applyBorder="1" applyAlignment="1" applyProtection="1">
      <alignment horizontal="left" vertical="center" wrapText="1" indent="1"/>
      <protection hidden="1"/>
    </xf>
    <xf numFmtId="0" fontId="20" fillId="5" borderId="119" xfId="0" applyFont="1" applyFill="1" applyBorder="1" applyAlignment="1" applyProtection="1">
      <alignment horizontal="left" vertical="center" wrapText="1" indent="1"/>
      <protection hidden="1"/>
    </xf>
    <xf numFmtId="0" fontId="73" fillId="5" borderId="18" xfId="0" applyFont="1" applyFill="1" applyBorder="1" applyAlignment="1" applyProtection="1">
      <alignment horizontal="right" vertical="top" indent="1"/>
      <protection hidden="1"/>
    </xf>
    <xf numFmtId="0" fontId="73" fillId="5" borderId="41" xfId="0" applyFont="1" applyFill="1" applyBorder="1" applyAlignment="1" applyProtection="1">
      <alignment horizontal="right" vertical="top" indent="1"/>
      <protection hidden="1"/>
    </xf>
    <xf numFmtId="0" fontId="26" fillId="45" borderId="69" xfId="0" applyFont="1" applyFill="1" applyBorder="1" applyAlignment="1" applyProtection="1">
      <alignment horizontal="right" vertical="center" indent="1"/>
      <protection hidden="1"/>
    </xf>
    <xf numFmtId="0" fontId="26" fillId="45" borderId="102" xfId="0" applyFont="1" applyFill="1" applyBorder="1" applyAlignment="1" applyProtection="1">
      <alignment horizontal="right" vertical="center" indent="1"/>
      <protection hidden="1"/>
    </xf>
    <xf numFmtId="175" fontId="20" fillId="0" borderId="0" xfId="0" applyNumberFormat="1" applyFont="1" applyFill="1" applyBorder="1" applyAlignment="1" applyProtection="1">
      <alignment horizontal="left" vertical="center" indent="3"/>
      <protection hidden="1"/>
    </xf>
    <xf numFmtId="0" fontId="168" fillId="0" borderId="0" xfId="0" applyFont="1" applyFill="1" applyBorder="1" applyAlignment="1" applyProtection="1">
      <alignment horizontal="left" vertical="center" indent="3"/>
      <protection hidden="1"/>
    </xf>
    <xf numFmtId="0" fontId="169" fillId="0" borderId="0" xfId="0" applyFont="1" applyFill="1" applyBorder="1" applyAlignment="1">
      <alignment horizontal="left" vertical="center" indent="3"/>
    </xf>
    <xf numFmtId="169" fontId="168" fillId="0" borderId="0" xfId="0" applyNumberFormat="1" applyFont="1" applyFill="1" applyBorder="1" applyAlignment="1" applyProtection="1">
      <alignment horizontal="left" vertical="center" indent="5"/>
      <protection hidden="1"/>
    </xf>
    <xf numFmtId="0" fontId="167" fillId="0" borderId="0" xfId="0" applyFont="1" applyBorder="1" applyAlignment="1" applyProtection="1">
      <alignment horizontal="right"/>
      <protection locked="0"/>
    </xf>
    <xf numFmtId="0" fontId="249" fillId="0" borderId="0" xfId="0" applyFont="1" applyBorder="1" applyAlignment="1">
      <alignment horizontal="right"/>
    </xf>
    <xf numFmtId="165" fontId="22" fillId="19" borderId="131" xfId="0" applyNumberFormat="1" applyFont="1" applyFill="1" applyBorder="1" applyAlignment="1" applyProtection="1">
      <alignment horizontal="left" vertical="center" indent="1"/>
      <protection hidden="1"/>
    </xf>
    <xf numFmtId="165" fontId="22" fillId="19" borderId="8" xfId="0" applyNumberFormat="1" applyFont="1" applyFill="1" applyBorder="1" applyAlignment="1" applyProtection="1">
      <alignment horizontal="left" vertical="center" indent="1"/>
      <protection hidden="1"/>
    </xf>
    <xf numFmtId="165" fontId="22" fillId="19" borderId="132" xfId="0" applyNumberFormat="1" applyFont="1" applyFill="1" applyBorder="1" applyAlignment="1" applyProtection="1">
      <alignment horizontal="left" vertical="center" indent="1"/>
      <protection hidden="1"/>
    </xf>
    <xf numFmtId="0" fontId="250" fillId="0" borderId="0" xfId="0" applyFont="1" applyBorder="1" applyAlignment="1" applyProtection="1">
      <alignment horizontal="right" vertical="top"/>
      <protection locked="0"/>
    </xf>
    <xf numFmtId="0" fontId="235" fillId="0" borderId="0" xfId="0" applyFont="1" applyBorder="1" applyAlignment="1">
      <alignment horizontal="right" vertical="top"/>
    </xf>
    <xf numFmtId="0" fontId="250" fillId="0" borderId="0" xfId="0" applyFont="1" applyBorder="1" applyAlignment="1" applyProtection="1">
      <alignment horizontal="right"/>
      <protection locked="0"/>
    </xf>
    <xf numFmtId="0" fontId="235" fillId="0" borderId="0" xfId="0" applyFont="1" applyBorder="1" applyAlignment="1">
      <alignment horizontal="right"/>
    </xf>
    <xf numFmtId="0" fontId="149" fillId="0" borderId="0" xfId="0" applyFont="1" applyBorder="1" applyAlignment="1" applyProtection="1">
      <alignment horizontal="right" vertical="top"/>
      <protection locked="0"/>
    </xf>
    <xf numFmtId="0" fontId="150" fillId="0" borderId="0" xfId="0" applyFont="1" applyBorder="1" applyAlignment="1">
      <alignment horizontal="right" vertical="top"/>
    </xf>
    <xf numFmtId="0" fontId="18" fillId="19" borderId="42" xfId="0" applyFont="1" applyFill="1" applyBorder="1" applyAlignment="1" applyProtection="1">
      <alignment horizontal="left" vertical="center" indent="1"/>
      <protection hidden="1"/>
    </xf>
    <xf numFmtId="0" fontId="18" fillId="19" borderId="16" xfId="0" applyFont="1" applyFill="1" applyBorder="1" applyAlignment="1" applyProtection="1">
      <alignment horizontal="left" vertical="center" indent="1"/>
      <protection hidden="1"/>
    </xf>
    <xf numFmtId="0" fontId="91" fillId="19" borderId="16" xfId="0" applyFont="1" applyFill="1" applyBorder="1" applyAlignment="1">
      <alignment horizontal="left" vertical="center" indent="1"/>
    </xf>
    <xf numFmtId="0" fontId="91" fillId="19" borderId="43" xfId="0" applyFont="1" applyFill="1" applyBorder="1" applyAlignment="1">
      <alignment horizontal="left" vertical="center" indent="1"/>
    </xf>
    <xf numFmtId="0" fontId="85" fillId="4" borderId="140" xfId="0" applyFont="1" applyFill="1" applyBorder="1" applyAlignment="1" applyProtection="1">
      <alignment horizontal="right" vertical="top" indent="1"/>
      <protection hidden="1"/>
    </xf>
    <xf numFmtId="0" fontId="85" fillId="4" borderId="41" xfId="0" applyFont="1" applyFill="1" applyBorder="1" applyAlignment="1" applyProtection="1">
      <alignment horizontal="right" vertical="top" indent="1"/>
      <protection hidden="1"/>
    </xf>
    <xf numFmtId="0" fontId="59" fillId="0" borderId="0" xfId="0" applyFont="1" applyFill="1" applyBorder="1" applyAlignment="1" applyProtection="1">
      <alignment horizontal="right" vertical="center"/>
      <protection hidden="1"/>
    </xf>
    <xf numFmtId="0" fontId="89" fillId="0" borderId="0" xfId="0" applyFont="1" applyAlignment="1">
      <alignment horizontal="right" vertical="center"/>
    </xf>
    <xf numFmtId="0" fontId="26" fillId="14" borderId="140" xfId="0" applyFont="1" applyFill="1" applyBorder="1" applyAlignment="1" applyProtection="1">
      <alignment horizontal="right" vertical="top" indent="1"/>
      <protection hidden="1"/>
    </xf>
    <xf numFmtId="0" fontId="26" fillId="14" borderId="41" xfId="0" applyFont="1" applyFill="1" applyBorder="1" applyAlignment="1" applyProtection="1">
      <alignment horizontal="right" vertical="top" indent="1"/>
      <protection hidden="1"/>
    </xf>
    <xf numFmtId="0" fontId="22" fillId="4" borderId="136" xfId="0" applyFont="1" applyFill="1" applyBorder="1" applyAlignment="1" applyProtection="1">
      <alignment horizontal="left" vertical="center" indent="1"/>
      <protection hidden="1"/>
    </xf>
    <xf numFmtId="0" fontId="0" fillId="0" borderId="138" xfId="0" applyBorder="1" applyAlignment="1">
      <alignment horizontal="left" vertical="center" indent="1"/>
    </xf>
    <xf numFmtId="0" fontId="22" fillId="45" borderId="136" xfId="0" applyFont="1" applyFill="1" applyBorder="1" applyAlignment="1" applyProtection="1">
      <alignment horizontal="left" vertical="center" wrapText="1" indent="1"/>
      <protection hidden="1"/>
    </xf>
    <xf numFmtId="0" fontId="94" fillId="45" borderId="138" xfId="0" applyFont="1" applyFill="1" applyBorder="1" applyAlignment="1">
      <alignment horizontal="left" vertical="center" wrapText="1" indent="1"/>
    </xf>
    <xf numFmtId="165" fontId="26" fillId="18" borderId="124" xfId="0" applyNumberFormat="1" applyFont="1" applyFill="1" applyBorder="1" applyAlignment="1" applyProtection="1">
      <alignment horizontal="left" vertical="center" indent="1"/>
      <protection hidden="1"/>
    </xf>
    <xf numFmtId="0" fontId="4" fillId="0" borderId="124" xfId="0" applyFont="1" applyBorder="1" applyAlignment="1">
      <alignment horizontal="left" vertical="center" indent="1"/>
    </xf>
    <xf numFmtId="165" fontId="22" fillId="18" borderId="129" xfId="0" applyNumberFormat="1" applyFont="1" applyFill="1" applyBorder="1" applyAlignment="1" applyProtection="1">
      <alignment horizontal="left" vertical="center" indent="1"/>
      <protection hidden="1"/>
    </xf>
    <xf numFmtId="0" fontId="95" fillId="0" borderId="124" xfId="0" applyFont="1" applyBorder="1" applyAlignment="1">
      <alignment horizontal="left" vertical="center" indent="1"/>
    </xf>
    <xf numFmtId="165" fontId="22" fillId="19" borderId="15" xfId="0" applyNumberFormat="1" applyFont="1" applyFill="1" applyBorder="1" applyAlignment="1" applyProtection="1">
      <alignment horizontal="left" vertical="center" indent="1"/>
      <protection hidden="1"/>
    </xf>
    <xf numFmtId="165" fontId="22" fillId="19" borderId="18" xfId="0" applyNumberFormat="1" applyFont="1" applyFill="1" applyBorder="1" applyAlignment="1" applyProtection="1">
      <alignment horizontal="left" vertical="center" indent="1"/>
      <protection hidden="1"/>
    </xf>
    <xf numFmtId="165" fontId="22" fillId="19" borderId="41" xfId="0" applyNumberFormat="1" applyFont="1" applyFill="1" applyBorder="1" applyAlignment="1" applyProtection="1">
      <alignment horizontal="left" vertical="center" indent="1"/>
      <protection hidden="1"/>
    </xf>
    <xf numFmtId="0" fontId="59" fillId="0" borderId="0" xfId="0" applyFont="1" applyBorder="1" applyAlignment="1" applyProtection="1">
      <alignment horizontal="left" vertical="center" indent="14"/>
      <protection hidden="1"/>
    </xf>
    <xf numFmtId="0" fontId="0" fillId="0" borderId="0" xfId="0" applyAlignment="1">
      <alignment horizontal="left" indent="14"/>
    </xf>
    <xf numFmtId="165" fontId="26" fillId="18" borderId="47" xfId="0" applyNumberFormat="1" applyFont="1" applyFill="1" applyBorder="1" applyAlignment="1" applyProtection="1">
      <alignment horizontal="left" vertical="center" indent="1"/>
      <protection hidden="1"/>
    </xf>
    <xf numFmtId="165" fontId="26" fillId="18" borderId="125" xfId="0" applyNumberFormat="1" applyFont="1" applyFill="1" applyBorder="1" applyAlignment="1" applyProtection="1">
      <alignment horizontal="left" vertical="center" indent="1"/>
      <protection hidden="1"/>
    </xf>
    <xf numFmtId="0" fontId="4" fillId="0" borderId="127" xfId="0" applyFont="1" applyBorder="1" applyAlignment="1">
      <alignment horizontal="left" vertical="center" indent="1"/>
    </xf>
    <xf numFmtId="172" fontId="168" fillId="0" borderId="0" xfId="0" applyNumberFormat="1" applyFont="1" applyFill="1" applyBorder="1" applyAlignment="1" applyProtection="1">
      <alignment horizontal="left" vertical="center" indent="6"/>
      <protection hidden="1"/>
    </xf>
    <xf numFmtId="165" fontId="59" fillId="0" borderId="0" xfId="0" applyNumberFormat="1" applyFont="1" applyFill="1" applyBorder="1" applyAlignment="1" applyProtection="1">
      <alignment horizontal="left" vertical="center" indent="4"/>
      <protection hidden="1"/>
    </xf>
    <xf numFmtId="0" fontId="0" fillId="0" borderId="0" xfId="0" applyBorder="1" applyAlignment="1">
      <alignment horizontal="left" vertical="center" indent="4"/>
    </xf>
    <xf numFmtId="0" fontId="73" fillId="5" borderId="121" xfId="0" applyFont="1" applyFill="1" applyBorder="1" applyAlignment="1" applyProtection="1">
      <alignment horizontal="right" vertical="top" indent="1"/>
      <protection hidden="1"/>
    </xf>
    <xf numFmtId="0" fontId="22" fillId="20" borderId="14" xfId="0" applyFont="1" applyFill="1" applyBorder="1" applyAlignment="1" applyProtection="1">
      <alignment horizontal="left" vertical="center" indent="1"/>
      <protection hidden="1"/>
    </xf>
    <xf numFmtId="0" fontId="22" fillId="20" borderId="15" xfId="0" applyFont="1" applyFill="1" applyBorder="1" applyAlignment="1" applyProtection="1">
      <alignment horizontal="left" vertical="center" indent="1"/>
      <protection hidden="1"/>
    </xf>
    <xf numFmtId="165" fontId="42" fillId="0" borderId="0" xfId="0" applyNumberFormat="1" applyFont="1" applyFill="1" applyBorder="1" applyAlignment="1" applyProtection="1">
      <alignment horizontal="left" vertical="center" indent="3"/>
      <protection hidden="1"/>
    </xf>
    <xf numFmtId="0" fontId="0" fillId="0" borderId="0" xfId="0" applyBorder="1" applyAlignment="1">
      <alignment horizontal="left" indent="3"/>
    </xf>
    <xf numFmtId="165" fontId="31" fillId="0" borderId="0" xfId="0" applyNumberFormat="1" applyFont="1" applyFill="1" applyBorder="1" applyAlignment="1" applyProtection="1">
      <alignment horizontal="left" vertical="center" indent="3"/>
      <protection hidden="1"/>
    </xf>
    <xf numFmtId="0" fontId="155" fillId="29" borderId="18" xfId="0" applyFont="1" applyFill="1" applyBorder="1" applyAlignment="1" applyProtection="1">
      <alignment horizontal="right" vertical="top" indent="1"/>
      <protection locked="0"/>
    </xf>
    <xf numFmtId="0" fontId="4" fillId="0" borderId="41" xfId="0" applyFont="1" applyBorder="1" applyAlignment="1">
      <alignment horizontal="right" vertical="top" indent="1"/>
    </xf>
    <xf numFmtId="0" fontId="123" fillId="7" borderId="118" xfId="0" applyFont="1" applyFill="1" applyBorder="1" applyAlignment="1" applyProtection="1">
      <alignment horizontal="left" vertical="center" indent="1"/>
      <protection hidden="1"/>
    </xf>
    <xf numFmtId="0" fontId="0" fillId="0" borderId="119" xfId="0" applyBorder="1" applyAlignment="1">
      <alignment horizontal="left" vertical="center" indent="1"/>
    </xf>
    <xf numFmtId="0" fontId="22" fillId="14" borderId="136" xfId="0" applyFont="1" applyFill="1" applyBorder="1" applyAlignment="1" applyProtection="1">
      <alignment horizontal="left" vertical="center" wrapText="1" indent="1"/>
      <protection hidden="1"/>
    </xf>
    <xf numFmtId="0" fontId="0" fillId="0" borderId="138" xfId="0" applyBorder="1" applyAlignment="1">
      <alignment horizontal="left" vertical="center" wrapText="1" indent="1"/>
    </xf>
    <xf numFmtId="0" fontId="22" fillId="4" borderId="153" xfId="0" applyFont="1" applyFill="1" applyBorder="1" applyAlignment="1" applyProtection="1">
      <alignment horizontal="left" vertical="center" indent="1"/>
      <protection hidden="1"/>
    </xf>
    <xf numFmtId="0" fontId="0" fillId="0" borderId="113" xfId="0" applyBorder="1" applyAlignment="1">
      <alignment horizontal="left" vertical="center" indent="1"/>
    </xf>
    <xf numFmtId="165" fontId="22" fillId="20" borderId="77" xfId="0" applyNumberFormat="1" applyFont="1" applyFill="1" applyBorder="1" applyAlignment="1" applyProtection="1">
      <alignment horizontal="center" vertical="center" wrapText="1"/>
      <protection hidden="1"/>
    </xf>
    <xf numFmtId="165" fontId="22" fillId="20" borderId="85" xfId="0" applyNumberFormat="1" applyFont="1" applyFill="1" applyBorder="1" applyAlignment="1" applyProtection="1">
      <alignment horizontal="center" vertical="center" wrapText="1"/>
      <protection hidden="1"/>
    </xf>
    <xf numFmtId="0" fontId="167" fillId="0" borderId="0" xfId="0" applyFont="1" applyBorder="1" applyAlignment="1" applyProtection="1">
      <alignment horizontal="right" vertical="center"/>
      <protection locked="0"/>
    </xf>
    <xf numFmtId="0" fontId="249" fillId="0" borderId="0" xfId="0" applyFont="1" applyAlignment="1">
      <alignment vertical="center"/>
    </xf>
    <xf numFmtId="0" fontId="27" fillId="5" borderId="41" xfId="0" applyFont="1" applyFill="1" applyBorder="1" applyAlignment="1" applyProtection="1">
      <alignment horizontal="right" vertical="top" indent="1"/>
      <protection hidden="1"/>
    </xf>
    <xf numFmtId="0" fontId="27" fillId="5" borderId="85" xfId="0" applyFont="1" applyFill="1" applyBorder="1" applyAlignment="1" applyProtection="1">
      <alignment horizontal="right" vertical="top" indent="1"/>
      <protection hidden="1"/>
    </xf>
    <xf numFmtId="0" fontId="258" fillId="0" borderId="18" xfId="0" applyFont="1" applyFill="1" applyBorder="1" applyAlignment="1" applyProtection="1">
      <alignment vertical="center"/>
      <protection hidden="1"/>
    </xf>
    <xf numFmtId="0" fontId="259" fillId="0" borderId="18" xfId="0" applyFont="1" applyBorder="1" applyAlignment="1">
      <alignment vertical="center"/>
    </xf>
    <xf numFmtId="0" fontId="22" fillId="4" borderId="166" xfId="0" applyFont="1" applyFill="1" applyBorder="1" applyAlignment="1" applyProtection="1">
      <alignment horizontal="left" vertical="center" indent="1"/>
      <protection hidden="1"/>
    </xf>
    <xf numFmtId="0" fontId="22" fillId="4" borderId="15" xfId="0" applyFont="1" applyFill="1" applyBorder="1" applyAlignment="1" applyProtection="1">
      <alignment horizontal="left" vertical="center" indent="1"/>
      <protection hidden="1"/>
    </xf>
    <xf numFmtId="0" fontId="58" fillId="0" borderId="0" xfId="0" applyFont="1" applyFill="1" applyAlignment="1" applyProtection="1">
      <alignment horizontal="center" vertical="center" wrapText="1"/>
      <protection hidden="1"/>
    </xf>
    <xf numFmtId="0" fontId="169" fillId="43" borderId="16" xfId="0" applyFont="1" applyFill="1" applyBorder="1" applyAlignment="1" applyProtection="1">
      <alignment horizontal="left" vertical="center"/>
      <protection hidden="1"/>
    </xf>
    <xf numFmtId="0" fontId="169" fillId="43" borderId="43" xfId="0" applyFont="1" applyFill="1" applyBorder="1" applyAlignment="1" applyProtection="1">
      <alignment horizontal="left" vertical="center"/>
      <protection hidden="1"/>
    </xf>
    <xf numFmtId="0" fontId="260" fillId="0" borderId="0" xfId="0" applyFont="1" applyFill="1" applyBorder="1" applyAlignment="1" applyProtection="1">
      <alignment horizontal="left" vertical="center"/>
      <protection hidden="1"/>
    </xf>
    <xf numFmtId="0" fontId="260" fillId="0" borderId="0" xfId="0" applyFont="1" applyFill="1" applyBorder="1" applyAlignment="1">
      <alignment horizontal="left" vertical="center"/>
    </xf>
    <xf numFmtId="0" fontId="26" fillId="45" borderId="143" xfId="0" applyFont="1" applyFill="1" applyBorder="1" applyAlignment="1" applyProtection="1">
      <alignment horizontal="right" vertical="top" indent="1"/>
      <protection hidden="1"/>
    </xf>
    <xf numFmtId="0" fontId="26" fillId="45" borderId="144" xfId="0" applyFont="1" applyFill="1" applyBorder="1" applyAlignment="1" applyProtection="1">
      <alignment horizontal="right" vertical="top" indent="1"/>
      <protection hidden="1"/>
    </xf>
    <xf numFmtId="0" fontId="89" fillId="0" borderId="0" xfId="0" applyFont="1" applyBorder="1" applyAlignment="1">
      <alignment horizontal="right" vertical="center"/>
    </xf>
    <xf numFmtId="0" fontId="85" fillId="11" borderId="3" xfId="0" applyFont="1" applyFill="1" applyBorder="1" applyAlignment="1" applyProtection="1">
      <alignment horizontal="right" vertical="center" indent="1"/>
      <protection hidden="1"/>
    </xf>
    <xf numFmtId="0" fontId="85" fillId="11" borderId="94" xfId="0" applyFont="1" applyFill="1" applyBorder="1" applyAlignment="1" applyProtection="1">
      <alignment horizontal="right" vertical="center" indent="1"/>
      <protection hidden="1"/>
    </xf>
    <xf numFmtId="0" fontId="235" fillId="0" borderId="0" xfId="0" applyFont="1" applyBorder="1" applyAlignment="1" applyProtection="1">
      <alignment horizontal="right"/>
      <protection locked="0"/>
    </xf>
    <xf numFmtId="0" fontId="22" fillId="4" borderId="148" xfId="0" applyFont="1" applyFill="1" applyBorder="1" applyAlignment="1" applyProtection="1">
      <alignment horizontal="left" vertical="center" indent="1"/>
      <protection hidden="1"/>
    </xf>
    <xf numFmtId="0" fontId="0" fillId="0" borderId="158" xfId="0" applyBorder="1"/>
    <xf numFmtId="0" fontId="0" fillId="0" borderId="146" xfId="0" applyBorder="1"/>
    <xf numFmtId="0" fontId="24" fillId="4" borderId="74" xfId="0" applyFont="1" applyFill="1" applyBorder="1" applyAlignment="1" applyProtection="1">
      <alignment horizontal="left" vertical="center" wrapText="1" indent="1"/>
      <protection hidden="1"/>
    </xf>
    <xf numFmtId="0" fontId="24" fillId="4" borderId="0" xfId="0" applyFont="1" applyFill="1" applyBorder="1" applyAlignment="1" applyProtection="1">
      <alignment horizontal="left" vertical="center" wrapText="1" indent="1"/>
      <protection hidden="1"/>
    </xf>
    <xf numFmtId="0" fontId="22" fillId="0" borderId="94" xfId="0" applyFont="1" applyBorder="1" applyAlignment="1" applyProtection="1">
      <alignment horizontal="left" vertical="center" wrapText="1" indent="1"/>
      <protection hidden="1"/>
    </xf>
    <xf numFmtId="0" fontId="192" fillId="0" borderId="74" xfId="0" applyFont="1" applyFill="1" applyBorder="1" applyAlignment="1" applyProtection="1">
      <alignment horizontal="left" vertical="center" indent="1"/>
      <protection hidden="1"/>
    </xf>
    <xf numFmtId="0" fontId="192" fillId="0" borderId="0" xfId="0" quotePrefix="1" applyFont="1" applyFill="1" applyBorder="1" applyAlignment="1" applyProtection="1">
      <alignment horizontal="left" vertical="center" indent="1"/>
      <protection hidden="1"/>
    </xf>
    <xf numFmtId="0" fontId="22" fillId="4" borderId="47" xfId="0" applyFont="1" applyFill="1" applyBorder="1" applyAlignment="1" applyProtection="1">
      <alignment horizontal="left" vertical="center" wrapText="1" indent="1"/>
      <protection hidden="1"/>
    </xf>
    <xf numFmtId="0" fontId="22" fillId="4" borderId="138" xfId="0" applyFont="1" applyFill="1" applyBorder="1" applyAlignment="1" applyProtection="1">
      <alignment horizontal="left" vertical="center" wrapText="1" indent="1"/>
      <protection hidden="1"/>
    </xf>
    <xf numFmtId="164" fontId="12" fillId="19" borderId="133" xfId="0" applyNumberFormat="1" applyFont="1" applyFill="1" applyBorder="1" applyAlignment="1" applyProtection="1">
      <alignment horizontal="center" vertical="center"/>
      <protection hidden="1"/>
    </xf>
    <xf numFmtId="164" fontId="12" fillId="19" borderId="85" xfId="0" applyNumberFormat="1" applyFont="1" applyFill="1" applyBorder="1" applyAlignment="1" applyProtection="1">
      <alignment horizontal="center" vertical="center"/>
      <protection hidden="1"/>
    </xf>
    <xf numFmtId="164" fontId="12" fillId="31" borderId="77" xfId="0" applyNumberFormat="1" applyFont="1" applyFill="1" applyBorder="1" applyAlignment="1" applyProtection="1">
      <alignment horizontal="right" vertical="center"/>
      <protection hidden="1"/>
    </xf>
    <xf numFmtId="164" fontId="12" fillId="31" borderId="85" xfId="0" applyNumberFormat="1" applyFont="1" applyFill="1" applyBorder="1" applyAlignment="1" applyProtection="1">
      <alignment horizontal="right" vertical="center"/>
      <protection hidden="1"/>
    </xf>
    <xf numFmtId="0" fontId="173" fillId="38" borderId="155" xfId="9" applyFont="1" applyBorder="1" applyAlignment="1" applyProtection="1">
      <alignment horizontal="left" vertical="center" indent="1"/>
      <protection hidden="1"/>
    </xf>
    <xf numFmtId="0" fontId="173" fillId="38" borderId="156" xfId="9" applyFont="1" applyBorder="1" applyAlignment="1">
      <alignment horizontal="left" vertical="center" indent="1"/>
    </xf>
    <xf numFmtId="164" fontId="12" fillId="19" borderId="77" xfId="0" applyNumberFormat="1" applyFont="1" applyFill="1" applyBorder="1" applyAlignment="1" applyProtection="1">
      <alignment horizontal="center" vertical="center"/>
      <protection hidden="1"/>
    </xf>
    <xf numFmtId="164" fontId="12" fillId="10" borderId="77" xfId="0" applyNumberFormat="1" applyFont="1" applyFill="1" applyBorder="1" applyAlignment="1" applyProtection="1">
      <alignment horizontal="center" vertical="center"/>
      <protection hidden="1"/>
    </xf>
    <xf numFmtId="164" fontId="12" fillId="10" borderId="80" xfId="0" applyNumberFormat="1" applyFont="1" applyFill="1" applyBorder="1" applyAlignment="1" applyProtection="1">
      <alignment horizontal="center" vertical="center"/>
      <protection hidden="1"/>
    </xf>
    <xf numFmtId="164" fontId="12" fillId="10" borderId="85" xfId="0" applyNumberFormat="1" applyFont="1" applyFill="1" applyBorder="1" applyAlignment="1" applyProtection="1">
      <alignment horizontal="center" vertical="center"/>
      <protection hidden="1"/>
    </xf>
    <xf numFmtId="0" fontId="190" fillId="0" borderId="270" xfId="0" applyFont="1" applyFill="1" applyBorder="1" applyAlignment="1" applyProtection="1">
      <alignment horizontal="left" vertical="center" indent="1"/>
      <protection hidden="1"/>
    </xf>
    <xf numFmtId="0" fontId="190" fillId="0" borderId="271" xfId="0" applyFont="1" applyFill="1" applyBorder="1" applyAlignment="1" applyProtection="1">
      <alignment horizontal="left" vertical="center" indent="1"/>
      <protection hidden="1"/>
    </xf>
    <xf numFmtId="0" fontId="128" fillId="42" borderId="159" xfId="0" applyFont="1" applyFill="1" applyBorder="1" applyAlignment="1" applyProtection="1">
      <alignment horizontal="left" vertical="center" indent="1"/>
      <protection hidden="1"/>
    </xf>
    <xf numFmtId="0" fontId="128" fillId="42" borderId="54" xfId="0" quotePrefix="1" applyFont="1" applyFill="1" applyBorder="1" applyAlignment="1" applyProtection="1">
      <alignment horizontal="left" vertical="center" indent="1"/>
      <protection hidden="1"/>
    </xf>
    <xf numFmtId="0" fontId="24" fillId="4" borderId="14" xfId="0" applyFont="1" applyFill="1" applyBorder="1" applyAlignment="1" applyProtection="1">
      <alignment horizontal="left" vertical="center" wrapText="1" indent="1"/>
      <protection hidden="1"/>
    </xf>
    <xf numFmtId="0" fontId="24" fillId="4" borderId="17" xfId="0" applyFont="1" applyFill="1" applyBorder="1" applyAlignment="1" applyProtection="1">
      <alignment horizontal="left" vertical="center" wrapText="1" indent="1"/>
      <protection hidden="1"/>
    </xf>
    <xf numFmtId="0" fontId="22" fillId="0" borderId="40" xfId="0" applyFont="1" applyBorder="1" applyAlignment="1" applyProtection="1">
      <alignment horizontal="left" vertical="center" wrapText="1" indent="1"/>
      <protection hidden="1"/>
    </xf>
    <xf numFmtId="0" fontId="22" fillId="4" borderId="149" xfId="0" applyFont="1" applyFill="1" applyBorder="1" applyAlignment="1" applyProtection="1">
      <alignment horizontal="left" vertical="center" indent="1"/>
      <protection hidden="1"/>
    </xf>
    <xf numFmtId="0" fontId="22" fillId="4" borderId="113" xfId="0" applyFont="1" applyFill="1" applyBorder="1" applyAlignment="1" applyProtection="1">
      <alignment horizontal="left" vertical="center" indent="1"/>
      <protection hidden="1"/>
    </xf>
    <xf numFmtId="0" fontId="0" fillId="0" borderId="154" xfId="0" applyBorder="1" applyAlignment="1">
      <alignment horizontal="left" vertical="center" wrapText="1" indent="1"/>
    </xf>
    <xf numFmtId="0" fontId="110" fillId="24" borderId="15" xfId="0" applyFont="1" applyFill="1" applyBorder="1" applyAlignment="1" applyProtection="1">
      <alignment horizontal="left" vertical="center" indent="1"/>
      <protection hidden="1"/>
    </xf>
    <xf numFmtId="0" fontId="4" fillId="24" borderId="18" xfId="0" applyFont="1" applyFill="1" applyBorder="1" applyAlignment="1">
      <alignment horizontal="left" vertical="center" indent="1"/>
    </xf>
    <xf numFmtId="0" fontId="26" fillId="20" borderId="56" xfId="0" applyFont="1" applyFill="1" applyBorder="1" applyAlignment="1" applyProtection="1">
      <alignment horizontal="left" vertical="center" indent="1"/>
      <protection hidden="1"/>
    </xf>
    <xf numFmtId="0" fontId="26" fillId="20" borderId="40" xfId="0" applyFont="1" applyFill="1" applyBorder="1" applyAlignment="1" applyProtection="1">
      <alignment horizontal="left" vertical="center" indent="1"/>
      <protection hidden="1"/>
    </xf>
    <xf numFmtId="0" fontId="26" fillId="20" borderId="58" xfId="0" applyFont="1" applyFill="1" applyBorder="1" applyAlignment="1" applyProtection="1">
      <alignment horizontal="left" vertical="center" indent="1"/>
      <protection hidden="1"/>
    </xf>
    <xf numFmtId="0" fontId="26" fillId="20" borderId="41" xfId="0" applyFont="1" applyFill="1" applyBorder="1" applyAlignment="1" applyProtection="1">
      <alignment horizontal="left" vertical="center" indent="1"/>
      <protection hidden="1"/>
    </xf>
    <xf numFmtId="0" fontId="179" fillId="43" borderId="16" xfId="0" applyFont="1" applyFill="1" applyBorder="1" applyAlignment="1" applyProtection="1">
      <alignment horizontal="left" vertical="center"/>
      <protection hidden="1"/>
    </xf>
    <xf numFmtId="0" fontId="179" fillId="43" borderId="43" xfId="0" applyFont="1" applyFill="1" applyBorder="1" applyAlignment="1" applyProtection="1">
      <alignment horizontal="left" vertical="center"/>
      <protection hidden="1"/>
    </xf>
    <xf numFmtId="0" fontId="22" fillId="11" borderId="136" xfId="0" applyFont="1" applyFill="1" applyBorder="1" applyAlignment="1" applyProtection="1">
      <alignment horizontal="left" vertical="center" wrapText="1" indent="1"/>
      <protection hidden="1"/>
    </xf>
    <xf numFmtId="0" fontId="85" fillId="4" borderId="3" xfId="0" applyFont="1" applyFill="1" applyBorder="1" applyAlignment="1" applyProtection="1">
      <alignment horizontal="right" vertical="center" indent="1"/>
      <protection hidden="1"/>
    </xf>
    <xf numFmtId="0" fontId="85" fillId="4" borderId="94" xfId="0" applyFont="1" applyFill="1" applyBorder="1" applyAlignment="1" applyProtection="1">
      <alignment horizontal="right" vertical="center" indent="1"/>
      <protection hidden="1"/>
    </xf>
    <xf numFmtId="0" fontId="26" fillId="14" borderId="3" xfId="0" applyFont="1" applyFill="1" applyBorder="1" applyAlignment="1" applyProtection="1">
      <alignment horizontal="right" vertical="center" indent="1"/>
      <protection hidden="1"/>
    </xf>
    <xf numFmtId="0" fontId="26" fillId="14" borderId="94" xfId="0" applyFont="1" applyFill="1" applyBorder="1" applyAlignment="1" applyProtection="1">
      <alignment horizontal="right" vertical="center" indent="1"/>
      <protection hidden="1"/>
    </xf>
    <xf numFmtId="0" fontId="24" fillId="4" borderId="152" xfId="0" applyFont="1" applyFill="1" applyBorder="1" applyAlignment="1" applyProtection="1">
      <alignment horizontal="left" vertical="center" wrapText="1" indent="1"/>
      <protection hidden="1"/>
    </xf>
    <xf numFmtId="0" fontId="24" fillId="4" borderId="41" xfId="0" applyFont="1" applyFill="1" applyBorder="1" applyAlignment="1" applyProtection="1">
      <alignment horizontal="left" vertical="center" wrapText="1" indent="1"/>
      <protection hidden="1"/>
    </xf>
    <xf numFmtId="0" fontId="18" fillId="18" borderId="16" xfId="0" applyFont="1" applyFill="1" applyBorder="1" applyAlignment="1" applyProtection="1">
      <alignment horizontal="left" vertical="center" indent="1"/>
      <protection hidden="1"/>
    </xf>
    <xf numFmtId="0" fontId="18" fillId="18" borderId="43" xfId="0" applyFont="1" applyFill="1" applyBorder="1" applyAlignment="1" applyProtection="1">
      <alignment horizontal="left" vertical="center" indent="1"/>
      <protection hidden="1"/>
    </xf>
    <xf numFmtId="0" fontId="64" fillId="28" borderId="0" xfId="0" applyFont="1" applyFill="1" applyBorder="1" applyAlignment="1" applyProtection="1">
      <alignment horizontal="left" vertical="center" indent="1"/>
      <protection hidden="1"/>
    </xf>
    <xf numFmtId="0" fontId="0" fillId="28" borderId="0" xfId="0" applyFill="1" applyBorder="1" applyAlignment="1">
      <alignment horizontal="left" vertical="center" indent="1"/>
    </xf>
    <xf numFmtId="0" fontId="207" fillId="0" borderId="0" xfId="2" applyFont="1" applyFill="1" applyBorder="1" applyAlignment="1" applyProtection="1">
      <alignment vertical="center"/>
      <protection hidden="1"/>
    </xf>
    <xf numFmtId="0" fontId="22" fillId="19" borderId="14" xfId="0" applyFont="1" applyFill="1" applyBorder="1" applyAlignment="1" applyProtection="1">
      <alignment horizontal="left" vertical="center" indent="1"/>
      <protection hidden="1"/>
    </xf>
    <xf numFmtId="0" fontId="0" fillId="19" borderId="40" xfId="0" applyFill="1" applyBorder="1" applyAlignment="1">
      <alignment horizontal="left" vertical="center" indent="1"/>
    </xf>
    <xf numFmtId="0" fontId="12" fillId="19" borderId="15" xfId="0" applyFont="1" applyFill="1" applyBorder="1" applyAlignment="1" applyProtection="1">
      <alignment horizontal="left" vertical="center" indent="1"/>
      <protection hidden="1"/>
    </xf>
    <xf numFmtId="0" fontId="24" fillId="3" borderId="0" xfId="0" applyFont="1" applyFill="1" applyBorder="1" applyAlignment="1" applyProtection="1">
      <alignment horizontal="left" vertical="center" indent="1"/>
      <protection hidden="1"/>
    </xf>
    <xf numFmtId="0" fontId="24" fillId="4" borderId="0" xfId="0" applyFont="1" applyFill="1" applyBorder="1" applyAlignment="1" applyProtection="1">
      <alignment horizontal="left" vertical="center" indent="1"/>
      <protection hidden="1"/>
    </xf>
    <xf numFmtId="0" fontId="231" fillId="28" borderId="0" xfId="0" applyFont="1" applyFill="1" applyBorder="1" applyAlignment="1" applyProtection="1">
      <alignment horizontal="left" vertical="center" indent="1"/>
      <protection hidden="1"/>
    </xf>
    <xf numFmtId="0" fontId="222" fillId="28" borderId="0" xfId="0" applyFont="1" applyFill="1" applyBorder="1" applyAlignment="1">
      <alignment horizontal="left" vertical="center" indent="1"/>
    </xf>
    <xf numFmtId="0" fontId="24" fillId="44" borderId="0" xfId="0" applyFont="1" applyFill="1" applyBorder="1" applyAlignment="1" applyProtection="1">
      <alignment horizontal="left" vertical="center" indent="1"/>
      <protection hidden="1"/>
    </xf>
    <xf numFmtId="0" fontId="22" fillId="12" borderId="0" xfId="0" applyFont="1" applyFill="1" applyBorder="1" applyAlignment="1" applyProtection="1">
      <alignment horizontal="left" vertical="center" indent="1"/>
      <protection hidden="1"/>
    </xf>
    <xf numFmtId="2" fontId="68" fillId="11" borderId="42" xfId="0" applyNumberFormat="1" applyFont="1" applyFill="1" applyBorder="1" applyAlignment="1" applyProtection="1">
      <alignment horizontal="center" vertical="center" wrapText="1"/>
      <protection hidden="1"/>
    </xf>
    <xf numFmtId="2" fontId="68" fillId="11" borderId="16" xfId="0" applyNumberFormat="1" applyFont="1" applyFill="1" applyBorder="1" applyAlignment="1" applyProtection="1">
      <alignment horizontal="center" vertical="center" wrapText="1"/>
      <protection hidden="1"/>
    </xf>
    <xf numFmtId="2" fontId="82" fillId="11" borderId="42" xfId="0" applyNumberFormat="1" applyFont="1" applyFill="1" applyBorder="1" applyAlignment="1" applyProtection="1">
      <alignment horizontal="center" vertical="center" wrapText="1"/>
      <protection hidden="1"/>
    </xf>
    <xf numFmtId="2" fontId="82" fillId="11" borderId="16" xfId="0" applyNumberFormat="1" applyFont="1" applyFill="1" applyBorder="1" applyAlignment="1" applyProtection="1">
      <alignment horizontal="center" vertical="center" wrapText="1"/>
      <protection hidden="1"/>
    </xf>
    <xf numFmtId="2" fontId="82" fillId="11" borderId="43" xfId="0" applyNumberFormat="1" applyFont="1" applyFill="1" applyBorder="1" applyAlignment="1" applyProtection="1">
      <alignment horizontal="center" vertical="center" wrapText="1"/>
      <protection hidden="1"/>
    </xf>
    <xf numFmtId="2" fontId="72" fillId="11" borderId="42" xfId="0" applyNumberFormat="1" applyFont="1" applyFill="1" applyBorder="1" applyAlignment="1" applyProtection="1">
      <alignment horizontal="center" vertical="center" wrapText="1"/>
      <protection hidden="1"/>
    </xf>
    <xf numFmtId="2" fontId="72" fillId="11" borderId="16" xfId="0" applyNumberFormat="1" applyFont="1" applyFill="1" applyBorder="1" applyAlignment="1" applyProtection="1">
      <alignment horizontal="center" vertical="center" wrapText="1"/>
      <protection hidden="1"/>
    </xf>
    <xf numFmtId="2" fontId="72" fillId="11" borderId="43" xfId="0" applyNumberFormat="1" applyFont="1" applyFill="1" applyBorder="1" applyAlignment="1" applyProtection="1">
      <alignment horizontal="center" vertical="center" wrapText="1"/>
      <protection hidden="1"/>
    </xf>
    <xf numFmtId="1" fontId="22" fillId="3" borderId="14" xfId="0" applyNumberFormat="1" applyFont="1" applyFill="1" applyBorder="1" applyAlignment="1" applyProtection="1">
      <alignment horizontal="center"/>
      <protection hidden="1"/>
    </xf>
    <xf numFmtId="1" fontId="22" fillId="3" borderId="17" xfId="0" applyNumberFormat="1" applyFont="1" applyFill="1" applyBorder="1" applyAlignment="1" applyProtection="1">
      <alignment horizontal="center"/>
      <protection hidden="1"/>
    </xf>
    <xf numFmtId="1" fontId="22" fillId="3" borderId="40" xfId="0" applyNumberFormat="1" applyFont="1" applyFill="1" applyBorder="1" applyAlignment="1" applyProtection="1">
      <alignment horizontal="center"/>
      <protection hidden="1"/>
    </xf>
    <xf numFmtId="167" fontId="24" fillId="3" borderId="198" xfId="0" applyNumberFormat="1" applyFont="1" applyFill="1" applyBorder="1" applyAlignment="1" applyProtection="1">
      <alignment horizontal="center" vertical="top"/>
      <protection hidden="1"/>
    </xf>
    <xf numFmtId="167" fontId="24" fillId="3" borderId="1" xfId="0" applyNumberFormat="1" applyFont="1" applyFill="1" applyBorder="1" applyAlignment="1" applyProtection="1">
      <alignment horizontal="center" vertical="top"/>
      <protection hidden="1"/>
    </xf>
    <xf numFmtId="167" fontId="24" fillId="3" borderId="233" xfId="0" applyNumberFormat="1" applyFont="1" applyFill="1" applyBorder="1" applyAlignment="1" applyProtection="1">
      <alignment horizontal="center" vertical="top"/>
      <protection hidden="1"/>
    </xf>
    <xf numFmtId="0" fontId="22" fillId="4" borderId="199" xfId="0" applyFont="1" applyFill="1" applyBorder="1" applyAlignment="1">
      <alignment horizontal="center" vertical="center"/>
    </xf>
    <xf numFmtId="0" fontId="22" fillId="4" borderId="15" xfId="0" applyFont="1" applyFill="1" applyBorder="1" applyAlignment="1">
      <alignment horizontal="center" vertical="center"/>
    </xf>
    <xf numFmtId="0" fontId="22" fillId="4" borderId="71" xfId="0" applyFont="1" applyFill="1" applyBorder="1" applyAlignment="1">
      <alignment horizontal="center" vertical="center" wrapText="1"/>
    </xf>
    <xf numFmtId="0" fontId="22" fillId="4" borderId="49" xfId="0" applyFont="1" applyFill="1" applyBorder="1" applyAlignment="1">
      <alignment horizontal="center" vertical="center" wrapText="1"/>
    </xf>
    <xf numFmtId="0" fontId="22" fillId="4" borderId="101" xfId="0" applyFont="1" applyFill="1" applyBorder="1" applyAlignment="1">
      <alignment horizontal="center" vertical="center"/>
    </xf>
    <xf numFmtId="0" fontId="22" fillId="4" borderId="41" xfId="0" applyFont="1" applyFill="1" applyBorder="1" applyAlignment="1">
      <alignment horizontal="center" vertical="center"/>
    </xf>
    <xf numFmtId="0" fontId="18" fillId="4" borderId="77" xfId="0" applyFont="1" applyFill="1" applyBorder="1" applyAlignment="1">
      <alignment horizontal="center" vertical="center"/>
    </xf>
    <xf numFmtId="0" fontId="18" fillId="4" borderId="85" xfId="0" applyFont="1" applyFill="1" applyBorder="1" applyAlignment="1">
      <alignment horizontal="center" vertical="center"/>
    </xf>
    <xf numFmtId="0" fontId="22" fillId="4" borderId="239" xfId="0" applyFont="1" applyFill="1" applyBorder="1" applyAlignment="1">
      <alignment horizontal="center" vertical="center"/>
    </xf>
    <xf numFmtId="0" fontId="22" fillId="4" borderId="234" xfId="0" applyFont="1" applyFill="1" applyBorder="1" applyAlignment="1">
      <alignment horizontal="center" vertical="center"/>
    </xf>
    <xf numFmtId="0" fontId="22" fillId="4" borderId="14" xfId="0" applyFont="1" applyFill="1" applyBorder="1" applyAlignment="1">
      <alignment horizontal="center" vertical="center"/>
    </xf>
    <xf numFmtId="0" fontId="153" fillId="19" borderId="161" xfId="5" applyFont="1" applyFill="1" applyBorder="1" applyAlignment="1" applyProtection="1">
      <alignment horizontal="left" vertical="center" indent="1"/>
      <protection hidden="1"/>
    </xf>
    <xf numFmtId="0" fontId="153" fillId="19" borderId="162" xfId="5" applyFont="1" applyFill="1" applyBorder="1" applyAlignment="1">
      <alignment horizontal="left" vertical="center" indent="1"/>
    </xf>
    <xf numFmtId="0" fontId="153" fillId="19" borderId="42" xfId="6" applyFont="1" applyFill="1" applyBorder="1" applyAlignment="1">
      <alignment horizontal="left" vertical="center" indent="1"/>
    </xf>
    <xf numFmtId="0" fontId="153" fillId="19" borderId="16" xfId="6" applyFont="1" applyFill="1" applyBorder="1" applyAlignment="1">
      <alignment horizontal="left" vertical="center" indent="1"/>
    </xf>
    <xf numFmtId="0" fontId="232" fillId="0" borderId="0" xfId="0" applyFont="1" applyAlignment="1" applyProtection="1">
      <alignment horizontal="right" vertical="center" indent="1"/>
      <protection hidden="1"/>
    </xf>
    <xf numFmtId="0" fontId="232" fillId="0" borderId="0" xfId="0" applyFont="1" applyBorder="1" applyAlignment="1" applyProtection="1">
      <alignment horizontal="right" vertical="center" indent="1"/>
      <protection hidden="1"/>
    </xf>
    <xf numFmtId="0" fontId="153" fillId="0" borderId="42" xfId="0" applyFont="1" applyBorder="1" applyAlignment="1" applyProtection="1">
      <alignment horizontal="center" vertical="center"/>
      <protection hidden="1"/>
    </xf>
    <xf numFmtId="0" fontId="153" fillId="0" borderId="43" xfId="0" applyFont="1" applyBorder="1" applyAlignment="1" applyProtection="1">
      <alignment horizontal="center" vertical="center"/>
      <protection hidden="1"/>
    </xf>
    <xf numFmtId="2" fontId="169" fillId="0" borderId="71" xfId="0" applyNumberFormat="1" applyFont="1" applyBorder="1" applyAlignment="1" applyProtection="1">
      <alignment horizontal="center" vertical="center"/>
      <protection hidden="1"/>
    </xf>
    <xf numFmtId="2" fontId="169" fillId="0" borderId="10" xfId="0" applyNumberFormat="1" applyFont="1" applyBorder="1" applyAlignment="1" applyProtection="1">
      <alignment horizontal="center" vertical="center"/>
      <protection hidden="1"/>
    </xf>
    <xf numFmtId="2" fontId="169" fillId="0" borderId="73" xfId="0" applyNumberFormat="1" applyFont="1" applyBorder="1" applyAlignment="1" applyProtection="1">
      <alignment horizontal="center" vertical="center"/>
      <protection hidden="1"/>
    </xf>
    <xf numFmtId="0" fontId="156" fillId="0" borderId="99" xfId="0" applyFont="1" applyBorder="1" applyAlignment="1" applyProtection="1">
      <alignment horizontal="center" vertical="center"/>
      <protection hidden="1"/>
    </xf>
    <xf numFmtId="0" fontId="156" fillId="0" borderId="0" xfId="0" applyFont="1" applyBorder="1" applyAlignment="1" applyProtection="1">
      <alignment horizontal="center" vertical="center"/>
      <protection hidden="1"/>
    </xf>
    <xf numFmtId="0" fontId="156" fillId="0" borderId="105" xfId="0" applyFont="1" applyBorder="1" applyAlignment="1" applyProtection="1">
      <alignment horizontal="center" vertical="center"/>
      <protection hidden="1"/>
    </xf>
    <xf numFmtId="2" fontId="169" fillId="0" borderId="49" xfId="0" applyNumberFormat="1" applyFont="1" applyBorder="1" applyAlignment="1" applyProtection="1">
      <alignment horizontal="center" vertical="center"/>
      <protection hidden="1"/>
    </xf>
    <xf numFmtId="0" fontId="156" fillId="0" borderId="18" xfId="0" applyFont="1" applyBorder="1" applyAlignment="1" applyProtection="1">
      <alignment horizontal="center" vertical="center"/>
      <protection hidden="1"/>
    </xf>
    <xf numFmtId="0" fontId="156" fillId="0" borderId="101" xfId="0" applyFont="1" applyBorder="1" applyAlignment="1" applyProtection="1">
      <alignment horizontal="center" vertical="center"/>
      <protection hidden="1"/>
    </xf>
    <xf numFmtId="0" fontId="156" fillId="0" borderId="94" xfId="0" applyFont="1" applyBorder="1" applyAlignment="1" applyProtection="1">
      <alignment horizontal="center" vertical="center"/>
      <protection hidden="1"/>
    </xf>
    <xf numFmtId="0" fontId="156" fillId="0" borderId="109" xfId="0" applyFont="1" applyBorder="1" applyAlignment="1" applyProtection="1">
      <alignment horizontal="center" vertical="center"/>
      <protection hidden="1"/>
    </xf>
    <xf numFmtId="0" fontId="179" fillId="28" borderId="251" xfId="0" applyFont="1" applyFill="1" applyBorder="1" applyAlignment="1" applyProtection="1">
      <alignment horizontal="left" vertical="center" wrapText="1" indent="1"/>
      <protection hidden="1"/>
    </xf>
    <xf numFmtId="0" fontId="179" fillId="28" borderId="182" xfId="0" applyFont="1" applyFill="1" applyBorder="1" applyAlignment="1" applyProtection="1">
      <alignment horizontal="left" vertical="center" wrapText="1" indent="1"/>
      <protection hidden="1"/>
    </xf>
    <xf numFmtId="0" fontId="179" fillId="28" borderId="205" xfId="0" applyFont="1" applyFill="1" applyBorder="1" applyAlignment="1" applyProtection="1">
      <alignment horizontal="left" vertical="center" indent="1"/>
      <protection hidden="1"/>
    </xf>
    <xf numFmtId="0" fontId="179" fillId="28" borderId="119" xfId="0" applyFont="1" applyFill="1" applyBorder="1" applyAlignment="1" applyProtection="1">
      <alignment horizontal="left" vertical="center" wrapText="1" indent="1"/>
      <protection hidden="1"/>
    </xf>
    <xf numFmtId="0" fontId="156" fillId="0" borderId="41" xfId="0" applyFont="1" applyBorder="1" applyAlignment="1" applyProtection="1">
      <alignment horizontal="center" vertical="center"/>
      <protection hidden="1"/>
    </xf>
    <xf numFmtId="0" fontId="179" fillId="28" borderId="205" xfId="0" applyFont="1" applyFill="1" applyBorder="1" applyAlignment="1" applyProtection="1">
      <alignment horizontal="left" vertical="center" wrapText="1" indent="1"/>
      <protection hidden="1"/>
    </xf>
    <xf numFmtId="0" fontId="179" fillId="28" borderId="182" xfId="0" applyFont="1" applyFill="1" applyBorder="1" applyAlignment="1" applyProtection="1">
      <alignment horizontal="left" vertical="center" indent="1"/>
      <protection hidden="1"/>
    </xf>
    <xf numFmtId="0" fontId="153" fillId="32" borderId="36" xfId="0" applyFont="1" applyFill="1" applyBorder="1" applyAlignment="1" applyProtection="1">
      <alignment horizontal="center" vertical="center"/>
      <protection hidden="1"/>
    </xf>
    <xf numFmtId="0" fontId="153" fillId="32" borderId="23" xfId="0" applyFont="1" applyFill="1" applyBorder="1" applyAlignment="1" applyProtection="1">
      <alignment horizontal="center" vertical="center"/>
      <protection hidden="1"/>
    </xf>
    <xf numFmtId="0" fontId="153" fillId="32" borderId="240" xfId="0" applyFont="1" applyFill="1" applyBorder="1" applyAlignment="1" applyProtection="1">
      <alignment horizontal="center" vertical="center"/>
      <protection hidden="1"/>
    </xf>
    <xf numFmtId="0" fontId="153" fillId="32" borderId="45" xfId="0" applyFont="1" applyFill="1" applyBorder="1" applyAlignment="1" applyProtection="1">
      <alignment horizontal="center" vertical="center"/>
      <protection hidden="1"/>
    </xf>
    <xf numFmtId="0" fontId="169" fillId="0" borderId="204" xfId="0" applyFont="1" applyBorder="1" applyAlignment="1" applyProtection="1">
      <alignment horizontal="left" vertical="center" wrapText="1" indent="1"/>
      <protection hidden="1"/>
    </xf>
    <xf numFmtId="0" fontId="169" fillId="0" borderId="105" xfId="0" applyFont="1" applyBorder="1" applyAlignment="1" applyProtection="1">
      <alignment horizontal="left" vertical="center" indent="1"/>
      <protection hidden="1"/>
    </xf>
    <xf numFmtId="0" fontId="169" fillId="0" borderId="159" xfId="0" applyFont="1" applyBorder="1" applyAlignment="1" applyProtection="1">
      <alignment horizontal="left" vertical="center" wrapText="1" indent="1"/>
      <protection hidden="1"/>
    </xf>
    <xf numFmtId="0" fontId="169" fillId="0" borderId="54" xfId="0" applyFont="1" applyBorder="1" applyAlignment="1" applyProtection="1">
      <alignment horizontal="left" vertical="center" indent="1"/>
      <protection hidden="1"/>
    </xf>
    <xf numFmtId="0" fontId="170" fillId="0" borderId="0" xfId="0" applyFont="1" applyAlignment="1">
      <alignment horizontal="right" vertical="center"/>
    </xf>
    <xf numFmtId="0" fontId="169" fillId="28" borderId="247" xfId="0" applyFont="1" applyFill="1" applyBorder="1" applyAlignment="1">
      <alignment horizontal="left" vertical="center" wrapText="1" indent="1"/>
    </xf>
    <xf numFmtId="0" fontId="169" fillId="28" borderId="53" xfId="0" applyFont="1" applyFill="1" applyBorder="1" applyAlignment="1">
      <alignment horizontal="left" vertical="center" indent="1"/>
    </xf>
    <xf numFmtId="0" fontId="169" fillId="28" borderId="202" xfId="0" applyFont="1" applyFill="1" applyBorder="1" applyAlignment="1">
      <alignment horizontal="left" vertical="center" indent="1"/>
    </xf>
    <xf numFmtId="0" fontId="179" fillId="28" borderId="15" xfId="9" applyFont="1" applyFill="1" applyBorder="1" applyAlignment="1">
      <alignment horizontal="left" vertical="center" indent="1"/>
    </xf>
    <xf numFmtId="0" fontId="233" fillId="28" borderId="249" xfId="0" applyFont="1" applyFill="1" applyBorder="1" applyAlignment="1">
      <alignment horizontal="left" vertical="center" indent="1"/>
    </xf>
    <xf numFmtId="0" fontId="128" fillId="32" borderId="42" xfId="0" applyFont="1" applyFill="1" applyBorder="1" applyAlignment="1">
      <alignment horizontal="center" vertical="center"/>
    </xf>
    <xf numFmtId="0" fontId="128" fillId="32" borderId="22" xfId="0" applyFont="1" applyFill="1" applyBorder="1" applyAlignment="1">
      <alignment horizontal="center" vertical="center"/>
    </xf>
    <xf numFmtId="0" fontId="179" fillId="0" borderId="197" xfId="0" applyFont="1" applyBorder="1" applyAlignment="1">
      <alignment horizontal="left" vertical="center" indent="1"/>
    </xf>
    <xf numFmtId="0" fontId="179" fillId="0" borderId="202" xfId="0" applyFont="1" applyBorder="1" applyAlignment="1">
      <alignment horizontal="left" vertical="center" indent="1"/>
    </xf>
    <xf numFmtId="0" fontId="179" fillId="0" borderId="204" xfId="0" applyFont="1" applyBorder="1" applyAlignment="1">
      <alignment horizontal="left" vertical="center" indent="1"/>
    </xf>
    <xf numFmtId="0" fontId="179" fillId="0" borderId="252" xfId="0" applyFont="1" applyBorder="1" applyAlignment="1">
      <alignment horizontal="left" vertical="center" indent="1"/>
    </xf>
    <xf numFmtId="0" fontId="179" fillId="0" borderId="199" xfId="0" applyFont="1" applyBorder="1" applyAlignment="1">
      <alignment horizontal="left" vertical="center" indent="1"/>
    </xf>
    <xf numFmtId="0" fontId="179" fillId="0" borderId="254" xfId="0" applyFont="1" applyBorder="1" applyAlignment="1">
      <alignment horizontal="left" vertical="center" indent="1"/>
    </xf>
    <xf numFmtId="0" fontId="261" fillId="0" borderId="0" xfId="0" applyFont="1" applyAlignment="1" applyProtection="1">
      <alignment vertical="center"/>
      <protection hidden="1"/>
    </xf>
  </cellXfs>
  <cellStyles count="14">
    <cellStyle name="20 % - Accent1" xfId="5" builtinId="30"/>
    <cellStyle name="40 % - Accent1" xfId="6" builtinId="31"/>
    <cellStyle name="40 % - Accent2" xfId="4" builtinId="35"/>
    <cellStyle name="40 % - Accent2 2" xfId="13" xr:uid="{00000000-0005-0000-0000-000003000000}"/>
    <cellStyle name="40 % - Accent5" xfId="1" builtinId="47"/>
    <cellStyle name="40 % - Accent5 2" xfId="12" xr:uid="{00000000-0005-0000-0000-000005000000}"/>
    <cellStyle name="60 % - Accent1" xfId="9" builtinId="32"/>
    <cellStyle name="Accent1" xfId="7" builtinId="29"/>
    <cellStyle name="Accent2" xfId="2" builtinId="33"/>
    <cellStyle name="Accent4" xfId="8" builtinId="41"/>
    <cellStyle name="Accent5" xfId="10" builtinId="45"/>
    <cellStyle name="Lien hypertexte" xfId="3" builtinId="8"/>
    <cellStyle name="Normal" xfId="0" builtinId="0"/>
    <cellStyle name="Normal 2" xfId="11" xr:uid="{00000000-0005-0000-0000-00000D000000}"/>
  </cellStyles>
  <dxfs count="724">
    <dxf>
      <fill>
        <patternFill>
          <bgColor rgb="FFFFFFCC"/>
        </patternFill>
      </fill>
    </dxf>
    <dxf>
      <font>
        <color theme="0"/>
      </font>
    </dxf>
    <dxf>
      <font>
        <condense val="0"/>
        <extend val="0"/>
        <color indexed="10"/>
      </font>
    </dxf>
    <dxf>
      <font>
        <color rgb="FFC00000"/>
      </font>
    </dxf>
    <dxf>
      <font>
        <color rgb="FFC00000"/>
      </font>
    </dxf>
    <dxf>
      <fill>
        <patternFill>
          <bgColor rgb="FF00CC00"/>
        </patternFill>
      </fill>
    </dxf>
    <dxf>
      <fill>
        <patternFill>
          <bgColor rgb="FFFF9933"/>
        </patternFill>
      </fill>
    </dxf>
    <dxf>
      <fill>
        <patternFill>
          <bgColor theme="5"/>
        </patternFill>
      </fill>
    </dxf>
    <dxf>
      <fill>
        <patternFill>
          <bgColor rgb="FFFF0000"/>
        </patternFill>
      </fill>
    </dxf>
    <dxf>
      <fill>
        <patternFill>
          <bgColor rgb="FF00CC00"/>
        </patternFill>
      </fill>
    </dxf>
    <dxf>
      <fill>
        <patternFill>
          <bgColor rgb="FFFF9933"/>
        </patternFill>
      </fill>
    </dxf>
    <dxf>
      <fill>
        <patternFill>
          <bgColor theme="5"/>
        </patternFill>
      </fill>
    </dxf>
    <dxf>
      <fill>
        <patternFill>
          <bgColor rgb="FFFF0000"/>
        </patternFill>
      </fill>
    </dxf>
    <dxf>
      <fill>
        <patternFill>
          <bgColor rgb="FF00CC00"/>
        </patternFill>
      </fill>
    </dxf>
    <dxf>
      <fill>
        <patternFill>
          <bgColor rgb="FFFF9933"/>
        </patternFill>
      </fill>
    </dxf>
    <dxf>
      <fill>
        <patternFill>
          <bgColor theme="5"/>
        </patternFill>
      </fill>
    </dxf>
    <dxf>
      <fill>
        <patternFill>
          <bgColor rgb="FFFF0000"/>
        </patternFill>
      </fill>
    </dxf>
    <dxf>
      <fill>
        <patternFill>
          <bgColor rgb="FF00CC00"/>
        </patternFill>
      </fill>
    </dxf>
    <dxf>
      <fill>
        <patternFill>
          <bgColor rgb="FFFF9933"/>
        </patternFill>
      </fill>
    </dxf>
    <dxf>
      <fill>
        <patternFill>
          <bgColor theme="5"/>
        </patternFill>
      </fill>
    </dxf>
    <dxf>
      <fill>
        <patternFill>
          <bgColor rgb="FFFF0000"/>
        </patternFill>
      </fill>
    </dxf>
    <dxf>
      <font>
        <color rgb="FFFF0000"/>
      </font>
    </dxf>
    <dxf>
      <font>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b/>
        <i val="0"/>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b/>
        <i val="0"/>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b/>
        <i val="0"/>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b/>
        <i val="0"/>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b/>
        <i val="0"/>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b/>
        <i/>
        <condense val="0"/>
        <extend val="0"/>
        <color indexed="9"/>
      </font>
      <fill>
        <patternFill>
          <bgColor indexed="25"/>
        </patternFill>
      </fill>
    </dxf>
    <dxf>
      <font>
        <b/>
        <i/>
        <condense val="0"/>
        <extend val="0"/>
        <color indexed="9"/>
      </font>
      <fill>
        <patternFill>
          <bgColor indexed="10"/>
        </patternFill>
      </fill>
    </dxf>
    <dxf>
      <font>
        <b/>
        <i/>
        <condense val="0"/>
        <extend val="0"/>
        <color indexed="9"/>
      </font>
      <fill>
        <patternFill patternType="none">
          <bgColor indexed="65"/>
        </patternFill>
      </fill>
      <border>
        <left/>
        <right/>
        <top/>
        <bottom/>
      </border>
    </dxf>
    <dxf>
      <font>
        <b/>
        <i val="0"/>
        <condense val="0"/>
        <extend val="0"/>
        <color indexed="10"/>
      </font>
      <fill>
        <patternFill>
          <bgColor theme="9" tint="0.79998168889431442"/>
        </patternFill>
      </fill>
    </dxf>
    <dxf>
      <font>
        <condense val="0"/>
        <extend val="0"/>
        <color indexed="10"/>
      </font>
      <fill>
        <patternFill patternType="solid">
          <bgColor theme="9" tint="0.79998168889431442"/>
        </patternFill>
      </fill>
    </dxf>
    <dxf>
      <fill>
        <patternFill>
          <bgColor rgb="FF00B050"/>
        </patternFill>
      </fill>
    </dxf>
    <dxf>
      <fill>
        <patternFill>
          <bgColor rgb="FF993366"/>
        </patternFill>
      </fill>
    </dxf>
    <dxf>
      <fill>
        <patternFill>
          <bgColor rgb="FFFF0000"/>
        </patternFill>
      </fill>
    </dxf>
    <dxf>
      <fill>
        <patternFill patternType="none">
          <bgColor auto="1"/>
        </patternFill>
      </fill>
    </dxf>
    <dxf>
      <fill>
        <patternFill>
          <bgColor rgb="FF00B050"/>
        </patternFill>
      </fill>
    </dxf>
    <dxf>
      <fill>
        <patternFill>
          <bgColor rgb="FF993366"/>
        </patternFill>
      </fill>
    </dxf>
    <dxf>
      <fill>
        <patternFill>
          <bgColor rgb="FFFF0000"/>
        </patternFill>
      </fill>
    </dxf>
    <dxf>
      <fill>
        <patternFill patternType="none">
          <bgColor auto="1"/>
        </patternFill>
      </fill>
    </dxf>
    <dxf>
      <fill>
        <patternFill>
          <bgColor rgb="FF00B050"/>
        </patternFill>
      </fill>
    </dxf>
    <dxf>
      <fill>
        <patternFill>
          <bgColor rgb="FF993366"/>
        </patternFill>
      </fill>
    </dxf>
    <dxf>
      <fill>
        <patternFill>
          <bgColor rgb="FFFF0000"/>
        </patternFill>
      </fill>
    </dxf>
    <dxf>
      <fill>
        <patternFill patternType="none">
          <bgColor auto="1"/>
        </patternFill>
      </fill>
    </dxf>
    <dxf>
      <fill>
        <patternFill>
          <bgColor rgb="FF00B050"/>
        </patternFill>
      </fill>
    </dxf>
    <dxf>
      <fill>
        <patternFill>
          <bgColor rgb="FF993366"/>
        </patternFill>
      </fill>
    </dxf>
    <dxf>
      <fill>
        <patternFill>
          <bgColor rgb="FFFF0000"/>
        </patternFill>
      </fill>
    </dxf>
    <dxf>
      <fill>
        <patternFill patternType="none">
          <bgColor auto="1"/>
        </patternFill>
      </fill>
    </dxf>
    <dxf>
      <fill>
        <patternFill>
          <bgColor rgb="FF00B050"/>
        </patternFill>
      </fill>
    </dxf>
    <dxf>
      <fill>
        <patternFill>
          <bgColor rgb="FF993366"/>
        </patternFill>
      </fill>
    </dxf>
    <dxf>
      <fill>
        <patternFill>
          <bgColor rgb="FFFF0000"/>
        </patternFill>
      </fill>
    </dxf>
    <dxf>
      <fill>
        <patternFill patternType="none">
          <bgColor auto="1"/>
        </patternFill>
      </fill>
    </dxf>
    <dxf>
      <fill>
        <patternFill>
          <bgColor rgb="FF00B050"/>
        </patternFill>
      </fill>
    </dxf>
    <dxf>
      <fill>
        <patternFill>
          <bgColor rgb="FF993366"/>
        </patternFill>
      </fill>
    </dxf>
    <dxf>
      <fill>
        <patternFill>
          <bgColor rgb="FFFF0000"/>
        </patternFill>
      </fill>
    </dxf>
    <dxf>
      <fill>
        <patternFill patternType="none">
          <bgColor auto="1"/>
        </patternFill>
      </fill>
    </dxf>
    <dxf>
      <fill>
        <patternFill>
          <bgColor rgb="FF00B050"/>
        </patternFill>
      </fill>
    </dxf>
    <dxf>
      <fill>
        <patternFill>
          <bgColor rgb="FF993366"/>
        </patternFill>
      </fill>
    </dxf>
    <dxf>
      <fill>
        <patternFill>
          <bgColor rgb="FFFF0000"/>
        </patternFill>
      </fill>
    </dxf>
    <dxf>
      <fill>
        <patternFill patternType="none">
          <bgColor auto="1"/>
        </patternFill>
      </fill>
    </dxf>
    <dxf>
      <fill>
        <patternFill>
          <bgColor rgb="FF00B050"/>
        </patternFill>
      </fill>
    </dxf>
    <dxf>
      <fill>
        <patternFill>
          <bgColor rgb="FF993366"/>
        </patternFill>
      </fill>
    </dxf>
    <dxf>
      <fill>
        <patternFill>
          <bgColor rgb="FFFF0000"/>
        </patternFill>
      </fill>
    </dxf>
    <dxf>
      <fill>
        <patternFill patternType="none">
          <bgColor auto="1"/>
        </patternFill>
      </fill>
    </dxf>
    <dxf>
      <fill>
        <patternFill>
          <bgColor rgb="FF00B050"/>
        </patternFill>
      </fill>
    </dxf>
    <dxf>
      <fill>
        <patternFill>
          <bgColor rgb="FF993366"/>
        </patternFill>
      </fill>
    </dxf>
    <dxf>
      <fill>
        <patternFill>
          <bgColor rgb="FFFF0000"/>
        </patternFill>
      </fill>
    </dxf>
    <dxf>
      <fill>
        <patternFill patternType="none">
          <bgColor auto="1"/>
        </patternFill>
      </fill>
    </dxf>
    <dxf>
      <fill>
        <patternFill>
          <bgColor rgb="FF00B050"/>
        </patternFill>
      </fill>
    </dxf>
    <dxf>
      <fill>
        <patternFill>
          <bgColor rgb="FF993366"/>
        </patternFill>
      </fill>
    </dxf>
    <dxf>
      <fill>
        <patternFill>
          <bgColor rgb="FFFF0000"/>
        </patternFill>
      </fill>
    </dxf>
    <dxf>
      <fill>
        <patternFill patternType="none">
          <bgColor auto="1"/>
        </patternFill>
      </fill>
    </dxf>
    <dxf>
      <font>
        <color theme="0"/>
      </font>
      <fill>
        <patternFill patternType="none">
          <bgColor indexed="65"/>
        </patternFill>
      </fill>
    </dxf>
    <dxf>
      <font>
        <b/>
        <i val="0"/>
        <condense val="0"/>
        <extend val="0"/>
        <color indexed="10"/>
      </font>
      <fill>
        <patternFill>
          <bgColor theme="9" tint="0.79998168889431442"/>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patternType="none">
          <bgColor indexed="65"/>
        </patternFill>
      </fill>
    </dxf>
    <dxf>
      <font>
        <b/>
        <i val="0"/>
        <condense val="0"/>
        <extend val="0"/>
        <color indexed="10"/>
      </font>
      <fill>
        <patternFill>
          <bgColor theme="9" tint="0.79998168889431442"/>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patternType="none">
          <bgColor indexed="65"/>
        </patternFill>
      </fill>
    </dxf>
    <dxf>
      <font>
        <b/>
        <i val="0"/>
        <condense val="0"/>
        <extend val="0"/>
        <color indexed="10"/>
      </font>
      <fill>
        <patternFill>
          <bgColor theme="9" tint="0.79998168889431442"/>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patternType="none">
          <bgColor indexed="65"/>
        </patternFill>
      </fill>
    </dxf>
    <dxf>
      <font>
        <b/>
        <i val="0"/>
        <condense val="0"/>
        <extend val="0"/>
        <color indexed="10"/>
      </font>
      <fill>
        <patternFill>
          <bgColor theme="9" tint="0.79998168889431442"/>
        </patternFill>
      </fill>
      <border>
        <left style="thin">
          <color theme="0" tint="-0.499984740745262"/>
        </left>
        <right style="thin">
          <color theme="0" tint="-0.499984740745262"/>
        </right>
        <top style="thin">
          <color theme="0" tint="-0.499984740745262"/>
        </top>
        <bottom style="thin">
          <color theme="0" tint="-0.499984740745262"/>
        </bottom>
      </border>
    </dxf>
    <dxf>
      <font>
        <b/>
        <i val="0"/>
        <condense val="0"/>
        <extend val="0"/>
        <color indexed="10"/>
      </font>
      <fill>
        <patternFill>
          <bgColor theme="9" tint="0.79998168889431442"/>
        </patternFill>
      </fill>
    </dxf>
    <dxf>
      <font>
        <b/>
        <i val="0"/>
        <condense val="0"/>
        <extend val="0"/>
        <color indexed="9"/>
      </font>
      <fill>
        <patternFill patternType="none">
          <bgColor indexed="65"/>
        </patternFill>
      </fill>
    </dxf>
    <dxf>
      <font>
        <b/>
        <i val="0"/>
        <condense val="0"/>
        <extend val="0"/>
        <color indexed="10"/>
      </font>
      <fill>
        <patternFill>
          <bgColor theme="9" tint="0.79998168889431442"/>
        </patternFill>
      </fill>
    </dxf>
    <dxf>
      <font>
        <b/>
        <i val="0"/>
        <condense val="0"/>
        <extend val="0"/>
        <color indexed="9"/>
      </font>
      <fill>
        <patternFill patternType="none">
          <bgColor indexed="65"/>
        </patternFill>
      </fill>
    </dxf>
    <dxf>
      <font>
        <b/>
        <i val="0"/>
        <condense val="0"/>
        <extend val="0"/>
        <color indexed="10"/>
      </font>
      <fill>
        <patternFill>
          <bgColor theme="9" tint="0.79998168889431442"/>
        </patternFill>
      </fill>
    </dxf>
    <dxf>
      <font>
        <b/>
        <i val="0"/>
        <condense val="0"/>
        <extend val="0"/>
        <color indexed="9"/>
      </font>
      <fill>
        <patternFill patternType="none">
          <bgColor indexed="65"/>
        </patternFill>
      </fill>
    </dxf>
    <dxf>
      <font>
        <condense val="0"/>
        <extend val="0"/>
        <color indexed="9"/>
      </font>
      <fill>
        <patternFill>
          <bgColor indexed="60"/>
        </patternFill>
      </fill>
      <border>
        <left style="thin">
          <color theme="0" tint="-0.499984740745262"/>
        </left>
        <right style="thin">
          <color theme="0" tint="-0.499984740745262"/>
        </right>
        <top/>
        <bottom/>
      </border>
    </dxf>
    <dxf>
      <font>
        <b val="0"/>
        <i val="0"/>
        <condense val="0"/>
        <extend val="0"/>
        <color indexed="9"/>
      </font>
      <fill>
        <patternFill>
          <bgColor indexed="24"/>
        </patternFill>
      </fill>
      <border>
        <left style="thin">
          <color theme="0" tint="-0.499984740745262"/>
        </left>
        <right style="thin">
          <color theme="0" tint="-0.499984740745262"/>
        </right>
        <top style="thin">
          <color indexed="9"/>
        </top>
        <bottom/>
      </border>
    </dxf>
    <dxf>
      <font>
        <condense val="0"/>
        <extend val="0"/>
        <color indexed="9"/>
      </font>
      <fill>
        <patternFill>
          <bgColor indexed="60"/>
        </patternFill>
      </fill>
      <border>
        <left style="thin">
          <color theme="0" tint="-0.499984740745262"/>
        </left>
        <right style="thin">
          <color theme="0" tint="-0.499984740745262"/>
        </right>
        <top/>
        <bottom/>
      </border>
    </dxf>
    <dxf>
      <font>
        <b val="0"/>
        <i val="0"/>
        <condense val="0"/>
        <extend val="0"/>
        <color indexed="9"/>
      </font>
      <fill>
        <patternFill>
          <bgColor indexed="24"/>
        </patternFill>
      </fill>
      <border>
        <left style="thin">
          <color theme="0" tint="-0.499984740745262"/>
        </left>
        <right style="thin">
          <color theme="0" tint="-0.499984740745262"/>
        </right>
        <top style="thin">
          <color indexed="9"/>
        </top>
        <bottom/>
      </border>
    </dxf>
    <dxf>
      <font>
        <condense val="0"/>
        <extend val="0"/>
        <color indexed="9"/>
      </font>
      <fill>
        <patternFill>
          <bgColor indexed="60"/>
        </patternFill>
      </fill>
      <border>
        <left style="thin">
          <color theme="0" tint="-0.499984740745262"/>
        </left>
        <right style="thin">
          <color theme="0" tint="-0.499984740745262"/>
        </right>
        <top/>
        <bottom/>
      </border>
    </dxf>
    <dxf>
      <font>
        <b val="0"/>
        <i val="0"/>
        <condense val="0"/>
        <extend val="0"/>
        <color indexed="9"/>
      </font>
      <fill>
        <patternFill>
          <bgColor indexed="24"/>
        </patternFill>
      </fill>
      <border>
        <left style="thin">
          <color theme="0" tint="-0.499984740745262"/>
        </left>
        <right style="thin">
          <color theme="0" tint="-0.499984740745262"/>
        </right>
        <top style="thin">
          <color indexed="9"/>
        </top>
        <bottom/>
      </border>
    </dxf>
    <dxf>
      <font>
        <condense val="0"/>
        <extend val="0"/>
        <color indexed="9"/>
      </font>
      <fill>
        <patternFill>
          <bgColor indexed="60"/>
        </patternFill>
      </fill>
      <border>
        <left style="thin">
          <color theme="0" tint="-0.499984740745262"/>
        </left>
        <right style="thin">
          <color theme="0" tint="-0.499984740745262"/>
        </right>
        <top/>
        <bottom/>
      </border>
    </dxf>
    <dxf>
      <font>
        <b val="0"/>
        <i val="0"/>
        <condense val="0"/>
        <extend val="0"/>
        <color indexed="9"/>
      </font>
      <fill>
        <patternFill>
          <bgColor indexed="24"/>
        </patternFill>
      </fill>
      <border>
        <left style="thin">
          <color theme="0" tint="-0.499984740745262"/>
        </left>
        <right style="thin">
          <color theme="0" tint="-0.499984740745262"/>
        </right>
        <top style="thin">
          <color indexed="9"/>
        </top>
        <bottom/>
      </border>
    </dxf>
    <dxf>
      <font>
        <condense val="0"/>
        <extend val="0"/>
        <color indexed="9"/>
      </font>
      <fill>
        <patternFill>
          <bgColor indexed="60"/>
        </patternFill>
      </fill>
      <border>
        <left style="thin">
          <color theme="0" tint="-0.499984740745262"/>
        </left>
        <right style="thin">
          <color theme="0" tint="-0.499984740745262"/>
        </right>
        <top style="thin">
          <color theme="0" tint="-0.499984740745262"/>
        </top>
        <bottom style="thin">
          <color indexed="9"/>
        </bottom>
      </border>
    </dxf>
    <dxf>
      <font>
        <b val="0"/>
        <i val="0"/>
        <condense val="0"/>
        <extend val="0"/>
        <color indexed="9"/>
      </font>
      <fill>
        <patternFill>
          <bgColor indexed="24"/>
        </patternFill>
      </fill>
      <border>
        <left style="thin">
          <color theme="0" tint="-0.499984740745262"/>
        </left>
        <right style="thin">
          <color theme="0" tint="-0.499984740745262"/>
        </right>
        <top style="thin">
          <color theme="0" tint="-0.499984740745262"/>
        </top>
        <bottom style="thin">
          <color indexed="9"/>
        </bottom>
      </border>
    </dxf>
    <dxf>
      <font>
        <condense val="0"/>
        <extend val="0"/>
        <color indexed="9"/>
      </font>
      <fill>
        <patternFill>
          <bgColor indexed="60"/>
        </patternFill>
      </fill>
      <border>
        <left style="thin">
          <color theme="0" tint="-0.499984740745262"/>
        </left>
        <right style="thin">
          <color theme="0" tint="-0.499984740745262"/>
        </right>
        <top style="thin">
          <color theme="0" tint="-0.499984740745262"/>
        </top>
        <bottom style="thin">
          <color indexed="9"/>
        </bottom>
      </border>
    </dxf>
    <dxf>
      <font>
        <b val="0"/>
        <i val="0"/>
        <condense val="0"/>
        <extend val="0"/>
        <color indexed="9"/>
      </font>
      <fill>
        <patternFill>
          <bgColor indexed="24"/>
        </patternFill>
      </fill>
      <border>
        <left style="thin">
          <color theme="0" tint="-0.499984740745262"/>
        </left>
        <right style="thin">
          <color theme="0" tint="-0.499984740745262"/>
        </right>
        <top style="thin">
          <color theme="0" tint="-0.499984740745262"/>
        </top>
        <bottom style="thin">
          <color indexed="9"/>
        </bottom>
      </border>
    </dxf>
    <dxf>
      <font>
        <condense val="0"/>
        <extend val="0"/>
        <color indexed="9"/>
      </font>
      <fill>
        <patternFill>
          <bgColor indexed="60"/>
        </patternFill>
      </fill>
      <border>
        <left style="thin">
          <color theme="0" tint="-0.499984740745262"/>
        </left>
        <right style="thin">
          <color theme="0" tint="-0.499984740745262"/>
        </right>
        <top style="thin">
          <color theme="0" tint="-0.499984740745262"/>
        </top>
        <bottom style="thin">
          <color indexed="9"/>
        </bottom>
      </border>
    </dxf>
    <dxf>
      <font>
        <b val="0"/>
        <i val="0"/>
        <condense val="0"/>
        <extend val="0"/>
        <color indexed="9"/>
      </font>
      <fill>
        <patternFill>
          <bgColor indexed="24"/>
        </patternFill>
      </fill>
      <border>
        <left style="thin">
          <color theme="0" tint="-0.499984740745262"/>
        </left>
        <right style="thin">
          <color theme="0" tint="-0.499984740745262"/>
        </right>
        <top style="thin">
          <color theme="0" tint="-0.499984740745262"/>
        </top>
        <bottom style="thin">
          <color indexed="9"/>
        </bottom>
      </border>
    </dxf>
    <dxf>
      <font>
        <condense val="0"/>
        <extend val="0"/>
        <color indexed="9"/>
      </font>
      <fill>
        <patternFill>
          <bgColor indexed="60"/>
        </patternFill>
      </fill>
      <border>
        <left style="thin">
          <color theme="0" tint="-0.499984740745262"/>
        </left>
        <right style="thin">
          <color theme="0" tint="-0.499984740745262"/>
        </right>
        <top style="thin">
          <color theme="0" tint="-0.499984740745262"/>
        </top>
        <bottom style="thin">
          <color indexed="9"/>
        </bottom>
      </border>
    </dxf>
    <dxf>
      <font>
        <b val="0"/>
        <i val="0"/>
        <condense val="0"/>
        <extend val="0"/>
        <color indexed="9"/>
      </font>
      <fill>
        <patternFill>
          <bgColor indexed="24"/>
        </patternFill>
      </fill>
      <border>
        <left style="thin">
          <color theme="0" tint="-0.499984740745262"/>
        </left>
        <right style="thin">
          <color theme="0" tint="-0.499984740745262"/>
        </right>
        <top style="thin">
          <color theme="0" tint="-0.499984740745262"/>
        </top>
        <bottom style="thin">
          <color indexed="9"/>
        </bottom>
      </border>
    </dxf>
    <dxf>
      <fill>
        <patternFill>
          <bgColor rgb="FF9999FF"/>
        </patternFill>
      </fill>
      <border>
        <left style="thin">
          <color theme="0" tint="-0.499984740745262"/>
        </left>
        <right style="thin">
          <color theme="0" tint="-0.499984740745262"/>
        </right>
        <top style="thin">
          <color theme="0"/>
        </top>
        <bottom/>
        <vertical/>
        <horizontal/>
      </border>
    </dxf>
    <dxf>
      <fill>
        <patternFill>
          <bgColor rgb="FF9999FF"/>
        </patternFill>
      </fill>
      <border>
        <left style="thin">
          <color theme="0" tint="-0.499984740745262"/>
        </left>
        <right style="thin">
          <color theme="0" tint="-0.499984740745262"/>
        </right>
        <top style="thin">
          <color theme="0"/>
        </top>
        <bottom/>
        <vertical/>
        <horizontal/>
      </border>
    </dxf>
    <dxf>
      <fill>
        <patternFill>
          <bgColor rgb="FF9999FF"/>
        </patternFill>
      </fill>
      <border>
        <left style="thin">
          <color theme="0" tint="-0.499984740745262"/>
        </left>
        <right style="thin">
          <color theme="0" tint="-0.499984740745262"/>
        </right>
        <top style="thin">
          <color theme="0"/>
        </top>
        <bottom/>
        <vertical/>
        <horizontal/>
      </border>
    </dxf>
    <dxf>
      <fill>
        <patternFill>
          <bgColor rgb="FF9999FF"/>
        </patternFill>
      </fill>
      <border>
        <left style="thin">
          <color theme="0" tint="-0.499984740745262"/>
        </left>
        <right style="thin">
          <color theme="0" tint="-0.499984740745262"/>
        </right>
        <top style="thin">
          <color theme="0"/>
        </top>
        <bottom/>
        <vertical/>
        <horizontal/>
      </border>
    </dxf>
    <dxf>
      <font>
        <b val="0"/>
        <i val="0"/>
        <condense val="0"/>
        <extend val="0"/>
        <color indexed="9"/>
      </font>
      <fill>
        <patternFill>
          <bgColor indexed="24"/>
        </patternFill>
      </fill>
      <border>
        <left style="thin">
          <color theme="0" tint="-0.499984740745262"/>
        </left>
        <right style="thin">
          <color theme="0" tint="-0.499984740745262"/>
        </right>
        <top style="thin">
          <color theme="0" tint="-0.499984740745262"/>
        </top>
        <bottom style="thin">
          <color indexed="9"/>
        </bottom>
      </border>
    </dxf>
    <dxf>
      <font>
        <b val="0"/>
        <i val="0"/>
        <condense val="0"/>
        <extend val="0"/>
        <color indexed="9"/>
      </font>
      <fill>
        <patternFill>
          <bgColor indexed="24"/>
        </patternFill>
      </fill>
      <border>
        <left style="thin">
          <color theme="0" tint="-0.499984740745262"/>
        </left>
        <right style="thin">
          <color theme="0" tint="-0.499984740745262"/>
        </right>
        <top style="thin">
          <color theme="0" tint="-0.499984740745262"/>
        </top>
        <bottom style="thin">
          <color indexed="9"/>
        </bottom>
      </border>
    </dxf>
    <dxf>
      <font>
        <b val="0"/>
        <i val="0"/>
        <condense val="0"/>
        <extend val="0"/>
        <color indexed="9"/>
      </font>
      <fill>
        <patternFill>
          <bgColor indexed="24"/>
        </patternFill>
      </fill>
      <border>
        <left style="thin">
          <color theme="0" tint="-0.499984740745262"/>
        </left>
        <right style="thin">
          <color theme="0" tint="-0.499984740745262"/>
        </right>
        <top style="thin">
          <color theme="0" tint="-0.499984740745262"/>
        </top>
        <bottom style="thin">
          <color indexed="9"/>
        </bottom>
      </border>
    </dxf>
    <dxf>
      <font>
        <b val="0"/>
        <i val="0"/>
        <condense val="0"/>
        <extend val="0"/>
        <color indexed="9"/>
      </font>
      <fill>
        <patternFill>
          <bgColor indexed="24"/>
        </patternFill>
      </fill>
      <border>
        <left style="thin">
          <color theme="0" tint="-0.499984740745262"/>
        </left>
        <right style="thin">
          <color theme="0" tint="-0.499984740745262"/>
        </right>
        <top style="thin">
          <color theme="0" tint="-0.499984740745262"/>
        </top>
        <bottom style="thin">
          <color indexed="9"/>
        </bottom>
      </border>
    </dxf>
    <dxf>
      <font>
        <b/>
        <i val="0"/>
        <condense val="0"/>
        <extend val="0"/>
        <color indexed="10"/>
      </font>
    </dxf>
    <dxf>
      <font>
        <b/>
        <i val="0"/>
        <condense val="0"/>
        <extend val="0"/>
        <color indexed="10"/>
      </font>
    </dxf>
    <dxf>
      <font>
        <b/>
        <i/>
        <condense val="0"/>
        <extend val="0"/>
        <color indexed="10"/>
      </font>
      <fill>
        <patternFill>
          <bgColor theme="9" tint="0.79998168889431442"/>
        </patternFill>
      </fill>
    </dxf>
    <dxf>
      <font>
        <b/>
        <i/>
        <condense val="0"/>
        <extend val="0"/>
        <color indexed="9"/>
      </font>
      <fill>
        <patternFill patternType="solid">
          <bgColor indexed="10"/>
        </patternFill>
      </fill>
    </dxf>
    <dxf>
      <font>
        <b/>
        <i/>
        <condense val="0"/>
        <extend val="0"/>
        <color indexed="10"/>
      </font>
      <fill>
        <patternFill>
          <bgColor theme="9" tint="0.79998168889431442"/>
        </patternFill>
      </fill>
    </dxf>
    <dxf>
      <font>
        <b/>
        <i/>
        <condense val="0"/>
        <extend val="0"/>
        <color indexed="9"/>
      </font>
      <fill>
        <patternFill patternType="solid">
          <bgColor indexed="10"/>
        </patternFill>
      </fill>
    </dxf>
    <dxf>
      <font>
        <b/>
        <i/>
        <condense val="0"/>
        <extend val="0"/>
        <color indexed="10"/>
      </font>
      <fill>
        <patternFill>
          <bgColor theme="9" tint="0.79998168889431442"/>
        </patternFill>
      </fill>
    </dxf>
    <dxf>
      <font>
        <b/>
        <i/>
        <condense val="0"/>
        <extend val="0"/>
        <color indexed="9"/>
      </font>
      <fill>
        <patternFill patternType="solid">
          <bgColor indexed="10"/>
        </patternFill>
      </fill>
    </dxf>
    <dxf>
      <font>
        <b/>
        <i/>
        <condense val="0"/>
        <extend val="0"/>
        <color indexed="10"/>
      </font>
      <fill>
        <patternFill>
          <bgColor theme="9" tint="0.79998168889431442"/>
        </patternFill>
      </fill>
    </dxf>
    <dxf>
      <font>
        <b/>
        <i/>
        <condense val="0"/>
        <extend val="0"/>
        <color indexed="9"/>
      </font>
      <fill>
        <patternFill patternType="solid">
          <bgColor indexed="10"/>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color rgb="FFEAEAEA"/>
      </font>
    </dxf>
    <dxf>
      <font>
        <color rgb="FF0000CC"/>
      </font>
    </dxf>
    <dxf>
      <font>
        <color rgb="FFEAEAEA"/>
      </font>
    </dxf>
    <dxf>
      <font>
        <b/>
        <i val="0"/>
        <condense val="0"/>
        <extend val="0"/>
        <color indexed="10"/>
      </font>
      <fill>
        <patternFill>
          <bgColor theme="9" tint="0.79998168889431442"/>
        </patternFill>
      </fill>
    </dxf>
    <dxf>
      <font>
        <b/>
        <i val="0"/>
        <condense val="0"/>
        <extend val="0"/>
        <color indexed="9"/>
      </font>
      <fill>
        <patternFill>
          <bgColor indexed="10"/>
        </patternFill>
      </fill>
      <border>
        <left style="thin">
          <color indexed="9"/>
        </left>
        <right style="thin">
          <color indexed="9"/>
        </right>
        <top style="thin">
          <color indexed="9"/>
        </top>
        <bottom style="thin">
          <color indexed="9"/>
        </bottom>
      </border>
    </dxf>
    <dxf>
      <font>
        <color rgb="FFEAEAEA"/>
      </font>
    </dxf>
    <dxf>
      <font>
        <b/>
        <i val="0"/>
        <condense val="0"/>
        <extend val="0"/>
        <color indexed="10"/>
      </font>
      <fill>
        <patternFill>
          <bgColor theme="9" tint="0.79998168889431442"/>
        </patternFill>
      </fill>
    </dxf>
    <dxf>
      <font>
        <b/>
        <i val="0"/>
        <condense val="0"/>
        <extend val="0"/>
        <color indexed="9"/>
      </font>
      <fill>
        <patternFill>
          <bgColor indexed="10"/>
        </patternFill>
      </fill>
      <border>
        <left style="thin">
          <color indexed="9"/>
        </left>
        <right style="thin">
          <color indexed="9"/>
        </right>
        <top style="thin">
          <color indexed="9"/>
        </top>
        <bottom style="thin">
          <color indexed="9"/>
        </bottom>
      </border>
    </dxf>
    <dxf>
      <font>
        <color rgb="FFEAEAEA"/>
      </font>
    </dxf>
    <dxf>
      <font>
        <b/>
        <i val="0"/>
        <condense val="0"/>
        <extend val="0"/>
        <color indexed="10"/>
      </font>
      <fill>
        <patternFill>
          <bgColor theme="9" tint="0.79998168889431442"/>
        </patternFill>
      </fill>
    </dxf>
    <dxf>
      <font>
        <b/>
        <i val="0"/>
        <condense val="0"/>
        <extend val="0"/>
        <color indexed="9"/>
      </font>
      <fill>
        <patternFill>
          <bgColor indexed="10"/>
        </patternFill>
      </fill>
      <border>
        <left style="thin">
          <color indexed="9"/>
        </left>
        <right style="thin">
          <color indexed="9"/>
        </right>
        <top style="thin">
          <color indexed="9"/>
        </top>
        <bottom style="thin">
          <color indexed="9"/>
        </bottom>
      </border>
    </dxf>
    <dxf>
      <font>
        <color rgb="FFEAEAEA"/>
      </font>
    </dxf>
    <dxf>
      <font>
        <b/>
        <i val="0"/>
        <condense val="0"/>
        <extend val="0"/>
        <color indexed="10"/>
      </font>
      <fill>
        <patternFill>
          <bgColor theme="9" tint="0.79998168889431442"/>
        </patternFill>
      </fill>
    </dxf>
    <dxf>
      <font>
        <b/>
        <i val="0"/>
        <condense val="0"/>
        <extend val="0"/>
        <color indexed="9"/>
      </font>
      <fill>
        <patternFill>
          <bgColor indexed="10"/>
        </patternFill>
      </fill>
      <border>
        <left style="thin">
          <color indexed="9"/>
        </left>
        <right style="thin">
          <color indexed="9"/>
        </right>
        <top style="thin">
          <color indexed="9"/>
        </top>
        <bottom style="thin">
          <color indexed="9"/>
        </bottom>
      </border>
    </dxf>
    <dxf>
      <font>
        <b/>
        <i/>
        <condense val="0"/>
        <extend val="0"/>
        <color indexed="10"/>
      </font>
      <fill>
        <patternFill>
          <bgColor theme="9" tint="0.79998168889431442"/>
        </patternFill>
      </fill>
    </dxf>
    <dxf>
      <fill>
        <patternFill>
          <bgColor rgb="FFFF0000"/>
        </patternFill>
      </fill>
    </dxf>
    <dxf>
      <font>
        <b/>
        <i/>
        <condense val="0"/>
        <extend val="0"/>
        <color indexed="10"/>
      </font>
      <fill>
        <patternFill>
          <bgColor theme="9" tint="0.79998168889431442"/>
        </patternFill>
      </fill>
    </dxf>
    <dxf>
      <fill>
        <patternFill>
          <bgColor rgb="FFFF0000"/>
        </patternFill>
      </fill>
    </dxf>
    <dxf>
      <font>
        <b/>
        <i/>
        <condense val="0"/>
        <extend val="0"/>
        <color indexed="10"/>
      </font>
      <fill>
        <patternFill>
          <bgColor theme="9" tint="0.79998168889431442"/>
        </patternFill>
      </fill>
    </dxf>
    <dxf>
      <fill>
        <patternFill>
          <bgColor rgb="FFFF0000"/>
        </patternFill>
      </fill>
    </dxf>
    <dxf>
      <font>
        <b/>
        <i/>
        <condense val="0"/>
        <extend val="0"/>
        <color indexed="10"/>
      </font>
      <fill>
        <patternFill>
          <bgColor theme="9" tint="0.79998168889431442"/>
        </patternFill>
      </fill>
    </dxf>
    <dxf>
      <fill>
        <patternFill>
          <bgColor rgb="FFFF0000"/>
        </patternFill>
      </fill>
    </dxf>
    <dxf>
      <font>
        <color rgb="FFEAEAEA"/>
      </font>
    </dxf>
    <dxf>
      <font>
        <b/>
        <i val="0"/>
        <condense val="0"/>
        <extend val="0"/>
        <color indexed="10"/>
      </font>
      <fill>
        <patternFill>
          <bgColor theme="9" tint="0.79998168889431442"/>
        </patternFill>
      </fill>
    </dxf>
    <dxf>
      <font>
        <b/>
        <i val="0"/>
        <condense val="0"/>
        <extend val="0"/>
        <color indexed="9"/>
      </font>
      <fill>
        <patternFill>
          <bgColor indexed="10"/>
        </patternFill>
      </fill>
      <border>
        <left style="thin">
          <color indexed="9"/>
        </left>
        <right style="thin">
          <color indexed="9"/>
        </right>
        <top style="thin">
          <color indexed="9"/>
        </top>
        <bottom style="thin">
          <color indexed="9"/>
        </bottom>
      </border>
    </dxf>
    <dxf>
      <font>
        <color rgb="FFEAEAEA"/>
      </font>
    </dxf>
    <dxf>
      <font>
        <b/>
        <i val="0"/>
        <condense val="0"/>
        <extend val="0"/>
        <color indexed="10"/>
      </font>
      <fill>
        <patternFill>
          <bgColor theme="9" tint="0.79998168889431442"/>
        </patternFill>
      </fill>
    </dxf>
    <dxf>
      <font>
        <b/>
        <i val="0"/>
        <condense val="0"/>
        <extend val="0"/>
        <color indexed="9"/>
      </font>
      <fill>
        <patternFill>
          <bgColor indexed="10"/>
        </patternFill>
      </fill>
      <border>
        <left style="thin">
          <color indexed="9"/>
        </left>
        <right style="thin">
          <color indexed="9"/>
        </right>
        <top style="thin">
          <color indexed="9"/>
        </top>
        <bottom style="thin">
          <color indexed="9"/>
        </bottom>
      </border>
    </dxf>
    <dxf>
      <font>
        <color rgb="FFEAEAEA"/>
      </font>
    </dxf>
    <dxf>
      <font>
        <b/>
        <i val="0"/>
        <condense val="0"/>
        <extend val="0"/>
        <color indexed="10"/>
      </font>
      <fill>
        <patternFill>
          <bgColor theme="9" tint="0.79998168889431442"/>
        </patternFill>
      </fill>
    </dxf>
    <dxf>
      <font>
        <b/>
        <i val="0"/>
        <condense val="0"/>
        <extend val="0"/>
        <color indexed="9"/>
      </font>
      <fill>
        <patternFill>
          <bgColor indexed="10"/>
        </patternFill>
      </fill>
      <border>
        <left style="thin">
          <color indexed="9"/>
        </left>
        <right style="thin">
          <color indexed="9"/>
        </right>
        <top style="thin">
          <color indexed="9"/>
        </top>
        <bottom style="thin">
          <color indexed="9"/>
        </bottom>
      </border>
    </dxf>
    <dxf>
      <font>
        <color rgb="FFEAEAEA"/>
      </font>
    </dxf>
    <dxf>
      <font>
        <b/>
        <i val="0"/>
        <condense val="0"/>
        <extend val="0"/>
        <color indexed="10"/>
      </font>
      <fill>
        <patternFill>
          <bgColor theme="9" tint="0.79998168889431442"/>
        </patternFill>
      </fill>
    </dxf>
    <dxf>
      <font>
        <b/>
        <i val="0"/>
        <condense val="0"/>
        <extend val="0"/>
        <color indexed="9"/>
      </font>
      <fill>
        <patternFill>
          <bgColor indexed="10"/>
        </patternFill>
      </fill>
      <border>
        <left style="thin">
          <color indexed="9"/>
        </left>
        <right style="thin">
          <color indexed="9"/>
        </right>
        <top style="thin">
          <color indexed="9"/>
        </top>
        <bottom style="thin">
          <color indexed="9"/>
        </bottom>
      </border>
    </dxf>
    <dxf>
      <font>
        <color rgb="FFFFFFCC"/>
      </font>
    </dxf>
    <dxf>
      <font>
        <color rgb="FFFFFFCC"/>
      </font>
    </dxf>
    <dxf>
      <font>
        <color rgb="FFFFFFCC"/>
      </font>
    </dxf>
    <dxf>
      <fill>
        <patternFill>
          <bgColor rgb="FF993366"/>
        </patternFill>
      </fill>
    </dxf>
    <dxf>
      <fill>
        <patternFill>
          <bgColor rgb="FF993366"/>
        </patternFill>
      </fill>
    </dxf>
    <dxf>
      <font>
        <color rgb="FFFF0000"/>
      </font>
      <fill>
        <patternFill>
          <bgColor theme="9" tint="0.79998168889431442"/>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color theme="0" tint="-0.499984740745262"/>
      </font>
    </dxf>
    <dxf>
      <font>
        <color theme="0" tint="-0.499984740745262"/>
      </font>
    </dxf>
    <dxf>
      <font>
        <color theme="0" tint="-0.499984740745262"/>
      </font>
    </dxf>
    <dxf>
      <font>
        <color theme="0" tint="-0.499984740745262"/>
      </font>
    </dxf>
    <dxf>
      <font>
        <color theme="0" tint="-0.499984740745262"/>
      </font>
    </dxf>
    <dxf>
      <font>
        <b/>
        <i/>
        <condense val="0"/>
        <extend val="0"/>
        <color indexed="10"/>
      </font>
      <fill>
        <patternFill>
          <bgColor theme="9" tint="0.79998168889431442"/>
        </patternFill>
      </fill>
      <border>
        <left style="thin">
          <color indexed="10"/>
        </left>
        <right style="thin">
          <color indexed="10"/>
        </right>
        <top/>
        <bottom style="thin">
          <color indexed="10"/>
        </bottom>
      </border>
    </dxf>
    <dxf>
      <fill>
        <patternFill>
          <bgColor rgb="FF9999FF"/>
        </patternFill>
      </fill>
      <border>
        <left style="thin">
          <color theme="0" tint="-0.499984740745262"/>
        </left>
        <right style="thin">
          <color theme="0" tint="-0.499984740745262"/>
        </right>
        <top style="thin">
          <color theme="0"/>
        </top>
        <bottom/>
        <vertical/>
        <horizontal/>
      </border>
    </dxf>
    <dxf>
      <font>
        <b/>
        <i/>
        <condense val="0"/>
        <extend val="0"/>
        <color indexed="10"/>
      </font>
      <fill>
        <patternFill>
          <bgColor indexed="42"/>
        </patternFill>
      </fill>
    </dxf>
    <dxf>
      <font>
        <b/>
        <i/>
        <condense val="0"/>
        <extend val="0"/>
        <color indexed="10"/>
      </font>
      <fill>
        <patternFill>
          <bgColor indexed="42"/>
        </patternFill>
      </fill>
    </dxf>
    <dxf>
      <font>
        <b/>
        <i/>
        <condense val="0"/>
        <extend val="0"/>
        <color indexed="10"/>
      </font>
      <fill>
        <patternFill>
          <bgColor indexed="42"/>
        </patternFill>
      </fill>
    </dxf>
    <dxf>
      <font>
        <b/>
        <i/>
        <condense val="0"/>
        <extend val="0"/>
        <color indexed="9"/>
      </font>
      <fill>
        <patternFill>
          <bgColor indexed="10"/>
        </patternFill>
      </fill>
      <border>
        <left/>
        <right/>
        <top/>
        <bottom/>
      </border>
    </dxf>
    <dxf>
      <font>
        <color theme="0"/>
      </font>
      <fill>
        <patternFill>
          <bgColor theme="0"/>
        </patternFill>
      </fill>
    </dxf>
    <dxf>
      <font>
        <b/>
        <i/>
        <condense val="0"/>
        <extend val="0"/>
        <color indexed="9"/>
      </font>
      <fill>
        <patternFill>
          <bgColor indexed="10"/>
        </patternFill>
      </fill>
    </dxf>
    <dxf>
      <font>
        <b/>
        <i/>
        <condense val="0"/>
        <extend val="0"/>
        <color indexed="9"/>
      </font>
      <fill>
        <patternFill>
          <bgColor indexed="10"/>
        </patternFill>
      </fill>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ill>
        <patternFill>
          <bgColor theme="5" tint="0.39994506668294322"/>
        </patternFill>
      </fill>
    </dxf>
    <dxf>
      <fill>
        <patternFill>
          <bgColor rgb="FFFF0000"/>
        </patternFill>
      </fill>
    </dxf>
    <dxf>
      <font>
        <b/>
        <i/>
        <color theme="0"/>
      </font>
      <fill>
        <patternFill>
          <bgColor rgb="FFFF0000"/>
        </patternFill>
      </fill>
    </dxf>
    <dxf>
      <fill>
        <patternFill patternType="none">
          <bgColor indexed="65"/>
        </patternFill>
      </fill>
    </dxf>
    <dxf>
      <fill>
        <patternFill>
          <bgColor rgb="FF993366"/>
        </patternFill>
      </fill>
    </dxf>
    <dxf>
      <fill>
        <patternFill patternType="solid">
          <bgColor rgb="FF00B050"/>
        </patternFill>
      </fill>
    </dxf>
    <dxf>
      <fill>
        <patternFill>
          <bgColor rgb="FFFF0000"/>
        </patternFill>
      </fill>
    </dxf>
    <dxf>
      <fill>
        <patternFill patternType="none">
          <bgColor indexed="65"/>
        </patternFill>
      </fill>
    </dxf>
    <dxf>
      <fill>
        <patternFill>
          <bgColor rgb="FF993366"/>
        </patternFill>
      </fill>
    </dxf>
    <dxf>
      <fill>
        <patternFill patternType="solid">
          <bgColor rgb="FF00B050"/>
        </patternFill>
      </fill>
    </dxf>
    <dxf>
      <fill>
        <patternFill>
          <bgColor rgb="FFFF0000"/>
        </patternFill>
      </fill>
    </dxf>
    <dxf>
      <fill>
        <patternFill patternType="none">
          <bgColor indexed="65"/>
        </patternFill>
      </fill>
    </dxf>
    <dxf>
      <fill>
        <patternFill>
          <bgColor rgb="FF00B050"/>
        </patternFill>
      </fill>
    </dxf>
    <dxf>
      <fill>
        <patternFill>
          <bgColor rgb="FF993366"/>
        </patternFill>
      </fill>
    </dxf>
    <dxf>
      <fill>
        <patternFill>
          <bgColor rgb="FFFF0000"/>
        </patternFill>
      </fill>
    </dxf>
    <dxf>
      <fill>
        <patternFill patternType="none">
          <bgColor indexed="65"/>
        </patternFill>
      </fill>
    </dxf>
    <dxf>
      <fill>
        <patternFill>
          <bgColor rgb="FF00B050"/>
        </patternFill>
      </fill>
    </dxf>
    <dxf>
      <fill>
        <patternFill>
          <bgColor rgb="FF993366"/>
        </patternFill>
      </fill>
    </dxf>
    <dxf>
      <fill>
        <patternFill>
          <bgColor rgb="FFFF0000"/>
        </patternFill>
      </fill>
    </dxf>
    <dxf>
      <fill>
        <patternFill patternType="none">
          <bgColor indexed="65"/>
        </patternFill>
      </fill>
    </dxf>
    <dxf>
      <fill>
        <patternFill>
          <bgColor rgb="FF00B050"/>
        </patternFill>
      </fill>
    </dxf>
    <dxf>
      <fill>
        <patternFill>
          <bgColor rgb="FF993366"/>
        </patternFill>
      </fill>
    </dxf>
    <dxf>
      <fill>
        <patternFill>
          <bgColor rgb="FFFF0000"/>
        </patternFill>
      </fill>
    </dxf>
    <dxf>
      <fill>
        <patternFill patternType="none">
          <bgColor indexed="65"/>
        </patternFill>
      </fill>
    </dxf>
    <dxf>
      <fill>
        <patternFill>
          <bgColor rgb="FF00B050"/>
        </patternFill>
      </fill>
    </dxf>
    <dxf>
      <fill>
        <patternFill>
          <bgColor rgb="FF993366"/>
        </patternFill>
      </fill>
    </dxf>
    <dxf>
      <fill>
        <patternFill>
          <bgColor rgb="FFFF0000"/>
        </patternFill>
      </fill>
    </dxf>
    <dxf>
      <fill>
        <patternFill patternType="none">
          <bgColor indexed="65"/>
        </patternFill>
      </fill>
    </dxf>
    <dxf>
      <fill>
        <patternFill>
          <bgColor rgb="FF00B050"/>
        </patternFill>
      </fill>
    </dxf>
    <dxf>
      <fill>
        <patternFill>
          <bgColor rgb="FF993366"/>
        </patternFill>
      </fill>
    </dxf>
    <dxf>
      <fill>
        <patternFill>
          <bgColor rgb="FFFF0000"/>
        </patternFill>
      </fill>
    </dxf>
    <dxf>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bgColor rgb="FF00B050"/>
        </patternFill>
      </fill>
    </dxf>
    <dxf>
      <fill>
        <patternFill>
          <bgColor theme="9" tint="-0.24994659260841701"/>
        </patternFill>
      </fill>
    </dxf>
    <dxf>
      <fill>
        <patternFill>
          <bgColor rgb="FF00B050"/>
        </patternFill>
      </fill>
    </dxf>
    <dxf>
      <fill>
        <patternFill>
          <bgColor theme="9" tint="-0.24994659260841701"/>
        </patternFill>
      </fill>
    </dxf>
    <dxf>
      <font>
        <b/>
        <i/>
        <condense val="0"/>
        <extend val="0"/>
        <color indexed="9"/>
      </font>
      <fill>
        <patternFill patternType="none">
          <bgColor indexed="65"/>
        </patternFill>
      </fill>
    </dxf>
    <dxf>
      <fill>
        <patternFill>
          <bgColor rgb="FF00B050"/>
        </patternFill>
      </fill>
    </dxf>
    <dxf>
      <fill>
        <patternFill>
          <bgColor theme="9" tint="-0.24994659260841701"/>
        </patternFill>
      </fill>
    </dxf>
    <dxf>
      <font>
        <b/>
        <i/>
        <condense val="0"/>
        <extend val="0"/>
        <color indexed="9"/>
      </font>
      <fill>
        <patternFill patternType="none">
          <bgColor indexed="65"/>
        </patternFill>
      </fill>
    </dxf>
    <dxf>
      <fill>
        <patternFill>
          <bgColor rgb="FF00B050"/>
        </patternFill>
      </fill>
    </dxf>
    <dxf>
      <fill>
        <patternFill>
          <bgColor theme="9" tint="-0.24994659260841701"/>
        </patternFill>
      </fill>
    </dxf>
    <dxf>
      <font>
        <b/>
        <i/>
        <condense val="0"/>
        <extend val="0"/>
        <color indexed="9"/>
      </font>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bgColor rgb="FF00B050"/>
        </patternFill>
      </fill>
    </dxf>
    <dxf>
      <fill>
        <patternFill>
          <bgColor theme="9" tint="-0.24994659260841701"/>
        </patternFill>
      </fill>
    </dxf>
    <dxf>
      <fill>
        <patternFill>
          <bgColor rgb="FF00B050"/>
        </patternFill>
      </fill>
    </dxf>
    <dxf>
      <fill>
        <patternFill>
          <bgColor theme="9" tint="-0.24994659260841701"/>
        </patternFill>
      </fill>
    </dxf>
    <dxf>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bgColor rgb="FF00B050"/>
        </patternFill>
      </fill>
    </dxf>
    <dxf>
      <fill>
        <patternFill>
          <bgColor theme="9" tint="-0.24994659260841701"/>
        </patternFill>
      </fill>
    </dxf>
    <dxf>
      <fill>
        <patternFill patternType="none">
          <bgColor indexed="65"/>
        </patternFill>
      </fill>
    </dxf>
    <dxf>
      <fill>
        <patternFill>
          <bgColor rgb="FFFF0000"/>
        </patternFill>
      </fill>
    </dxf>
    <dxf>
      <font>
        <b/>
        <i val="0"/>
        <condense val="0"/>
        <extend val="0"/>
        <color indexed="10"/>
      </font>
      <fill>
        <patternFill>
          <bgColor indexed="42"/>
        </patternFill>
      </fill>
      <border>
        <left style="thin">
          <color indexed="10"/>
        </left>
        <right style="thin">
          <color indexed="10"/>
        </right>
        <top style="thin">
          <color indexed="10"/>
        </top>
        <bottom style="thin">
          <color indexed="10"/>
        </bottom>
      </border>
    </dxf>
    <dxf>
      <fill>
        <patternFill>
          <bgColor rgb="FFFF0000"/>
        </patternFill>
      </fill>
    </dxf>
    <dxf>
      <font>
        <b/>
        <i val="0"/>
        <condense val="0"/>
        <extend val="0"/>
        <color indexed="10"/>
      </font>
      <fill>
        <patternFill>
          <bgColor indexed="42"/>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42"/>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42"/>
        </patternFill>
      </fill>
      <border>
        <left style="thin">
          <color indexed="10"/>
        </left>
        <right style="thin">
          <color indexed="10"/>
        </right>
        <top style="thin">
          <color indexed="10"/>
        </top>
        <bottom style="thin">
          <color indexed="10"/>
        </bottom>
      </border>
    </dxf>
    <dxf>
      <fill>
        <patternFill>
          <bgColor rgb="FFFF0000"/>
        </patternFill>
      </fill>
    </dxf>
    <dxf>
      <font>
        <color rgb="FFEAEAEA"/>
      </font>
    </dxf>
    <dxf>
      <font>
        <b/>
        <i val="0"/>
        <color rgb="FFFF0000"/>
      </font>
      <fill>
        <patternFill>
          <bgColor theme="9" tint="0.79998168889431442"/>
        </patternFill>
      </fill>
    </dxf>
    <dxf>
      <fill>
        <patternFill>
          <bgColor rgb="FFFF0000"/>
        </patternFill>
      </fill>
    </dxf>
    <dxf>
      <font>
        <color rgb="FF666699"/>
      </font>
      <fill>
        <patternFill patternType="none">
          <bgColor auto="1"/>
        </patternFill>
      </fill>
    </dxf>
    <dxf>
      <font>
        <color theme="0"/>
      </font>
      <fill>
        <patternFill patternType="solid">
          <bgColor rgb="FF993366"/>
        </patternFill>
      </fill>
    </dxf>
    <dxf>
      <fill>
        <patternFill>
          <bgColor rgb="FFFF0000"/>
        </patternFill>
      </fill>
    </dxf>
    <dxf>
      <font>
        <color theme="0" tint="-0.499984740745262"/>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EAEAEA"/>
      </font>
    </dxf>
    <dxf>
      <font>
        <b/>
        <i val="0"/>
        <condense val="0"/>
        <extend val="0"/>
        <color indexed="10"/>
      </font>
      <fill>
        <patternFill>
          <bgColor theme="9" tint="0.79998168889431442"/>
        </patternFill>
      </fill>
    </dxf>
    <dxf>
      <font>
        <b/>
        <i val="0"/>
        <condense val="0"/>
        <extend val="0"/>
        <color indexed="9"/>
      </font>
      <fill>
        <patternFill>
          <bgColor indexed="10"/>
        </patternFill>
      </fill>
      <border>
        <left style="thin">
          <color indexed="9"/>
        </left>
        <right style="thin">
          <color indexed="9"/>
        </right>
        <top style="thin">
          <color indexed="9"/>
        </top>
        <bottom style="thin">
          <color indexed="9"/>
        </bottom>
      </border>
    </dxf>
    <dxf>
      <font>
        <b val="0"/>
        <i val="0"/>
        <condense val="0"/>
        <extend val="0"/>
        <color indexed="9"/>
      </font>
      <fill>
        <patternFill>
          <bgColor indexed="24"/>
        </patternFill>
      </fill>
      <border>
        <left style="thin">
          <color theme="0" tint="-0.499984740745262"/>
        </left>
        <right style="thin">
          <color theme="0" tint="-0.499984740745262"/>
        </right>
        <top style="thin">
          <color theme="0" tint="-0.499984740745262"/>
        </top>
        <bottom style="thin">
          <color indexed="9"/>
        </bottom>
      </border>
    </dxf>
    <dxf>
      <font>
        <condense val="0"/>
        <extend val="0"/>
        <color indexed="9"/>
      </font>
      <fill>
        <patternFill>
          <bgColor indexed="60"/>
        </patternFill>
      </fill>
      <border>
        <left style="thin">
          <color theme="0" tint="-0.499984740745262"/>
        </left>
        <right style="thin">
          <color theme="0" tint="-0.499984740745262"/>
        </right>
        <top/>
        <bottom/>
      </border>
    </dxf>
    <dxf>
      <font>
        <b val="0"/>
        <i val="0"/>
        <condense val="0"/>
        <extend val="0"/>
        <color indexed="9"/>
      </font>
      <fill>
        <patternFill>
          <bgColor indexed="24"/>
        </patternFill>
      </fill>
      <border>
        <left style="thin">
          <color theme="0" tint="-0.499984740745262"/>
        </left>
        <right style="thin">
          <color theme="0" tint="-0.499984740745262"/>
        </right>
        <top style="thin">
          <color indexed="9"/>
        </top>
        <bottom/>
      </border>
    </dxf>
    <dxf>
      <font>
        <condense val="0"/>
        <extend val="0"/>
        <color indexed="9"/>
      </font>
      <fill>
        <patternFill>
          <bgColor indexed="60"/>
        </patternFill>
      </fill>
      <border>
        <left style="thin">
          <color theme="0" tint="-0.499984740745262"/>
        </left>
        <right style="thin">
          <color theme="0" tint="-0.499984740745262"/>
        </right>
        <top style="thin">
          <color theme="0" tint="-0.499984740745262"/>
        </top>
        <bottom style="thin">
          <color indexed="9"/>
        </bottom>
      </border>
    </dxf>
    <dxf>
      <font>
        <b val="0"/>
        <i val="0"/>
        <condense val="0"/>
        <extend val="0"/>
        <color indexed="9"/>
      </font>
      <fill>
        <patternFill>
          <bgColor indexed="24"/>
        </patternFill>
      </fill>
      <border>
        <left style="thin">
          <color theme="0" tint="-0.499984740745262"/>
        </left>
        <right style="thin">
          <color theme="0" tint="-0.499984740745262"/>
        </right>
        <top style="thin">
          <color theme="0" tint="-0.499984740745262"/>
        </top>
        <bottom style="thin">
          <color indexed="9"/>
        </bottom>
      </border>
    </dxf>
    <dxf>
      <font>
        <b/>
        <i/>
        <condense val="0"/>
        <extend val="0"/>
        <color indexed="9"/>
      </font>
      <fill>
        <patternFill>
          <bgColor indexed="10"/>
        </patternFill>
      </fill>
    </dxf>
    <dxf>
      <font>
        <condense val="0"/>
        <extend val="0"/>
        <color indexed="10"/>
      </font>
      <fill>
        <patternFill patternType="solid">
          <bgColor indexed="42"/>
        </patternFill>
      </fill>
    </dxf>
    <dxf>
      <font>
        <b/>
        <i/>
        <condense val="0"/>
        <extend val="0"/>
        <color indexed="9"/>
      </font>
      <fill>
        <patternFill>
          <bgColor indexed="10"/>
        </patternFill>
      </fill>
    </dxf>
    <dxf>
      <font>
        <condense val="0"/>
        <extend val="0"/>
        <color indexed="10"/>
      </font>
      <fill>
        <patternFill patternType="solid">
          <bgColor indexed="42"/>
        </patternFill>
      </fill>
    </dxf>
    <dxf>
      <font>
        <b/>
        <i/>
        <condense val="0"/>
        <extend val="0"/>
        <color indexed="9"/>
      </font>
      <fill>
        <patternFill>
          <bgColor indexed="10"/>
        </patternFill>
      </fill>
    </dxf>
    <dxf>
      <font>
        <condense val="0"/>
        <extend val="0"/>
        <color indexed="10"/>
      </font>
      <fill>
        <patternFill patternType="solid">
          <bgColor indexed="42"/>
        </patternFill>
      </fill>
    </dxf>
    <dxf>
      <font>
        <b/>
        <i/>
        <condense val="0"/>
        <extend val="0"/>
        <color indexed="9"/>
      </font>
      <fill>
        <patternFill>
          <bgColor indexed="10"/>
        </patternFill>
      </fill>
    </dxf>
    <dxf>
      <font>
        <condense val="0"/>
        <extend val="0"/>
        <color indexed="10"/>
      </font>
      <fill>
        <patternFill patternType="solid">
          <bgColor indexed="42"/>
        </patternFill>
      </fill>
    </dxf>
    <dxf>
      <font>
        <b/>
        <i/>
        <condense val="0"/>
        <extend val="0"/>
        <color indexed="9"/>
      </font>
      <fill>
        <patternFill>
          <bgColor indexed="10"/>
        </patternFill>
      </fill>
    </dxf>
    <dxf>
      <font>
        <condense val="0"/>
        <extend val="0"/>
        <color indexed="10"/>
      </font>
      <fill>
        <patternFill patternType="solid">
          <bgColor indexed="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9"/>
      </font>
      <fill>
        <patternFill>
          <bgColor indexed="25"/>
        </patternFill>
      </fill>
    </dxf>
    <dxf>
      <font>
        <b/>
        <i/>
        <condense val="0"/>
        <extend val="0"/>
        <color indexed="9"/>
      </font>
      <fill>
        <patternFill>
          <bgColor indexed="10"/>
        </patternFill>
      </fill>
    </dxf>
    <dxf>
      <font>
        <b/>
        <i/>
        <condense val="0"/>
        <extend val="0"/>
        <color indexed="9"/>
      </font>
      <fill>
        <patternFill patternType="none">
          <bgColor indexed="65"/>
        </patternFill>
      </fill>
      <border>
        <left/>
        <right/>
        <top/>
        <bottom/>
      </border>
    </dxf>
    <dxf>
      <font>
        <b/>
        <i/>
        <condense val="0"/>
        <extend val="0"/>
        <color indexed="9"/>
      </font>
      <fill>
        <patternFill>
          <bgColor indexed="25"/>
        </patternFill>
      </fill>
    </dxf>
    <dxf>
      <font>
        <b/>
        <i/>
        <condense val="0"/>
        <extend val="0"/>
        <color indexed="9"/>
      </font>
      <fill>
        <patternFill>
          <bgColor indexed="10"/>
        </patternFill>
      </fill>
    </dxf>
    <dxf>
      <font>
        <b/>
        <i/>
        <condense val="0"/>
        <extend val="0"/>
        <color indexed="9"/>
      </font>
      <fill>
        <patternFill patternType="none">
          <bgColor indexed="65"/>
        </patternFill>
      </fill>
      <border>
        <left/>
        <right/>
        <top/>
        <bottom/>
      </border>
    </dxf>
    <dxf>
      <font>
        <b/>
        <i/>
        <condense val="0"/>
        <extend val="0"/>
        <color indexed="9"/>
      </font>
      <fill>
        <patternFill>
          <bgColor indexed="25"/>
        </patternFill>
      </fill>
    </dxf>
    <dxf>
      <font>
        <b/>
        <i/>
        <condense val="0"/>
        <extend val="0"/>
        <color indexed="9"/>
      </font>
      <fill>
        <patternFill>
          <bgColor indexed="10"/>
        </patternFill>
      </fill>
    </dxf>
    <dxf>
      <font>
        <b/>
        <i/>
        <condense val="0"/>
        <extend val="0"/>
        <color indexed="9"/>
      </font>
      <fill>
        <patternFill patternType="none">
          <bgColor indexed="65"/>
        </patternFill>
      </fill>
      <border>
        <left/>
        <right/>
        <top/>
        <bottom/>
      </border>
    </dxf>
    <dxf>
      <font>
        <b/>
        <i/>
        <condense val="0"/>
        <extend val="0"/>
        <color indexed="9"/>
      </font>
      <fill>
        <patternFill>
          <bgColor indexed="25"/>
        </patternFill>
      </fill>
    </dxf>
    <dxf>
      <font>
        <b/>
        <i/>
        <condense val="0"/>
        <extend val="0"/>
        <color indexed="9"/>
      </font>
      <fill>
        <patternFill>
          <bgColor indexed="10"/>
        </patternFill>
      </fill>
    </dxf>
    <dxf>
      <font>
        <b/>
        <i/>
        <condense val="0"/>
        <extend val="0"/>
        <color indexed="9"/>
      </font>
      <fill>
        <patternFill patternType="none">
          <bgColor indexed="65"/>
        </patternFill>
      </fill>
      <border>
        <left/>
        <right/>
        <top/>
        <bottom/>
      </border>
    </dxf>
    <dxf>
      <font>
        <condense val="0"/>
        <extend val="0"/>
        <color indexed="10"/>
      </font>
      <fill>
        <patternFill patternType="solid">
          <bgColor theme="9" tint="0.79998168889431442"/>
        </patternFill>
      </fill>
    </dxf>
    <dxf>
      <font>
        <condense val="0"/>
        <extend val="0"/>
        <color indexed="9"/>
      </font>
      <fill>
        <patternFill patternType="none">
          <bgColor indexed="65"/>
        </patternFill>
      </fill>
      <border>
        <left/>
        <right/>
        <top/>
        <bottom/>
      </border>
    </dxf>
    <dxf>
      <font>
        <b/>
        <i/>
        <condense val="0"/>
        <extend val="0"/>
        <color indexed="9"/>
      </font>
      <fill>
        <patternFill>
          <bgColor indexed="52"/>
        </patternFill>
      </fill>
    </dxf>
    <dxf>
      <font>
        <b/>
        <i/>
        <condense val="0"/>
        <extend val="0"/>
        <color indexed="9"/>
      </font>
      <fill>
        <patternFill>
          <bgColor indexed="10"/>
        </patternFill>
      </fill>
    </dxf>
    <dxf>
      <font>
        <condense val="0"/>
        <extend val="0"/>
        <color indexed="9"/>
      </font>
      <fill>
        <patternFill patternType="none">
          <bgColor indexed="65"/>
        </patternFill>
      </fill>
      <border>
        <left/>
        <right/>
        <top/>
        <bottom/>
      </border>
    </dxf>
    <dxf>
      <font>
        <b/>
        <i/>
        <condense val="0"/>
        <extend val="0"/>
        <color indexed="9"/>
      </font>
      <fill>
        <patternFill>
          <bgColor indexed="52"/>
        </patternFill>
      </fill>
    </dxf>
    <dxf>
      <font>
        <b/>
        <i/>
        <condense val="0"/>
        <extend val="0"/>
        <color indexed="9"/>
      </font>
      <fill>
        <patternFill>
          <bgColor indexed="10"/>
        </patternFill>
      </fill>
    </dxf>
    <dxf>
      <font>
        <condense val="0"/>
        <extend val="0"/>
        <color indexed="9"/>
      </font>
      <fill>
        <patternFill patternType="none">
          <bgColor indexed="65"/>
        </patternFill>
      </fill>
      <border>
        <left/>
        <right/>
        <top/>
        <bottom/>
      </border>
    </dxf>
    <dxf>
      <font>
        <b/>
        <i/>
        <condense val="0"/>
        <extend val="0"/>
        <color indexed="9"/>
      </font>
      <fill>
        <patternFill>
          <bgColor indexed="52"/>
        </patternFill>
      </fill>
    </dxf>
    <dxf>
      <font>
        <b/>
        <i/>
        <condense val="0"/>
        <extend val="0"/>
        <color indexed="9"/>
      </font>
      <fill>
        <patternFill>
          <bgColor indexed="10"/>
        </patternFill>
      </fill>
    </dxf>
    <dxf>
      <font>
        <condense val="0"/>
        <extend val="0"/>
        <color indexed="9"/>
      </font>
      <fill>
        <patternFill patternType="none">
          <bgColor indexed="65"/>
        </patternFill>
      </fill>
      <border>
        <left/>
        <right/>
        <top/>
        <bottom/>
      </border>
    </dxf>
    <dxf>
      <font>
        <b/>
        <i/>
        <condense val="0"/>
        <extend val="0"/>
        <color indexed="9"/>
      </font>
      <fill>
        <patternFill>
          <bgColor indexed="52"/>
        </patternFill>
      </fill>
    </dxf>
    <dxf>
      <font>
        <b/>
        <i/>
        <condense val="0"/>
        <extend val="0"/>
        <color indexed="9"/>
      </font>
      <fill>
        <patternFill>
          <bgColor indexed="10"/>
        </patternFill>
      </fill>
    </dxf>
    <dxf>
      <font>
        <condense val="0"/>
        <extend val="0"/>
        <color indexed="9"/>
      </font>
      <fill>
        <patternFill patternType="none">
          <bgColor indexed="65"/>
        </patternFill>
      </fill>
      <border>
        <left/>
        <right/>
        <top/>
        <bottom/>
      </border>
    </dxf>
    <dxf>
      <font>
        <b/>
        <i/>
        <condense val="0"/>
        <extend val="0"/>
        <color indexed="9"/>
      </font>
      <fill>
        <patternFill>
          <bgColor indexed="52"/>
        </patternFill>
      </fill>
    </dxf>
    <dxf>
      <font>
        <b/>
        <i/>
        <condense val="0"/>
        <extend val="0"/>
        <color indexed="9"/>
      </font>
      <fill>
        <patternFill>
          <bgColor indexed="10"/>
        </patternFill>
      </fill>
    </dxf>
    <dxf>
      <font>
        <b/>
        <i val="0"/>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b/>
        <i val="0"/>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b/>
        <i val="0"/>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b/>
        <i val="0"/>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b/>
        <i val="0"/>
        <condense val="0"/>
        <extend val="0"/>
        <color indexed="9"/>
      </font>
      <fill>
        <patternFill patternType="none">
          <bgColor indexed="65"/>
        </patternFill>
      </fill>
      <border>
        <left/>
        <right/>
        <top/>
        <bottom/>
      </border>
    </dxf>
    <dxf>
      <font>
        <b/>
        <i val="0"/>
        <condense val="0"/>
        <extend val="0"/>
        <color indexed="9"/>
      </font>
      <fill>
        <patternFill>
          <bgColor indexed="52"/>
        </patternFill>
      </fill>
    </dxf>
    <dxf>
      <font>
        <b/>
        <i val="0"/>
        <condense val="0"/>
        <extend val="0"/>
        <color indexed="9"/>
      </font>
      <fill>
        <patternFill>
          <bgColor indexed="10"/>
        </patternFill>
      </fill>
    </dxf>
    <dxf>
      <font>
        <condense val="0"/>
        <extend val="0"/>
        <color indexed="32"/>
      </font>
      <fill>
        <patternFill>
          <bgColor indexed="13"/>
        </patternFill>
      </fill>
    </dxf>
    <dxf>
      <font>
        <b/>
        <i val="0"/>
        <condense val="0"/>
        <extend val="0"/>
        <color indexed="10"/>
      </font>
      <fill>
        <patternFill>
          <bgColor theme="9" tint="0.79998168889431442"/>
        </patternFill>
      </fill>
    </dxf>
    <dxf>
      <font>
        <condense val="0"/>
        <extend val="0"/>
        <color indexed="9"/>
      </font>
    </dxf>
    <dxf>
      <font>
        <b/>
        <i/>
        <condense val="0"/>
        <extend val="0"/>
        <color indexed="10"/>
      </font>
      <fill>
        <patternFill>
          <bgColor theme="9" tint="0.79998168889431442"/>
        </patternFill>
      </fill>
    </dxf>
    <dxf>
      <font>
        <b/>
        <i/>
        <condense val="0"/>
        <extend val="0"/>
        <color indexed="9"/>
      </font>
      <fill>
        <patternFill patternType="solid">
          <bgColor indexed="10"/>
        </patternFill>
      </fill>
    </dxf>
    <dxf>
      <font>
        <b/>
        <i/>
        <condense val="0"/>
        <extend val="0"/>
        <color indexed="9"/>
      </font>
      <fill>
        <patternFill>
          <bgColor indexed="10"/>
        </patternFill>
      </fill>
    </dxf>
    <dxf>
      <font>
        <b/>
        <i/>
        <condense val="0"/>
        <extend val="0"/>
        <color indexed="9"/>
      </font>
      <fill>
        <patternFill>
          <bgColor indexed="10"/>
        </patternFill>
      </fill>
    </dxf>
    <dxf>
      <font>
        <b/>
        <i/>
        <condense val="0"/>
        <extend val="0"/>
        <color indexed="9"/>
      </font>
      <fill>
        <patternFill>
          <bgColor indexed="10"/>
        </patternFill>
      </fill>
    </dxf>
    <dxf>
      <font>
        <b/>
        <i/>
        <condense val="0"/>
        <extend val="0"/>
        <color indexed="9"/>
      </font>
      <fill>
        <patternFill>
          <bgColor indexed="10"/>
        </patternFill>
      </fill>
    </dxf>
    <dxf>
      <font>
        <b/>
        <i/>
        <condense val="0"/>
        <extend val="0"/>
        <color indexed="9"/>
      </font>
      <fill>
        <patternFill>
          <bgColor indexed="10"/>
        </patternFill>
      </fill>
    </dxf>
    <dxf>
      <font>
        <b/>
        <i/>
        <condense val="0"/>
        <extend val="0"/>
        <color indexed="9"/>
      </font>
      <fill>
        <patternFill>
          <bgColor indexed="10"/>
        </patternFill>
      </fill>
    </dxf>
    <dxf>
      <font>
        <b/>
        <i/>
        <condense val="0"/>
        <extend val="0"/>
        <color indexed="9"/>
      </font>
      <fill>
        <patternFill>
          <bgColor indexed="10"/>
        </patternFill>
      </fill>
    </dxf>
    <dxf>
      <font>
        <b/>
        <i/>
        <condense val="0"/>
        <extend val="0"/>
        <color indexed="9"/>
      </font>
      <fill>
        <patternFill>
          <bgColor indexed="10"/>
        </patternFill>
      </fill>
    </dxf>
    <dxf>
      <font>
        <b val="0"/>
        <i val="0"/>
        <condense val="0"/>
        <extend val="0"/>
        <color indexed="9"/>
      </font>
      <fill>
        <patternFill>
          <bgColor indexed="24"/>
        </patternFill>
      </fill>
      <border>
        <left style="thin">
          <color theme="0" tint="-0.499984740745262"/>
        </left>
        <right style="thin">
          <color theme="0" tint="-0.499984740745262"/>
        </right>
        <top/>
        <bottom style="thin">
          <color theme="0" tint="-0.499984740745262"/>
        </bottom>
      </border>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ont>
        <b/>
        <i/>
        <condense val="0"/>
        <extend val="0"/>
        <color indexed="10"/>
      </font>
      <fill>
        <patternFill>
          <bgColor theme="9" tint="0.79998168889431442"/>
        </patternFill>
      </fill>
    </dxf>
    <dxf>
      <fill>
        <patternFill>
          <bgColor rgb="FFFF0000"/>
        </patternFill>
      </fill>
    </dxf>
    <dxf>
      <font>
        <b/>
        <i/>
        <condense val="0"/>
        <extend val="0"/>
        <color indexed="9"/>
      </font>
      <fill>
        <patternFill>
          <bgColor indexed="10"/>
        </patternFill>
      </fill>
      <border>
        <left/>
        <right/>
        <top/>
        <bottom/>
      </border>
    </dxf>
    <dxf>
      <font>
        <b/>
        <i/>
        <condense val="0"/>
        <extend val="0"/>
        <color indexed="9"/>
      </font>
      <fill>
        <patternFill>
          <bgColor indexed="10"/>
        </patternFill>
      </fill>
      <border>
        <left/>
        <right/>
        <top/>
        <bottom/>
      </border>
    </dxf>
    <dxf>
      <font>
        <b/>
        <i/>
        <condense val="0"/>
        <extend val="0"/>
        <color indexed="10"/>
      </font>
      <fill>
        <patternFill>
          <bgColor theme="9" tint="0.79998168889431442"/>
        </patternFill>
      </fill>
    </dxf>
    <dxf>
      <font>
        <b/>
        <i/>
        <condense val="0"/>
        <extend val="0"/>
        <color indexed="9"/>
      </font>
      <fill>
        <patternFill>
          <bgColor indexed="10"/>
        </patternFill>
      </fill>
      <border>
        <left/>
        <right/>
        <top/>
        <bottom/>
      </border>
    </dxf>
    <dxf>
      <font>
        <b/>
        <i/>
        <condense val="0"/>
        <extend val="0"/>
        <color indexed="9"/>
      </font>
      <fill>
        <patternFill>
          <bgColor indexed="10"/>
        </patternFill>
      </fill>
      <border>
        <left/>
        <right/>
        <top/>
        <bottom/>
      </border>
    </dxf>
    <dxf>
      <font>
        <b/>
        <i/>
        <condense val="0"/>
        <extend val="0"/>
        <color indexed="9"/>
      </font>
      <fill>
        <patternFill>
          <bgColor indexed="10"/>
        </patternFill>
      </fill>
      <border>
        <left/>
        <right/>
        <top/>
        <bottom/>
      </border>
    </dxf>
    <dxf>
      <fill>
        <patternFill>
          <bgColor rgb="FF00B050"/>
        </patternFill>
      </fill>
    </dxf>
    <dxf>
      <fill>
        <patternFill>
          <bgColor theme="9" tint="-0.24994659260841701"/>
        </patternFill>
      </fill>
    </dxf>
    <dxf>
      <fill>
        <patternFill patternType="none">
          <bgColor indexed="65"/>
        </patternFill>
      </fill>
    </dxf>
    <dxf>
      <font>
        <b/>
        <i val="0"/>
        <condense val="0"/>
        <extend val="0"/>
        <color indexed="10"/>
      </font>
      <fill>
        <patternFill>
          <bgColor theme="9" tint="0.79998168889431442"/>
        </patternFill>
      </fill>
    </dxf>
    <dxf>
      <font>
        <b/>
        <i/>
        <condense val="0"/>
        <extend val="0"/>
        <color indexed="13"/>
      </font>
      <fill>
        <patternFill patternType="solid">
          <bgColor indexed="10"/>
        </patternFill>
      </fill>
    </dxf>
    <dxf>
      <font>
        <b/>
        <i/>
        <condense val="0"/>
        <extend val="0"/>
        <color indexed="32"/>
      </font>
      <fill>
        <patternFill>
          <bgColor indexed="11"/>
        </patternFill>
      </fill>
    </dxf>
    <dxf>
      <font>
        <b/>
        <i/>
        <condense val="0"/>
        <extend val="0"/>
        <color indexed="9"/>
      </font>
      <fill>
        <patternFill patternType="none">
          <bgColor indexed="65"/>
        </patternFill>
      </fill>
    </dxf>
    <dxf>
      <font>
        <b/>
        <i/>
        <condense val="0"/>
        <extend val="0"/>
        <color indexed="9"/>
      </font>
      <fill>
        <patternFill patternType="none">
          <bgColor indexed="65"/>
        </patternFill>
      </fill>
    </dxf>
    <dxf>
      <font>
        <b/>
        <i/>
        <condense val="0"/>
        <extend val="0"/>
        <color indexed="13"/>
      </font>
      <fill>
        <patternFill patternType="solid">
          <bgColor indexed="10"/>
        </patternFill>
      </fill>
    </dxf>
    <dxf>
      <font>
        <b/>
        <i/>
        <condense val="0"/>
        <extend val="0"/>
        <color indexed="32"/>
      </font>
      <fill>
        <patternFill>
          <bgColor indexed="11"/>
        </patternFill>
      </fill>
    </dxf>
    <dxf>
      <font>
        <b/>
        <i/>
        <condense val="0"/>
        <extend val="0"/>
        <color indexed="9"/>
      </font>
      <fill>
        <patternFill patternType="none">
          <bgColor indexed="65"/>
        </patternFill>
      </fill>
    </dxf>
    <dxf>
      <font>
        <b/>
        <i/>
        <condense val="0"/>
        <extend val="0"/>
        <color indexed="13"/>
      </font>
      <fill>
        <patternFill patternType="solid">
          <bgColor indexed="10"/>
        </patternFill>
      </fill>
    </dxf>
    <dxf>
      <font>
        <b/>
        <i/>
        <condense val="0"/>
        <extend val="0"/>
        <color indexed="32"/>
      </font>
      <fill>
        <patternFill>
          <bgColor indexed="11"/>
        </patternFill>
      </fill>
    </dxf>
    <dxf>
      <font>
        <b/>
        <i/>
        <condense val="0"/>
        <extend val="0"/>
        <color indexed="9"/>
      </font>
      <fill>
        <patternFill patternType="none">
          <bgColor indexed="65"/>
        </patternFill>
      </fill>
    </dxf>
    <dxf>
      <font>
        <b/>
        <i/>
        <condense val="0"/>
        <extend val="0"/>
        <color indexed="13"/>
      </font>
      <fill>
        <patternFill patternType="solid">
          <bgColor indexed="10"/>
        </patternFill>
      </fill>
    </dxf>
    <dxf>
      <font>
        <b/>
        <i/>
        <condense val="0"/>
        <extend val="0"/>
        <color indexed="32"/>
      </font>
      <fill>
        <patternFill>
          <bgColor indexed="11"/>
        </patternFill>
      </fill>
    </dxf>
    <dxf>
      <font>
        <b/>
        <i/>
        <condense val="0"/>
        <extend val="0"/>
        <color indexed="9"/>
      </font>
      <fill>
        <patternFill patternType="none">
          <bgColor indexed="65"/>
        </patternFill>
      </fill>
    </dxf>
    <dxf>
      <fill>
        <patternFill patternType="none">
          <bgColor indexed="65"/>
        </patternFill>
      </fill>
    </dxf>
    <dxf>
      <fill>
        <patternFill>
          <bgColor rgb="FF00B050"/>
        </patternFill>
      </fill>
    </dxf>
    <dxf>
      <fill>
        <patternFill>
          <bgColor theme="9" tint="-0.24994659260841701"/>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border>
        <left style="thin">
          <color theme="0" tint="-0.499984740745262"/>
        </left>
        <right style="thin">
          <color theme="0" tint="-0.499984740745262"/>
        </right>
        <top style="thin">
          <color theme="0" tint="-0.499984740745262"/>
        </top>
        <bottom style="thin">
          <color theme="0" tint="-0.499984740745262"/>
        </bottom>
      </border>
    </dxf>
    <dxf>
      <font>
        <b/>
        <i val="0"/>
        <condense val="0"/>
        <extend val="0"/>
        <color indexed="10"/>
      </font>
      <fill>
        <patternFill patternType="solid">
          <bgColor theme="9" tint="0.79998168889431442"/>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color theme="0"/>
      </font>
      <fill>
        <patternFill>
          <bgColor rgb="FFFF0000"/>
        </patternFill>
      </fill>
    </dxf>
    <dxf>
      <fill>
        <patternFill patternType="none">
          <bgColor indexed="65"/>
        </patternFill>
      </fill>
    </dxf>
    <dxf>
      <font>
        <color theme="0"/>
      </font>
      <fill>
        <patternFill patternType="none">
          <bgColor indexed="65"/>
        </patternFill>
      </fill>
    </dxf>
    <dxf>
      <font>
        <b/>
        <i val="0"/>
        <condense val="0"/>
        <extend val="0"/>
        <color indexed="10"/>
      </font>
      <fill>
        <patternFill>
          <bgColor theme="9" tint="0.79998168889431442"/>
        </patternFill>
      </fill>
      <border>
        <left style="thin">
          <color theme="0" tint="-0.499984740745262"/>
        </left>
        <right style="thin">
          <color theme="0" tint="-0.499984740745262"/>
        </right>
        <top style="thin">
          <color theme="0" tint="-0.499984740745262"/>
        </top>
        <bottom style="thin">
          <color theme="0" tint="-0.499984740745262"/>
        </bottom>
      </border>
    </dxf>
    <dxf>
      <font>
        <condense val="0"/>
        <extend val="0"/>
        <color indexed="26"/>
      </font>
    </dxf>
    <dxf>
      <font>
        <b/>
        <i val="0"/>
        <condense val="0"/>
        <extend val="0"/>
        <color indexed="10"/>
      </font>
      <fill>
        <patternFill>
          <bgColor indexed="42"/>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42"/>
        </patternFill>
      </fill>
      <border>
        <left style="thin">
          <color indexed="10"/>
        </left>
        <right style="thin">
          <color indexed="10"/>
        </right>
        <top style="thin">
          <color indexed="10"/>
        </top>
        <bottom style="thin">
          <color indexed="10"/>
        </bottom>
      </border>
    </dxf>
    <dxf>
      <fill>
        <patternFill>
          <bgColor rgb="FFFF0000"/>
        </patternFill>
      </fill>
    </dxf>
    <dxf>
      <font>
        <color rgb="FFEAEAEA"/>
      </font>
    </dxf>
    <dxf>
      <font>
        <b/>
        <i val="0"/>
        <condense val="0"/>
        <extend val="0"/>
        <color indexed="10"/>
      </font>
      <fill>
        <patternFill>
          <bgColor theme="9" tint="0.79998168889431442"/>
        </patternFill>
      </fill>
    </dxf>
    <dxf>
      <font>
        <b/>
        <i val="0"/>
        <condense val="0"/>
        <extend val="0"/>
        <color indexed="9"/>
      </font>
      <fill>
        <patternFill>
          <bgColor indexed="10"/>
        </patternFill>
      </fill>
      <border>
        <left style="thin">
          <color indexed="9"/>
        </left>
        <right style="thin">
          <color indexed="9"/>
        </right>
        <top style="thin">
          <color indexed="9"/>
        </top>
        <bottom style="thin">
          <color indexed="9"/>
        </bottom>
      </border>
    </dxf>
    <dxf>
      <font>
        <condense val="0"/>
        <extend val="0"/>
        <color indexed="10"/>
      </font>
    </dxf>
    <dxf>
      <font>
        <b/>
        <i val="0"/>
        <condense val="0"/>
        <extend val="0"/>
        <color indexed="10"/>
      </font>
      <fill>
        <patternFill>
          <bgColor theme="9" tint="0.79998168889431442"/>
        </patternFill>
      </fill>
    </dxf>
    <dxf>
      <font>
        <b/>
        <i val="0"/>
        <condense val="0"/>
        <extend val="0"/>
        <color indexed="9"/>
      </font>
      <fill>
        <patternFill patternType="none">
          <bgColor indexed="65"/>
        </patternFill>
      </fill>
    </dxf>
    <dxf>
      <font>
        <b/>
        <i val="0"/>
        <condense val="0"/>
        <extend val="0"/>
        <color indexed="10"/>
      </font>
      <fill>
        <patternFill>
          <bgColor theme="9" tint="0.79998168889431442"/>
        </patternFill>
      </fill>
    </dxf>
    <dxf>
      <font>
        <b/>
        <i val="0"/>
        <condense val="0"/>
        <extend val="0"/>
        <color indexed="9"/>
      </font>
      <fill>
        <patternFill patternType="none">
          <bgColor indexed="65"/>
        </patternFill>
      </fill>
    </dxf>
    <dxf>
      <font>
        <b/>
        <i/>
        <condense val="0"/>
        <extend val="0"/>
        <color indexed="10"/>
      </font>
      <fill>
        <patternFill>
          <bgColor theme="9" tint="0.79998168889431442"/>
        </patternFill>
      </fill>
    </dxf>
    <dxf>
      <font>
        <condense val="0"/>
        <extend val="0"/>
        <color indexed="9"/>
      </font>
      <fill>
        <patternFill patternType="none">
          <bgColor indexed="65"/>
        </patternFill>
      </fill>
    </dxf>
    <dxf>
      <font>
        <b/>
        <i/>
        <condense val="0"/>
        <extend val="0"/>
        <color indexed="10"/>
      </font>
      <fill>
        <patternFill>
          <bgColor theme="9" tint="0.79998168889431442"/>
        </patternFill>
      </fill>
    </dxf>
    <dxf>
      <font>
        <condense val="0"/>
        <extend val="0"/>
        <color indexed="9"/>
      </font>
      <fill>
        <patternFill patternType="none">
          <bgColor indexed="65"/>
        </patternFill>
      </fill>
    </dxf>
    <dxf>
      <font>
        <b/>
        <i/>
        <condense val="0"/>
        <extend val="0"/>
        <color indexed="10"/>
      </font>
      <fill>
        <patternFill>
          <bgColor theme="9" tint="0.79998168889431442"/>
        </patternFill>
      </fill>
    </dxf>
    <dxf>
      <font>
        <condense val="0"/>
        <extend val="0"/>
        <color indexed="9"/>
      </font>
      <fill>
        <patternFill patternType="none">
          <bgColor indexed="65"/>
        </patternFill>
      </fill>
    </dxf>
    <dxf>
      <font>
        <b/>
        <i/>
        <condense val="0"/>
        <extend val="0"/>
        <color indexed="10"/>
      </font>
      <fill>
        <patternFill>
          <bgColor theme="9" tint="0.79998168889431442"/>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10"/>
      </font>
      <fill>
        <patternFill>
          <bgColor theme="9" tint="0.79998168889431442"/>
        </patternFill>
      </fill>
    </dxf>
    <dxf>
      <font>
        <b/>
        <i/>
        <condense val="0"/>
        <extend val="0"/>
        <color indexed="10"/>
      </font>
      <fill>
        <patternFill>
          <bgColor theme="9" tint="0.79998168889431442"/>
        </patternFill>
      </fill>
    </dxf>
    <dxf>
      <font>
        <condense val="0"/>
        <extend val="0"/>
        <color indexed="9"/>
      </font>
      <fill>
        <patternFill patternType="none">
          <bgColor indexed="65"/>
        </patternFill>
      </fill>
    </dxf>
    <dxf>
      <font>
        <b/>
        <i val="0"/>
        <condense val="0"/>
        <extend val="0"/>
        <color indexed="10"/>
      </font>
      <fill>
        <patternFill>
          <bgColor theme="9" tint="0.79998168889431442"/>
        </patternFill>
      </fill>
      <border>
        <left style="thin">
          <color theme="0" tint="-0.499984740745262"/>
        </left>
        <right style="thin">
          <color theme="0" tint="-0.499984740745262"/>
        </right>
        <top style="thin">
          <color theme="0" tint="-0.499984740745262"/>
        </top>
        <bottom style="thin">
          <color theme="0" tint="-0.499984740745262"/>
        </bottom>
      </border>
    </dxf>
    <dxf>
      <font>
        <b/>
        <i val="0"/>
        <condense val="0"/>
        <extend val="0"/>
        <color indexed="9"/>
      </font>
      <fill>
        <patternFill patternType="none">
          <bgColor indexed="65"/>
        </patternFill>
      </fill>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auto="1"/>
        </left>
        <right style="thin">
          <color auto="1"/>
        </right>
        <top style="thin">
          <color auto="1"/>
        </top>
      </border>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top style="thin">
          <color auto="1"/>
        </top>
        <bottom/>
      </border>
    </dxf>
    <dxf>
      <font>
        <b/>
        <i/>
        <color theme="0"/>
      </font>
      <fill>
        <patternFill patternType="solid">
          <bgColor indexed="10"/>
        </patternFill>
      </fill>
    </dxf>
    <dxf>
      <font>
        <b/>
        <i/>
        <color theme="0"/>
      </font>
      <fill>
        <patternFill>
          <bgColor rgb="FF00B050"/>
        </patternFill>
      </fill>
    </dxf>
    <dxf>
      <font>
        <b/>
        <i/>
        <condense val="0"/>
        <extend val="0"/>
        <color indexed="9"/>
      </font>
      <fill>
        <patternFill patternType="none">
          <bgColor indexed="65"/>
        </patternFill>
      </fill>
    </dxf>
    <dxf>
      <font>
        <b/>
        <i/>
        <color theme="0"/>
      </font>
      <fill>
        <patternFill patternType="solid">
          <bgColor indexed="10"/>
        </patternFill>
      </fill>
    </dxf>
    <dxf>
      <font>
        <b/>
        <i/>
        <color theme="0"/>
      </font>
      <fill>
        <patternFill>
          <bgColor rgb="FF00B050"/>
        </patternFill>
      </fill>
    </dxf>
    <dxf>
      <font>
        <b/>
        <i/>
        <condense val="0"/>
        <extend val="0"/>
        <color indexed="9"/>
      </font>
      <fill>
        <patternFill patternType="none">
          <bgColor indexed="65"/>
        </patternFill>
      </fill>
    </dxf>
    <dxf>
      <font>
        <b/>
        <i/>
        <color theme="0"/>
      </font>
      <fill>
        <patternFill patternType="solid">
          <bgColor indexed="10"/>
        </patternFill>
      </fill>
    </dxf>
    <dxf>
      <font>
        <b/>
        <i/>
        <color theme="0"/>
      </font>
      <fill>
        <patternFill>
          <bgColor rgb="FF00B050"/>
        </patternFill>
      </fill>
    </dxf>
    <dxf>
      <font>
        <b/>
        <i/>
        <condense val="0"/>
        <extend val="0"/>
        <color indexed="9"/>
      </font>
      <fill>
        <patternFill patternType="none">
          <bgColor indexed="65"/>
        </patternFill>
      </fill>
    </dxf>
    <dxf>
      <font>
        <b/>
        <i/>
        <color theme="0"/>
      </font>
      <fill>
        <patternFill patternType="solid">
          <bgColor indexed="10"/>
        </patternFill>
      </fill>
    </dxf>
    <dxf>
      <font>
        <b/>
        <i/>
        <color theme="0"/>
      </font>
      <fill>
        <patternFill>
          <bgColor rgb="FF00B050"/>
        </patternFill>
      </fill>
    </dxf>
    <dxf>
      <font>
        <b/>
        <i/>
        <condense val="0"/>
        <extend val="0"/>
        <color indexed="9"/>
      </font>
      <fill>
        <patternFill patternType="none">
          <bgColor indexed="65"/>
        </patternFill>
      </fill>
    </dxf>
    <dxf>
      <font>
        <b/>
        <i/>
        <color theme="0"/>
      </font>
      <fill>
        <patternFill patternType="solid">
          <bgColor indexed="10"/>
        </patternFill>
      </fill>
    </dxf>
    <dxf>
      <font>
        <b/>
        <i/>
        <color theme="0"/>
      </font>
      <fill>
        <patternFill>
          <bgColor rgb="FF00B050"/>
        </patternFill>
      </fill>
    </dxf>
    <dxf>
      <font>
        <b/>
        <i/>
        <condense val="0"/>
        <extend val="0"/>
        <color indexed="9"/>
      </font>
      <fill>
        <patternFill patternType="none">
          <bgColor indexed="65"/>
        </patternFill>
      </fill>
    </dxf>
    <dxf>
      <font>
        <condense val="0"/>
        <extend val="0"/>
        <color indexed="13"/>
      </font>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top style="thin">
          <color auto="1"/>
        </top>
        <bottom/>
      </border>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ndense val="0"/>
        <extend val="0"/>
        <color indexed="48"/>
      </font>
      <fill>
        <patternFill>
          <bgColor indexed="26"/>
        </patternFill>
      </fill>
    </dxf>
    <dxf>
      <font>
        <b/>
        <i/>
        <condense val="0"/>
        <extend val="0"/>
        <color indexed="10"/>
      </font>
      <fill>
        <patternFill>
          <bgColor indexed="15"/>
        </patternFill>
      </fill>
      <border>
        <left/>
        <right/>
        <top/>
        <bottom/>
      </border>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lor theme="0"/>
      </font>
      <fill>
        <patternFill patternType="solid">
          <bgColor rgb="FF00B050"/>
        </patternFill>
      </fill>
    </dxf>
    <dxf>
      <font>
        <b/>
        <i/>
        <color theme="0"/>
      </font>
      <fill>
        <patternFill>
          <bgColor indexed="10"/>
        </patternFill>
      </fill>
    </dxf>
    <dxf>
      <font>
        <b/>
        <i/>
        <condense val="0"/>
        <extend val="0"/>
        <color indexed="9"/>
      </font>
      <fill>
        <patternFill patternType="none">
          <bgColor indexed="65"/>
        </patternFill>
      </fill>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32"/>
      </font>
      <fill>
        <patternFill patternType="solid">
          <bgColor indexed="11"/>
        </patternFill>
      </fill>
    </dxf>
    <dxf>
      <font>
        <b/>
        <i/>
        <condense val="0"/>
        <extend val="0"/>
        <color indexed="13"/>
      </font>
      <fill>
        <patternFill>
          <bgColor indexed="10"/>
        </patternFill>
      </fill>
    </dxf>
    <dxf>
      <font>
        <b/>
        <i/>
        <condense val="0"/>
        <extend val="0"/>
        <color indexed="9"/>
      </font>
      <fill>
        <patternFill patternType="none">
          <bgColor indexed="65"/>
        </patternFill>
      </fill>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style="thin">
          <color indexed="10"/>
        </top>
        <bottom/>
      </border>
    </dxf>
    <dxf>
      <font>
        <b/>
        <i/>
        <condense val="0"/>
        <extend val="0"/>
        <color indexed="10"/>
      </font>
      <fill>
        <patternFill>
          <bgColor theme="9" tint="0.79998168889431442"/>
        </patternFill>
      </fill>
      <border>
        <left style="thin">
          <color indexed="10"/>
        </left>
        <right style="thin">
          <color indexed="10"/>
        </right>
        <top/>
        <bottom style="thin">
          <color indexed="10"/>
        </bottom>
      </border>
    </dxf>
    <dxf>
      <font>
        <condense val="0"/>
        <extend val="0"/>
        <color auto="1"/>
      </font>
      <fill>
        <patternFill>
          <bgColor indexed="26"/>
        </patternFill>
      </fill>
    </dxf>
    <dxf>
      <font>
        <b val="0"/>
        <i val="0"/>
        <color theme="0"/>
        <name val="Cambria"/>
        <scheme val="none"/>
      </font>
      <fill>
        <patternFill>
          <bgColor rgb="FFFF0000"/>
        </patternFill>
      </fill>
    </dxf>
    <dxf>
      <font>
        <b val="0"/>
        <i val="0"/>
        <color indexed="10"/>
      </font>
      <fill>
        <patternFill>
          <bgColor theme="9" tint="0.79998168889431442"/>
        </patternFill>
      </fill>
      <border>
        <left style="thin">
          <color indexed="10"/>
        </left>
        <right style="thin">
          <color indexed="10"/>
        </right>
        <top style="thin">
          <color indexed="10"/>
        </top>
        <bottom/>
      </border>
    </dxf>
    <dxf>
      <font>
        <b/>
        <i val="0"/>
        <condense val="0"/>
        <extend val="0"/>
        <color indexed="10"/>
      </font>
    </dxf>
    <dxf>
      <font>
        <b/>
        <i/>
        <condense val="0"/>
        <extend val="0"/>
        <color indexed="13"/>
      </font>
      <fill>
        <patternFill patternType="solid">
          <bgColor indexed="10"/>
        </patternFill>
      </fill>
    </dxf>
    <dxf>
      <font>
        <b/>
        <i/>
        <condense val="0"/>
        <extend val="0"/>
        <color indexed="32"/>
      </font>
      <fill>
        <patternFill>
          <bgColor indexed="11"/>
        </patternFill>
      </fill>
    </dxf>
    <dxf>
      <font>
        <b/>
        <i/>
        <condense val="0"/>
        <extend val="0"/>
        <color indexed="9"/>
      </font>
      <fill>
        <patternFill patternType="none">
          <bgColor indexed="65"/>
        </patternFill>
      </fill>
    </dxf>
    <dxf>
      <font>
        <color rgb="FFC0C0C0"/>
      </font>
      <fill>
        <patternFill>
          <bgColor rgb="FFC0C0C0"/>
        </patternFill>
      </fill>
    </dxf>
    <dxf>
      <font>
        <color theme="8"/>
      </font>
    </dxf>
    <dxf>
      <font>
        <color rgb="FF9999FF"/>
        <name val="Cambria"/>
        <scheme val="none"/>
      </font>
    </dxf>
    <dxf>
      <font>
        <color theme="9" tint="0.79998168889431442"/>
      </font>
    </dxf>
    <dxf>
      <font>
        <condense val="0"/>
        <extend val="0"/>
        <color indexed="9"/>
      </font>
    </dxf>
    <dxf>
      <font>
        <color theme="9" tint="0.79998168889431442"/>
      </font>
    </dxf>
    <dxf>
      <font>
        <color theme="0" tint="-4.9989318521683403E-2"/>
      </font>
    </dxf>
    <dxf>
      <font>
        <color theme="0"/>
      </font>
    </dxf>
    <dxf>
      <font>
        <color theme="0"/>
      </font>
    </dxf>
    <dxf>
      <font>
        <color theme="0" tint="-4.9989318521683403E-2"/>
      </font>
    </dxf>
    <dxf>
      <font>
        <color theme="0"/>
      </font>
    </dxf>
    <dxf>
      <fill>
        <patternFill>
          <bgColor indexed="10"/>
        </patternFill>
      </fill>
    </dxf>
    <dxf>
      <font>
        <color theme="9" tint="0.79998168889431442"/>
      </font>
    </dxf>
    <dxf>
      <font>
        <b/>
        <i val="0"/>
        <condense val="0"/>
        <extend val="0"/>
        <color indexed="10"/>
      </font>
      <fill>
        <patternFill>
          <bgColor theme="9" tint="0.79998168889431442"/>
        </patternFill>
      </fill>
      <border>
        <left style="thin">
          <color indexed="10"/>
        </left>
        <right style="thin">
          <color indexed="10"/>
        </right>
        <top style="thin">
          <color indexed="10"/>
        </top>
        <bottom style="thin">
          <color indexed="10"/>
        </bottom>
      </border>
    </dxf>
    <dxf>
      <font>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condense val="0"/>
        <extend val="0"/>
        <color indexed="10"/>
      </font>
      <fill>
        <patternFill patternType="solid">
          <bgColor theme="9" tint="0.79998168889431442"/>
        </patternFill>
      </fill>
    </dxf>
    <dxf>
      <font>
        <color theme="0"/>
      </font>
      <fill>
        <patternFill>
          <bgColor rgb="FFFF0000"/>
        </patternFill>
      </fill>
    </dxf>
    <dxf>
      <font>
        <b/>
        <i val="0"/>
        <condense val="0"/>
        <extend val="0"/>
        <color indexed="10"/>
      </font>
      <fill>
        <patternFill patternType="none">
          <bgColor indexed="65"/>
        </patternFill>
      </fill>
    </dxf>
    <dxf>
      <font>
        <condense val="0"/>
        <extend val="0"/>
        <color indexed="53"/>
      </font>
    </dxf>
    <dxf>
      <font>
        <b/>
        <i val="0"/>
        <condense val="0"/>
        <extend val="0"/>
        <color indexed="10"/>
      </font>
      <fill>
        <patternFill patternType="solid">
          <bgColor theme="9" tint="0.79998168889431442"/>
        </patternFill>
      </fill>
    </dxf>
    <dxf>
      <font>
        <color theme="0"/>
      </font>
      <fill>
        <patternFill>
          <bgColor rgb="FFFF0000"/>
        </patternFill>
      </fill>
    </dxf>
    <dxf>
      <fill>
        <patternFill>
          <bgColor rgb="FF993366"/>
        </patternFill>
      </fill>
    </dxf>
    <dxf>
      <fill>
        <patternFill>
          <bgColor rgb="FF993366"/>
        </patternFill>
      </fill>
    </dxf>
    <dxf>
      <font>
        <b/>
        <i val="0"/>
        <condense val="0"/>
        <extend val="0"/>
        <color indexed="10"/>
      </font>
      <fill>
        <patternFill patternType="none">
          <bgColor indexed="65"/>
        </patternFill>
      </fill>
    </dxf>
    <dxf>
      <font>
        <condense val="0"/>
        <extend val="0"/>
        <color indexed="53"/>
      </font>
    </dxf>
    <dxf>
      <font>
        <condense val="0"/>
        <extend val="0"/>
        <color indexed="9"/>
      </font>
    </dxf>
    <dxf>
      <font>
        <b/>
        <i val="0"/>
        <condense val="0"/>
        <extend val="0"/>
        <color indexed="10"/>
      </font>
      <fill>
        <patternFill patternType="solid">
          <bgColor theme="9" tint="0.79998168889431442"/>
        </patternFill>
      </fill>
    </dxf>
    <dxf>
      <font>
        <color theme="0"/>
      </font>
      <fill>
        <patternFill>
          <bgColor rgb="FFFF0000"/>
        </patternFill>
      </fill>
    </dxf>
    <dxf>
      <fill>
        <patternFill>
          <bgColor rgb="FF993366"/>
        </patternFill>
      </fill>
    </dxf>
    <dxf>
      <fill>
        <patternFill>
          <bgColor rgb="FF993366"/>
        </patternFill>
      </fill>
    </dxf>
    <dxf>
      <font>
        <b/>
        <i val="0"/>
        <condense val="0"/>
        <extend val="0"/>
        <color indexed="10"/>
      </font>
      <fill>
        <patternFill patternType="none">
          <bgColor indexed="65"/>
        </patternFill>
      </fill>
    </dxf>
    <dxf>
      <font>
        <condense val="0"/>
        <extend val="0"/>
        <color indexed="53"/>
      </font>
    </dxf>
    <dxf>
      <font>
        <condense val="0"/>
        <extend val="0"/>
        <color indexed="9"/>
      </font>
    </dxf>
    <dxf>
      <font>
        <b/>
        <i val="0"/>
        <condense val="0"/>
        <extend val="0"/>
        <color indexed="10"/>
      </font>
      <fill>
        <patternFill patternType="solid">
          <bgColor theme="9" tint="0.79998168889431442"/>
        </patternFill>
      </fill>
    </dxf>
    <dxf>
      <font>
        <color theme="0"/>
      </font>
      <fill>
        <patternFill>
          <bgColor rgb="FFFF0000"/>
        </patternFill>
      </fill>
    </dxf>
    <dxf>
      <fill>
        <patternFill>
          <bgColor rgb="FF993366"/>
        </patternFill>
      </fill>
    </dxf>
    <dxf>
      <fill>
        <patternFill>
          <bgColor rgb="FF993366"/>
        </patternFill>
      </fill>
    </dxf>
    <dxf>
      <font>
        <b/>
        <i val="0"/>
        <condense val="0"/>
        <extend val="0"/>
        <color indexed="10"/>
      </font>
      <fill>
        <patternFill patternType="none">
          <bgColor indexed="65"/>
        </patternFill>
      </fill>
    </dxf>
    <dxf>
      <font>
        <condense val="0"/>
        <extend val="0"/>
        <color indexed="53"/>
      </font>
    </dxf>
    <dxf>
      <font>
        <condense val="0"/>
        <extend val="0"/>
        <color indexed="9"/>
      </font>
    </dxf>
    <dxf>
      <font>
        <b/>
        <i val="0"/>
        <condense val="0"/>
        <extend val="0"/>
        <color indexed="10"/>
      </font>
      <fill>
        <patternFill patternType="solid">
          <bgColor theme="9" tint="0.79998168889431442"/>
        </patternFill>
      </fill>
    </dxf>
    <dxf>
      <font>
        <color theme="0"/>
      </font>
      <fill>
        <patternFill>
          <bgColor rgb="FFFF0000"/>
        </patternFill>
      </fill>
    </dxf>
    <dxf>
      <fill>
        <patternFill>
          <bgColor rgb="FF993366"/>
        </patternFill>
      </fill>
    </dxf>
    <dxf>
      <fill>
        <patternFill>
          <bgColor rgb="FF993366"/>
        </patternFill>
      </fill>
    </dxf>
    <dxf>
      <font>
        <b/>
        <i val="0"/>
        <condense val="0"/>
        <extend val="0"/>
        <color indexed="10"/>
      </font>
      <fill>
        <patternFill patternType="none">
          <bgColor indexed="65"/>
        </patternFill>
      </fill>
    </dxf>
    <dxf>
      <font>
        <condense val="0"/>
        <extend val="0"/>
        <color indexed="53"/>
      </font>
    </dxf>
    <dxf>
      <font>
        <condense val="0"/>
        <extend val="0"/>
        <color indexed="9"/>
      </font>
    </dxf>
    <dxf>
      <font>
        <b/>
        <i val="0"/>
        <condense val="0"/>
        <extend val="0"/>
        <color indexed="10"/>
      </font>
      <fill>
        <patternFill patternType="solid">
          <bgColor theme="9" tint="0.79998168889431442"/>
        </patternFill>
      </fill>
    </dxf>
    <dxf>
      <font>
        <color theme="0"/>
      </font>
      <fill>
        <patternFill>
          <bgColor rgb="FFFF0000"/>
        </patternFill>
      </fill>
    </dxf>
    <dxf>
      <font>
        <b/>
        <i val="0"/>
        <condense val="0"/>
        <extend val="0"/>
        <color indexed="10"/>
      </font>
      <fill>
        <patternFill patternType="solid">
          <bgColor theme="9" tint="0.79998168889431442"/>
        </patternFill>
      </fill>
    </dxf>
    <dxf>
      <font>
        <color theme="0"/>
      </font>
      <fill>
        <patternFill>
          <bgColor rgb="FFFF0000"/>
        </patternFill>
      </fill>
    </dxf>
    <dxf>
      <font>
        <b/>
        <i val="0"/>
        <condense val="0"/>
        <extend val="0"/>
        <color indexed="10"/>
      </font>
      <fill>
        <patternFill patternType="solid">
          <bgColor theme="9" tint="0.79998168889431442"/>
        </patternFill>
      </fill>
    </dxf>
    <dxf>
      <font>
        <color theme="0"/>
      </font>
      <fill>
        <patternFill>
          <bgColor rgb="FFFF0000"/>
        </patternFill>
      </fill>
    </dxf>
    <dxf>
      <font>
        <b/>
        <i val="0"/>
        <condense val="0"/>
        <extend val="0"/>
        <color indexed="10"/>
      </font>
      <fill>
        <patternFill patternType="solid">
          <bgColor theme="9" tint="0.79998168889431442"/>
        </patternFill>
      </fill>
    </dxf>
    <dxf>
      <font>
        <color theme="0"/>
      </font>
      <fill>
        <patternFill>
          <bgColor rgb="FFFF0000"/>
        </patternFill>
      </fill>
    </dxf>
    <dxf>
      <font>
        <b/>
        <i val="0"/>
        <condense val="0"/>
        <extend val="0"/>
        <color indexed="10"/>
      </font>
      <fill>
        <patternFill patternType="solid">
          <bgColor theme="9" tint="0.79998168889431442"/>
        </patternFill>
      </fill>
    </dxf>
    <dxf>
      <font>
        <color theme="0"/>
      </font>
      <fill>
        <patternFill>
          <bgColor rgb="FFFF0000"/>
        </patternFill>
      </fill>
    </dxf>
    <dxf>
      <fill>
        <patternFill>
          <bgColor rgb="FF993366"/>
        </patternFill>
      </fill>
    </dxf>
    <dxf>
      <fill>
        <patternFill>
          <bgColor rgb="FF993366"/>
        </patternFill>
      </fill>
    </dxf>
    <dxf>
      <fill>
        <patternFill>
          <bgColor rgb="FF993366"/>
        </patternFill>
      </fill>
    </dxf>
    <dxf>
      <fill>
        <patternFill>
          <bgColor rgb="FF993366"/>
        </patternFill>
      </fill>
    </dxf>
    <dxf>
      <fill>
        <patternFill>
          <bgColor rgb="FF993366"/>
        </patternFill>
      </fill>
    </dxf>
    <dxf>
      <fill>
        <patternFill>
          <bgColor rgb="FF993366"/>
        </patternFill>
      </fill>
    </dxf>
    <dxf>
      <fill>
        <patternFill>
          <bgColor rgb="FF993366"/>
        </patternFill>
      </fill>
    </dxf>
    <dxf>
      <fill>
        <patternFill>
          <bgColor rgb="FF993366"/>
        </patternFill>
      </fill>
    </dxf>
    <dxf>
      <font>
        <color rgb="FFCCFFCC"/>
      </font>
    </dxf>
    <dxf>
      <font>
        <color rgb="FFFFFFCC"/>
      </font>
    </dxf>
    <dxf>
      <font>
        <b/>
        <i val="0"/>
        <condense val="0"/>
        <extend val="0"/>
        <color indexed="10"/>
      </font>
      <fill>
        <patternFill patternType="none">
          <bgColor indexed="65"/>
        </patternFill>
      </fill>
    </dxf>
    <dxf>
      <font>
        <condense val="0"/>
        <extend val="0"/>
        <color indexed="53"/>
      </font>
    </dxf>
    <dxf>
      <font>
        <condense val="0"/>
        <extend val="0"/>
        <color indexed="9"/>
      </font>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5"/>
        </patternFill>
      </fill>
    </dxf>
    <dxf>
      <font>
        <color rgb="FFFF0000"/>
      </font>
    </dxf>
    <dxf>
      <font>
        <color rgb="FFFF0000"/>
      </font>
    </dxf>
    <dxf>
      <font>
        <color rgb="FF008080"/>
      </font>
    </dxf>
    <dxf>
      <font>
        <color rgb="FFFF0000"/>
      </font>
      <fill>
        <patternFill>
          <bgColor theme="9" tint="0.79998168889431442"/>
        </patternFill>
      </fill>
      <border>
        <top style="thin">
          <color theme="0" tint="-0.24994659260841701"/>
        </top>
      </border>
    </dxf>
    <dxf>
      <font>
        <color theme="0"/>
      </font>
      <fill>
        <patternFill>
          <bgColor rgb="FF993366"/>
        </patternFill>
      </fill>
    </dxf>
    <dxf>
      <fill>
        <patternFill>
          <bgColor rgb="FFCCFFCC"/>
        </patternFill>
      </fill>
    </dxf>
    <dxf>
      <font>
        <color rgb="FFFF0000"/>
      </font>
      <fill>
        <patternFill>
          <bgColor theme="9" tint="0.79998168889431442"/>
        </patternFill>
      </fill>
    </dxf>
    <dxf>
      <font>
        <color theme="0"/>
      </font>
      <fill>
        <patternFill>
          <bgColor rgb="FF993366"/>
        </patternFill>
      </fill>
    </dxf>
    <dxf>
      <fill>
        <patternFill>
          <bgColor rgb="FFCCFFCC"/>
        </patternFill>
      </fill>
    </dxf>
    <dxf>
      <font>
        <condense val="0"/>
        <extend val="0"/>
        <color indexed="32"/>
      </font>
      <fill>
        <patternFill>
          <bgColor indexed="13"/>
        </patternFill>
      </fill>
    </dxf>
    <dxf>
      <font>
        <condense val="0"/>
        <extend val="0"/>
        <color indexed="32"/>
      </font>
      <fill>
        <patternFill>
          <bgColor indexed="13"/>
        </patternFill>
      </fill>
    </dxf>
    <dxf>
      <font>
        <b/>
        <i val="0"/>
        <condense val="0"/>
        <extend val="0"/>
        <color indexed="9"/>
      </font>
      <fill>
        <patternFill>
          <bgColor theme="5"/>
        </patternFill>
      </fill>
    </dxf>
    <dxf>
      <font>
        <color rgb="FFFF0000"/>
      </font>
      <fill>
        <patternFill>
          <bgColor theme="9" tint="0.79998168889431442"/>
        </patternFill>
      </fill>
      <border>
        <top style="thin">
          <color theme="0" tint="-0.24994659260841701"/>
        </top>
      </border>
    </dxf>
    <dxf>
      <font>
        <color theme="0"/>
      </font>
      <fill>
        <patternFill>
          <bgColor rgb="FF993366"/>
        </patternFill>
      </fill>
    </dxf>
    <dxf>
      <fill>
        <patternFill>
          <bgColor rgb="FFCCFFCC"/>
        </patternFill>
      </fill>
    </dxf>
    <dxf>
      <font>
        <color rgb="FFFF0000"/>
      </font>
      <fill>
        <patternFill>
          <bgColor theme="9" tint="0.79998168889431442"/>
        </patternFill>
      </fill>
    </dxf>
    <dxf>
      <font>
        <color theme="0"/>
      </font>
      <fill>
        <patternFill>
          <bgColor rgb="FF993366"/>
        </patternFill>
      </fill>
    </dxf>
    <dxf>
      <fill>
        <patternFill>
          <bgColor rgb="FFCCFFCC"/>
        </patternFill>
      </fill>
    </dxf>
    <dxf>
      <font>
        <color rgb="FF008080"/>
      </font>
    </dxf>
    <dxf>
      <fill>
        <patternFill>
          <bgColor rgb="FFFFFF00"/>
        </patternFill>
      </fill>
    </dxf>
    <dxf>
      <fill>
        <patternFill>
          <bgColor rgb="FFFFFF00"/>
        </patternFill>
      </fill>
    </dxf>
    <dxf>
      <fill>
        <patternFill>
          <bgColor rgb="FFFFFF00"/>
        </patternFill>
      </fill>
    </dxf>
    <dxf>
      <font>
        <condense val="0"/>
        <extend val="0"/>
        <color indexed="32"/>
      </font>
      <fill>
        <patternFill>
          <bgColor indexed="13"/>
        </patternFill>
      </fill>
    </dxf>
    <dxf>
      <font>
        <b val="0"/>
        <i val="0"/>
        <condense val="0"/>
        <extend val="0"/>
        <color indexed="10"/>
      </font>
      <border>
        <left style="thin">
          <color indexed="10"/>
        </left>
        <right style="thin">
          <color indexed="10"/>
        </right>
        <top style="thin">
          <color indexed="10"/>
        </top>
        <bottom style="thin">
          <color indexed="10"/>
        </bottom>
      </border>
    </dxf>
    <dxf>
      <fill>
        <patternFill>
          <bgColor theme="5"/>
        </patternFill>
      </fill>
    </dxf>
    <dxf>
      <font>
        <condense val="0"/>
        <extend val="0"/>
        <color indexed="21"/>
      </font>
    </dxf>
    <dxf>
      <font>
        <color rgb="FF008080"/>
      </font>
    </dxf>
    <dxf>
      <font>
        <condense val="0"/>
        <extend val="0"/>
        <color indexed="9"/>
      </font>
    </dxf>
    <dxf>
      <font>
        <b/>
        <i val="0"/>
        <condense val="0"/>
        <extend val="0"/>
        <color indexed="10"/>
      </font>
    </dxf>
  </dxfs>
  <tableStyles count="0" defaultTableStyle="TableStyleMedium9" defaultPivotStyle="PivotStyleLight16"/>
  <colors>
    <mruColors>
      <color rgb="FFFFFFCC"/>
      <color rgb="FF0000FF"/>
      <color rgb="FFDAEEF3"/>
      <color rgb="FFEAEAEA"/>
      <color rgb="FFEBF9FF"/>
      <color rgb="FFCCFFCC"/>
      <color rgb="FF008080"/>
      <color rgb="FFEEF9FF"/>
      <color rgb="FFFFFF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2060"/>
                </a:solidFill>
                <a:latin typeface="Calibri"/>
                <a:ea typeface="Calibri"/>
                <a:cs typeface="Calibri"/>
              </a:defRPr>
            </a:pPr>
            <a:r>
              <a:rPr lang="fr-FR">
                <a:solidFill>
                  <a:srgbClr val="002060"/>
                </a:solidFill>
              </a:rPr>
              <a:t>Evolution des taux de marge brute et de valeur ajoutée</a:t>
            </a:r>
          </a:p>
        </c:rich>
      </c:tx>
      <c:layout>
        <c:manualLayout>
          <c:xMode val="edge"/>
          <c:yMode val="edge"/>
          <c:x val="0.21368948914498404"/>
          <c:y val="3.3333447698122756E-2"/>
        </c:manualLayout>
      </c:layout>
      <c:overlay val="0"/>
      <c:spPr>
        <a:noFill/>
        <a:ln w="25400">
          <a:noFill/>
        </a:ln>
      </c:spPr>
    </c:title>
    <c:autoTitleDeleted val="0"/>
    <c:plotArea>
      <c:layout>
        <c:manualLayout>
          <c:layoutTarget val="inner"/>
          <c:xMode val="edge"/>
          <c:yMode val="edge"/>
          <c:x val="0.10350584307178717"/>
          <c:y val="0.16339904045615591"/>
          <c:w val="0.87312186978297168"/>
          <c:h val="0.64270289246089174"/>
        </c:manualLayout>
      </c:layout>
      <c:barChart>
        <c:barDir val="col"/>
        <c:grouping val="clustered"/>
        <c:varyColors val="0"/>
        <c:ser>
          <c:idx val="0"/>
          <c:order val="0"/>
          <c:tx>
            <c:v>Marge brute</c:v>
          </c:tx>
          <c:spPr>
            <a:solidFill>
              <a:srgbClr val="FF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100" b="1" i="1" u="none" strike="noStrike" baseline="0">
                    <a:solidFill>
                      <a:srgbClr val="000080"/>
                    </a:solidFill>
                    <a:latin typeface="Calibri"/>
                    <a:ea typeface="Calibri"/>
                    <a:cs typeface="Calibri"/>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(Ratios!$N$2,Ratios!$L$2,Ratios!$J$2,Ratios!$H$2,Ratios!$F$2)</c:f>
              <c:strCache>
                <c:ptCount val="5"/>
                <c:pt idx="0">
                  <c:v> </c:v>
                </c:pt>
                <c:pt idx="1">
                  <c:v> </c:v>
                </c:pt>
                <c:pt idx="2">
                  <c:v> </c:v>
                </c:pt>
                <c:pt idx="3">
                  <c:v> </c:v>
                </c:pt>
                <c:pt idx="4">
                  <c:v> </c:v>
                </c:pt>
              </c:strCache>
            </c:strRef>
          </c:cat>
          <c:val>
            <c:numRef>
              <c:f>(Ratios!$N$45,Ratios!$L$45,Ratios!$J$45,Ratios!$H$45,Ratios!$F$45)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795-43BB-AA5F-29CFD652342C}"/>
            </c:ext>
          </c:extLst>
        </c:ser>
        <c:ser>
          <c:idx val="1"/>
          <c:order val="1"/>
          <c:tx>
            <c:v>Valeur ajoutée</c:v>
          </c:tx>
          <c:spPr>
            <a:solidFill>
              <a:srgbClr val="0066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100" b="1" i="1" u="none" strike="noStrike" baseline="0">
                    <a:solidFill>
                      <a:srgbClr val="FFFFFF"/>
                    </a:solidFill>
                    <a:latin typeface="Calibri"/>
                    <a:ea typeface="Calibri"/>
                    <a:cs typeface="Calibri"/>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(Ratios!$N$2,Ratios!$L$2,Ratios!$J$2,Ratios!$H$2,Ratios!$F$2)</c:f>
              <c:strCache>
                <c:ptCount val="5"/>
                <c:pt idx="0">
                  <c:v> </c:v>
                </c:pt>
                <c:pt idx="1">
                  <c:v> </c:v>
                </c:pt>
                <c:pt idx="2">
                  <c:v> </c:v>
                </c:pt>
                <c:pt idx="3">
                  <c:v> </c:v>
                </c:pt>
                <c:pt idx="4">
                  <c:v> </c:v>
                </c:pt>
              </c:strCache>
            </c:strRef>
          </c:cat>
          <c:val>
            <c:numRef>
              <c:f>(Ratios!$N$50,Ratios!$L$50,Ratios!$J$50,Ratios!$H$50,Ratios!$F$50)</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1795-43BB-AA5F-29CFD652342C}"/>
            </c:ext>
          </c:extLst>
        </c:ser>
        <c:dLbls>
          <c:showLegendKey val="0"/>
          <c:showVal val="1"/>
          <c:showCatName val="0"/>
          <c:showSerName val="0"/>
          <c:showPercent val="0"/>
          <c:showBubbleSize val="0"/>
        </c:dLbls>
        <c:gapWidth val="70"/>
        <c:overlap val="100"/>
        <c:axId val="174408864"/>
        <c:axId val="174409648"/>
      </c:barChart>
      <c:catAx>
        <c:axId val="174408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2060"/>
                </a:solidFill>
                <a:latin typeface="Calibri"/>
                <a:ea typeface="Calibri"/>
                <a:cs typeface="Calibri"/>
              </a:defRPr>
            </a:pPr>
            <a:endParaRPr lang="fr-FR"/>
          </a:p>
        </c:txPr>
        <c:crossAx val="174409648"/>
        <c:crosses val="autoZero"/>
        <c:auto val="1"/>
        <c:lblAlgn val="ctr"/>
        <c:lblOffset val="100"/>
        <c:tickLblSkip val="1"/>
        <c:tickMarkSkip val="1"/>
        <c:noMultiLvlLbl val="0"/>
      </c:catAx>
      <c:valAx>
        <c:axId val="174409648"/>
        <c:scaling>
          <c:orientation val="minMax"/>
          <c:max val="0.9"/>
        </c:scaling>
        <c:delete val="0"/>
        <c:axPos val="l"/>
        <c:majorGridlines>
          <c:spPr>
            <a:ln w="3175">
              <a:solidFill>
                <a:srgbClr val="FFFFFF"/>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CC"/>
                </a:solidFill>
                <a:latin typeface="Calibri"/>
                <a:ea typeface="Calibri"/>
                <a:cs typeface="Calibri"/>
              </a:defRPr>
            </a:pPr>
            <a:endParaRPr lang="fr-FR"/>
          </a:p>
        </c:txPr>
        <c:crossAx val="174408864"/>
        <c:crosses val="autoZero"/>
        <c:crossBetween val="between"/>
      </c:valAx>
      <c:spPr>
        <a:solidFill>
          <a:srgbClr val="C0C0C0"/>
        </a:solidFill>
        <a:ln w="12700">
          <a:solidFill>
            <a:srgbClr val="808080"/>
          </a:solidFill>
          <a:prstDash val="solid"/>
        </a:ln>
      </c:spPr>
    </c:plotArea>
    <c:legend>
      <c:legendPos val="r"/>
      <c:legendEntry>
        <c:idx val="0"/>
        <c:txPr>
          <a:bodyPr/>
          <a:lstStyle/>
          <a:p>
            <a:pPr>
              <a:defRPr sz="1200" b="1" i="0" u="none" strike="noStrike" baseline="0">
                <a:solidFill>
                  <a:srgbClr val="000080"/>
                </a:solidFill>
                <a:latin typeface="Calibri"/>
                <a:ea typeface="Calibri"/>
                <a:cs typeface="Calibri"/>
              </a:defRPr>
            </a:pPr>
            <a:endParaRPr lang="fr-FR"/>
          </a:p>
        </c:txPr>
      </c:legendEntry>
      <c:layout>
        <c:manualLayout>
          <c:xMode val="edge"/>
          <c:yMode val="edge"/>
          <c:x val="0.14403973509933929"/>
          <c:y val="0.91938997821350765"/>
          <c:w val="0.81456953642384611"/>
          <c:h val="6.1002178649237293E-2"/>
        </c:manualLayout>
      </c:layout>
      <c:overlay val="0"/>
      <c:spPr>
        <a:solidFill>
          <a:srgbClr val="FFFFFF"/>
        </a:solidFill>
        <a:ln>
          <a:solidFill>
            <a:schemeClr val="bg1">
              <a:lumMod val="50000"/>
            </a:schemeClr>
          </a:solidFill>
        </a:ln>
      </c:spPr>
      <c:txPr>
        <a:bodyPr/>
        <a:lstStyle/>
        <a:p>
          <a:pPr>
            <a:defRPr sz="1200" b="1" i="0" u="none" strike="noStrike" baseline="0">
              <a:solidFill>
                <a:srgbClr val="0000FF"/>
              </a:solidFill>
              <a:latin typeface="Calibri"/>
              <a:ea typeface="Calibri"/>
              <a:cs typeface="Calibri"/>
            </a:defRPr>
          </a:pPr>
          <a:endParaRPr lang="fr-FR"/>
        </a:p>
      </c:txPr>
    </c:legend>
    <c:plotVisOnly val="1"/>
    <c:dispBlanksAs val="gap"/>
    <c:showDLblsOverMax val="0"/>
  </c:chart>
  <c:spPr>
    <a:solidFill>
      <a:schemeClr val="bg1">
        <a:lumMod val="95000"/>
      </a:schemeClr>
    </a:solidFill>
    <a:ln w="3175">
      <a:solidFill>
        <a:schemeClr val="bg1">
          <a:lumMod val="50000"/>
        </a:schemeClr>
      </a:solidFill>
      <a:prstDash val="solid"/>
    </a:ln>
    <a:effectLst>
      <a:outerShdw dist="35921" dir="2700000" algn="br">
        <a:schemeClr val="bg1"/>
      </a:outerShdw>
    </a:effectLst>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2060"/>
                </a:solidFill>
                <a:latin typeface="Calibri"/>
                <a:ea typeface="Calibri"/>
                <a:cs typeface="Calibri"/>
              </a:defRPr>
            </a:pPr>
            <a:r>
              <a:rPr lang="fr-FR">
                <a:solidFill>
                  <a:srgbClr val="002060"/>
                </a:solidFill>
              </a:rPr>
              <a:t> Capacité d'autofinancement  / CA</a:t>
            </a:r>
          </a:p>
        </c:rich>
      </c:tx>
      <c:overlay val="1"/>
      <c:spPr>
        <a:noFill/>
        <a:ln w="25400">
          <a:noFill/>
        </a:ln>
      </c:spPr>
    </c:title>
    <c:autoTitleDeleted val="0"/>
    <c:plotArea>
      <c:layout>
        <c:manualLayout>
          <c:layoutTarget val="inner"/>
          <c:xMode val="edge"/>
          <c:yMode val="edge"/>
          <c:x val="1.6501650165016646E-2"/>
          <c:y val="0.18811776661622193"/>
          <c:w val="0.96699669966996704"/>
          <c:h val="0.76347860417169755"/>
        </c:manualLayout>
      </c:layout>
      <c:barChart>
        <c:barDir val="col"/>
        <c:grouping val="clustered"/>
        <c:varyColors val="0"/>
        <c:ser>
          <c:idx val="0"/>
          <c:order val="0"/>
          <c:spPr>
            <a:solidFill>
              <a:srgbClr val="9999FF"/>
            </a:solidFill>
            <a:ln w="12700">
              <a:solidFill>
                <a:srgbClr val="000000"/>
              </a:solidFill>
              <a:prstDash val="solid"/>
            </a:ln>
            <a:effectLst>
              <a:outerShdw dist="50800" dir="2700000" algn="ctr" rotWithShape="0">
                <a:sysClr val="windowText" lastClr="000000"/>
              </a:outerShdw>
            </a:effectLst>
          </c:spPr>
          <c:invertIfNegative val="0"/>
          <c:dLbls>
            <c:dLbl>
              <c:idx val="5"/>
              <c:spPr>
                <a:noFill/>
                <a:ln w="25400">
                  <a:noFill/>
                </a:ln>
              </c:spPr>
              <c:txPr>
                <a:bodyPr/>
                <a:lstStyle/>
                <a:p>
                  <a:pPr>
                    <a:defRPr sz="1200" b="1" i="1" u="none" strike="noStrike" baseline="0">
                      <a:solidFill>
                        <a:srgbClr val="000080"/>
                      </a:solidFill>
                      <a:latin typeface="Calibri"/>
                      <a:ea typeface="Calibri"/>
                      <a:cs typeface="Calibri"/>
                    </a:defRPr>
                  </a:pPr>
                  <a:endParaRPr lang="fr-FR"/>
                </a:p>
              </c:txPr>
              <c:dLblPos val="inEnd"/>
              <c:showLegendKey val="0"/>
              <c:showVal val="1"/>
              <c:showCatName val="0"/>
              <c:showSerName val="0"/>
              <c:showPercent val="0"/>
              <c:showBubbleSize val="0"/>
              <c:extLst>
                <c:ext xmlns:c16="http://schemas.microsoft.com/office/drawing/2014/chart" uri="{C3380CC4-5D6E-409C-BE32-E72D297353CC}">
                  <c16:uniqueId val="{00000000-D790-432B-8769-A9E073A2D906}"/>
                </c:ext>
              </c:extLst>
            </c:dLbl>
            <c:spPr>
              <a:noFill/>
              <a:ln w="25400">
                <a:noFill/>
              </a:ln>
            </c:spPr>
            <c:txPr>
              <a:bodyPr/>
              <a:lstStyle/>
              <a:p>
                <a:pPr>
                  <a:defRPr sz="1200" b="1" i="0" u="none" strike="noStrike" baseline="0">
                    <a:solidFill>
                      <a:srgbClr val="FFFFFF"/>
                    </a:solidFill>
                    <a:latin typeface="Calibri"/>
                    <a:ea typeface="Calibri"/>
                    <a:cs typeface="Calibri"/>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(Ratios!$N$87,Ratios!$L$87,Ratios!$J$87,Ratios!$H$87,Ratios!$F$87)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52BD-4881-86D4-F7B5A0F40E6C}"/>
            </c:ext>
          </c:extLst>
        </c:ser>
        <c:dLbls>
          <c:showLegendKey val="0"/>
          <c:showVal val="0"/>
          <c:showCatName val="0"/>
          <c:showSerName val="0"/>
          <c:showPercent val="0"/>
          <c:showBubbleSize val="0"/>
        </c:dLbls>
        <c:gapWidth val="51"/>
        <c:axId val="193931992"/>
        <c:axId val="193932384"/>
      </c:barChart>
      <c:catAx>
        <c:axId val="193931992"/>
        <c:scaling>
          <c:orientation val="minMax"/>
        </c:scaling>
        <c:delete val="1"/>
        <c:axPos val="b"/>
        <c:majorTickMark val="out"/>
        <c:minorTickMark val="none"/>
        <c:tickLblPos val="nextTo"/>
        <c:crossAx val="193932384"/>
        <c:crosses val="autoZero"/>
        <c:auto val="1"/>
        <c:lblAlgn val="ctr"/>
        <c:lblOffset val="100"/>
        <c:noMultiLvlLbl val="0"/>
      </c:catAx>
      <c:valAx>
        <c:axId val="193932384"/>
        <c:scaling>
          <c:orientation val="minMax"/>
        </c:scaling>
        <c:delete val="1"/>
        <c:axPos val="l"/>
        <c:numFmt formatCode="0.0%" sourceLinked="1"/>
        <c:majorTickMark val="out"/>
        <c:minorTickMark val="none"/>
        <c:tickLblPos val="nextTo"/>
        <c:crossAx val="1939319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chemeClr val="bg1">
        <a:lumMod val="95000"/>
      </a:schemeClr>
    </a:solidFill>
    <a:ln w="3175">
      <a:solidFill>
        <a:schemeClr val="bg1">
          <a:lumMod val="50000"/>
        </a:schemeClr>
      </a:solidFill>
      <a:prstDash val="solid"/>
    </a:ln>
    <a:effectLst>
      <a:outerShdw blurRad="50800" dist="38100" dir="8100000" algn="tr" rotWithShape="0">
        <a:prstClr val="black">
          <a:alpha val="40000"/>
        </a:prstClr>
      </a:outerShdw>
    </a:effectLst>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2060"/>
                </a:solidFill>
                <a:latin typeface="Calibri"/>
                <a:ea typeface="Calibri"/>
                <a:cs typeface="Calibri"/>
              </a:defRPr>
            </a:pPr>
            <a:r>
              <a:rPr lang="fr-FR">
                <a:solidFill>
                  <a:srgbClr val="002060"/>
                </a:solidFill>
              </a:rPr>
              <a:t>Valeur ajoutée par salarié</a:t>
            </a:r>
          </a:p>
        </c:rich>
      </c:tx>
      <c:overlay val="1"/>
      <c:spPr>
        <a:noFill/>
        <a:ln w="25400">
          <a:noFill/>
        </a:ln>
      </c:spPr>
    </c:title>
    <c:autoTitleDeleted val="0"/>
    <c:plotArea>
      <c:layout>
        <c:manualLayout>
          <c:layoutTarget val="inner"/>
          <c:xMode val="edge"/>
          <c:yMode val="edge"/>
          <c:x val="1.7301067293379806E-2"/>
          <c:y val="0.17374550129988631"/>
          <c:w val="0.96539955497059915"/>
          <c:h val="0.71042604975953516"/>
        </c:manualLayout>
      </c:layout>
      <c:barChart>
        <c:barDir val="col"/>
        <c:grouping val="clustered"/>
        <c:varyColors val="0"/>
        <c:ser>
          <c:idx val="0"/>
          <c:order val="0"/>
          <c:spPr>
            <a:solidFill>
              <a:srgbClr val="FFC000"/>
            </a:solidFill>
            <a:ln w="12700">
              <a:solidFill>
                <a:srgbClr val="000000"/>
              </a:solidFill>
              <a:prstDash val="solid"/>
            </a:ln>
            <a:effectLst>
              <a:outerShdw dist="50800" dir="2700000" algn="ctr" rotWithShape="0">
                <a:sysClr val="windowText" lastClr="000000"/>
              </a:outerShdw>
            </a:effectLst>
          </c:spPr>
          <c:invertIfNegative val="0"/>
          <c:dPt>
            <c:idx val="0"/>
            <c:invertIfNegative val="0"/>
            <c:bubble3D val="0"/>
            <c:extLst>
              <c:ext xmlns:c16="http://schemas.microsoft.com/office/drawing/2014/chart" uri="{C3380CC4-5D6E-409C-BE32-E72D297353CC}">
                <c16:uniqueId val="{00000001-4A9C-486F-B18F-62303F6CCA34}"/>
              </c:ext>
            </c:extLst>
          </c:dPt>
          <c:dLbls>
            <c:dLbl>
              <c:idx val="5"/>
              <c:spPr>
                <a:solidFill>
                  <a:srgbClr val="333333"/>
                </a:solidFill>
                <a:ln w="3175">
                  <a:solidFill>
                    <a:srgbClr val="000000"/>
                  </a:solidFill>
                  <a:prstDash val="solid"/>
                </a:ln>
                <a:effectLst>
                  <a:outerShdw dist="35921" dir="2700000" algn="br">
                    <a:srgbClr val="000000"/>
                  </a:outerShdw>
                </a:effectLst>
              </c:spPr>
              <c:txPr>
                <a:bodyPr/>
                <a:lstStyle/>
                <a:p>
                  <a:pPr>
                    <a:defRPr sz="1200" b="1" i="1" u="none" strike="noStrike" baseline="0">
                      <a:solidFill>
                        <a:srgbClr val="000080"/>
                      </a:solidFill>
                      <a:latin typeface="Calibri"/>
                      <a:ea typeface="Calibri"/>
                      <a:cs typeface="Calibri"/>
                    </a:defRPr>
                  </a:pPr>
                  <a:endParaRPr lang="fr-FR"/>
                </a:p>
              </c:txPr>
              <c:dLblPos val="inEnd"/>
              <c:showLegendKey val="0"/>
              <c:showVal val="1"/>
              <c:showCatName val="0"/>
              <c:showSerName val="0"/>
              <c:showPercent val="0"/>
              <c:showBubbleSize val="0"/>
              <c:extLst>
                <c:ext xmlns:c16="http://schemas.microsoft.com/office/drawing/2014/chart" uri="{C3380CC4-5D6E-409C-BE32-E72D297353CC}">
                  <c16:uniqueId val="{00000001-50AE-4BE3-978F-F979A32DE87A}"/>
                </c:ext>
              </c:extLst>
            </c:dLbl>
            <c:spPr>
              <a:solidFill>
                <a:srgbClr val="333333"/>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FFFFFF"/>
                    </a:solidFill>
                    <a:latin typeface="Calibri"/>
                    <a:ea typeface="Calibri"/>
                    <a:cs typeface="Calibri"/>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(Ratios!$N$2,Ratios!$L$2,Ratios!$J$2,Ratios!$H$2,Ratios!$F$2)</c:f>
              <c:strCache>
                <c:ptCount val="5"/>
                <c:pt idx="0">
                  <c:v> </c:v>
                </c:pt>
                <c:pt idx="1">
                  <c:v> </c:v>
                </c:pt>
                <c:pt idx="2">
                  <c:v> </c:v>
                </c:pt>
                <c:pt idx="3">
                  <c:v> </c:v>
                </c:pt>
                <c:pt idx="4">
                  <c:v> </c:v>
                </c:pt>
              </c:strCache>
            </c:strRef>
          </c:cat>
          <c:val>
            <c:numRef>
              <c:f>(Ratios!$N$52,Ratios!$L$52,Ratios!$J$52,Ratios!$H$52,Ratios!$F$52)</c:f>
              <c:numCache>
                <c:formatCode>#\ ##0" K€"</c:formatCode>
                <c:ptCount val="5"/>
                <c:pt idx="0">
                  <c:v>0</c:v>
                </c:pt>
                <c:pt idx="1">
                  <c:v>0</c:v>
                </c:pt>
                <c:pt idx="2">
                  <c:v>0</c:v>
                </c:pt>
                <c:pt idx="3">
                  <c:v>0</c:v>
                </c:pt>
                <c:pt idx="4">
                  <c:v>0</c:v>
                </c:pt>
              </c:numCache>
            </c:numRef>
          </c:val>
          <c:extLst>
            <c:ext xmlns:c16="http://schemas.microsoft.com/office/drawing/2014/chart" uri="{C3380CC4-5D6E-409C-BE32-E72D297353CC}">
              <c16:uniqueId val="{00000003-4A9C-486F-B18F-62303F6CCA34}"/>
            </c:ext>
          </c:extLst>
        </c:ser>
        <c:dLbls>
          <c:showLegendKey val="0"/>
          <c:showVal val="0"/>
          <c:showCatName val="0"/>
          <c:showSerName val="0"/>
          <c:showPercent val="0"/>
          <c:showBubbleSize val="0"/>
        </c:dLbls>
        <c:gapWidth val="55"/>
        <c:axId val="193933168"/>
        <c:axId val="193933560"/>
      </c:barChart>
      <c:catAx>
        <c:axId val="193933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2060"/>
                </a:solidFill>
                <a:latin typeface="Calibri"/>
                <a:ea typeface="Calibri"/>
                <a:cs typeface="Calibri"/>
              </a:defRPr>
            </a:pPr>
            <a:endParaRPr lang="fr-FR"/>
          </a:p>
        </c:txPr>
        <c:crossAx val="193933560"/>
        <c:crosses val="autoZero"/>
        <c:auto val="1"/>
        <c:lblAlgn val="ctr"/>
        <c:lblOffset val="100"/>
        <c:noMultiLvlLbl val="0"/>
      </c:catAx>
      <c:valAx>
        <c:axId val="193933560"/>
        <c:scaling>
          <c:orientation val="minMax"/>
        </c:scaling>
        <c:delete val="1"/>
        <c:axPos val="l"/>
        <c:numFmt formatCode="#\ ##0&quot; K€&quot;" sourceLinked="1"/>
        <c:majorTickMark val="out"/>
        <c:minorTickMark val="none"/>
        <c:tickLblPos val="nextTo"/>
        <c:crossAx val="19393316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chemeClr val="bg1">
        <a:lumMod val="95000"/>
      </a:schemeClr>
    </a:solidFill>
    <a:ln w="3175">
      <a:solidFill>
        <a:schemeClr val="bg1">
          <a:lumMod val="50000"/>
        </a:schemeClr>
      </a:solidFill>
      <a:prstDash val="solid"/>
    </a:ln>
    <a:effectLst>
      <a:outerShdw blurRad="50800" dist="38100" dir="8100000" algn="tr" rotWithShape="0">
        <a:prstClr val="black">
          <a:alpha val="40000"/>
        </a:prstClr>
      </a:outerShdw>
    </a:effectLst>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2060"/>
                </a:solidFill>
                <a:latin typeface="Calibri"/>
                <a:ea typeface="Calibri"/>
                <a:cs typeface="Calibri"/>
              </a:defRPr>
            </a:pPr>
            <a:r>
              <a:rPr lang="fr-FR">
                <a:solidFill>
                  <a:srgbClr val="002060"/>
                </a:solidFill>
              </a:rPr>
              <a:t>Charges de personnel / VA</a:t>
            </a:r>
          </a:p>
        </c:rich>
      </c:tx>
      <c:overlay val="1"/>
      <c:spPr>
        <a:noFill/>
        <a:ln w="25400">
          <a:noFill/>
        </a:ln>
      </c:spPr>
    </c:title>
    <c:autoTitleDeleted val="0"/>
    <c:plotArea>
      <c:layout>
        <c:manualLayout>
          <c:layoutTarget val="inner"/>
          <c:xMode val="edge"/>
          <c:yMode val="edge"/>
          <c:x val="1.6835072190236323E-2"/>
          <c:y val="0.16923076923076918"/>
          <c:w val="0.96633314371956447"/>
          <c:h val="0.71538461538461562"/>
        </c:manualLayout>
      </c:layout>
      <c:barChart>
        <c:barDir val="col"/>
        <c:grouping val="clustered"/>
        <c:varyColors val="0"/>
        <c:ser>
          <c:idx val="0"/>
          <c:order val="0"/>
          <c:spPr>
            <a:solidFill>
              <a:srgbClr val="993366"/>
            </a:solidFill>
            <a:ln w="12700">
              <a:solidFill>
                <a:srgbClr val="000000"/>
              </a:solidFill>
              <a:prstDash val="solid"/>
            </a:ln>
            <a:effectLst>
              <a:outerShdw dist="50800" dir="2700000" algn="ctr" rotWithShape="0">
                <a:sysClr val="windowText" lastClr="000000"/>
              </a:outerShdw>
            </a:effectLst>
          </c:spPr>
          <c:invertIfNegative val="0"/>
          <c:dPt>
            <c:idx val="0"/>
            <c:invertIfNegative val="0"/>
            <c:bubble3D val="0"/>
            <c:extLst>
              <c:ext xmlns:c16="http://schemas.microsoft.com/office/drawing/2014/chart" uri="{C3380CC4-5D6E-409C-BE32-E72D297353CC}">
                <c16:uniqueId val="{00000001-F92C-4CDB-B065-070422E1659E}"/>
              </c:ext>
            </c:extLst>
          </c:dPt>
          <c:dLbls>
            <c:dLbl>
              <c:idx val="5"/>
              <c:numFmt formatCode="0%" sourceLinked="0"/>
              <c:spPr>
                <a:noFill/>
                <a:ln w="25400">
                  <a:noFill/>
                </a:ln>
              </c:spPr>
              <c:txPr>
                <a:bodyPr/>
                <a:lstStyle/>
                <a:p>
                  <a:pPr>
                    <a:defRPr sz="1200" b="1" i="1" u="none" strike="noStrike" baseline="0">
                      <a:solidFill>
                        <a:srgbClr val="000080"/>
                      </a:solidFill>
                      <a:latin typeface="Calibri"/>
                      <a:ea typeface="Calibri"/>
                      <a:cs typeface="Calibri"/>
                    </a:defRPr>
                  </a:pPr>
                  <a:endParaRPr lang="fr-FR"/>
                </a:p>
              </c:txPr>
              <c:dLblPos val="inEnd"/>
              <c:showLegendKey val="0"/>
              <c:showVal val="1"/>
              <c:showCatName val="0"/>
              <c:showSerName val="0"/>
              <c:showPercent val="0"/>
              <c:showBubbleSize val="0"/>
              <c:extLst>
                <c:ext xmlns:c16="http://schemas.microsoft.com/office/drawing/2014/chart" uri="{C3380CC4-5D6E-409C-BE32-E72D297353CC}">
                  <c16:uniqueId val="{00000001-8B21-43B0-85A0-CCE4C391CDDA}"/>
                </c:ext>
              </c:extLst>
            </c:dLbl>
            <c:numFmt formatCode="0%" sourceLinked="0"/>
            <c:spPr>
              <a:noFill/>
              <a:ln w="25400">
                <a:noFill/>
              </a:ln>
            </c:spPr>
            <c:txPr>
              <a:bodyPr/>
              <a:lstStyle/>
              <a:p>
                <a:pPr>
                  <a:defRPr sz="1200" b="1" i="0" u="none" strike="noStrike" baseline="0">
                    <a:solidFill>
                      <a:srgbClr val="FFFFFF"/>
                    </a:solidFill>
                    <a:latin typeface="Calibri"/>
                    <a:ea typeface="Calibri"/>
                    <a:cs typeface="Calibri"/>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(Ratios!$N$2,Ratios!$L$2,Ratios!$J$2,Ratios!$H$2,Ratios!$F$2)</c:f>
              <c:strCache>
                <c:ptCount val="5"/>
                <c:pt idx="0">
                  <c:v> </c:v>
                </c:pt>
                <c:pt idx="1">
                  <c:v> </c:v>
                </c:pt>
                <c:pt idx="2">
                  <c:v> </c:v>
                </c:pt>
                <c:pt idx="3">
                  <c:v> </c:v>
                </c:pt>
                <c:pt idx="4">
                  <c:v> </c:v>
                </c:pt>
              </c:strCache>
            </c:strRef>
          </c:cat>
          <c:val>
            <c:numRef>
              <c:f>(Ratios!$N$56,Ratios!$L$56,Ratios!$J$56,Ratios!$H$56,Ratios!$F$56)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F92C-4CDB-B065-070422E1659E}"/>
            </c:ext>
          </c:extLst>
        </c:ser>
        <c:dLbls>
          <c:showLegendKey val="0"/>
          <c:showVal val="0"/>
          <c:showCatName val="0"/>
          <c:showSerName val="0"/>
          <c:showPercent val="0"/>
          <c:showBubbleSize val="0"/>
        </c:dLbls>
        <c:gapWidth val="55"/>
        <c:axId val="193934344"/>
        <c:axId val="193635544"/>
      </c:barChart>
      <c:catAx>
        <c:axId val="193934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2060"/>
                </a:solidFill>
                <a:latin typeface="Calibri"/>
                <a:ea typeface="Calibri"/>
                <a:cs typeface="Calibri"/>
              </a:defRPr>
            </a:pPr>
            <a:endParaRPr lang="fr-FR"/>
          </a:p>
        </c:txPr>
        <c:crossAx val="193635544"/>
        <c:crosses val="autoZero"/>
        <c:auto val="1"/>
        <c:lblAlgn val="ctr"/>
        <c:lblOffset val="100"/>
        <c:noMultiLvlLbl val="0"/>
      </c:catAx>
      <c:valAx>
        <c:axId val="193635544"/>
        <c:scaling>
          <c:orientation val="minMax"/>
        </c:scaling>
        <c:delete val="1"/>
        <c:axPos val="l"/>
        <c:numFmt formatCode="0.0%" sourceLinked="1"/>
        <c:majorTickMark val="out"/>
        <c:minorTickMark val="none"/>
        <c:tickLblPos val="nextTo"/>
        <c:crossAx val="1939343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chemeClr val="bg1">
        <a:lumMod val="95000"/>
      </a:schemeClr>
    </a:solidFill>
    <a:ln w="3175">
      <a:solidFill>
        <a:schemeClr val="bg1">
          <a:lumMod val="50000"/>
        </a:schemeClr>
      </a:solidFill>
      <a:prstDash val="solid"/>
    </a:ln>
    <a:effectLst>
      <a:outerShdw blurRad="50800" dist="38100" dir="8100000" algn="tr" rotWithShape="0">
        <a:prstClr val="black">
          <a:alpha val="40000"/>
        </a:prstClr>
      </a:outerShdw>
    </a:effectLst>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66CC"/>
                </a:solidFill>
                <a:latin typeface="Calibri"/>
                <a:ea typeface="Calibri"/>
                <a:cs typeface="Calibri"/>
              </a:defRPr>
            </a:pPr>
            <a:r>
              <a:rPr lang="fr-FR"/>
              <a:t>Répartition </a:t>
            </a:r>
            <a:r>
              <a:rPr lang="fr-FR" baseline="0">
                <a:solidFill>
                  <a:srgbClr val="0000CC"/>
                </a:solidFill>
              </a:rPr>
              <a:t>Fonds Propres </a:t>
            </a:r>
            <a:r>
              <a:rPr lang="fr-FR" baseline="0">
                <a:solidFill>
                  <a:schemeClr val="accent2"/>
                </a:solidFill>
              </a:rPr>
              <a:t>- Dettes</a:t>
            </a:r>
          </a:p>
        </c:rich>
      </c:tx>
      <c:overlay val="1"/>
      <c:spPr>
        <a:noFill/>
        <a:ln w="25400">
          <a:noFill/>
        </a:ln>
      </c:spPr>
    </c:title>
    <c:autoTitleDeleted val="0"/>
    <c:view3D>
      <c:rotX val="15"/>
      <c:hPercent val="4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8.2236842105264663E-3"/>
          <c:y val="0.16353908807793846"/>
          <c:w val="0.98519736842104799"/>
          <c:h val="0.63270860305562926"/>
        </c:manualLayout>
      </c:layout>
      <c:bar3DChart>
        <c:barDir val="col"/>
        <c:grouping val="stacked"/>
        <c:varyColors val="0"/>
        <c:ser>
          <c:idx val="0"/>
          <c:order val="0"/>
          <c:tx>
            <c:v>Fonds propres</c:v>
          </c:tx>
          <c:spPr>
            <a:solidFill>
              <a:srgbClr val="00CCFF"/>
            </a:solidFill>
            <a:ln w="12700">
              <a:solidFill>
                <a:srgbClr val="000000"/>
              </a:solidFill>
              <a:prstDash val="solid"/>
            </a:ln>
          </c:spPr>
          <c:invertIfNegative val="0"/>
          <c:dLbls>
            <c:numFmt formatCode="0%" sourceLinked="0"/>
            <c:spPr>
              <a:noFill/>
              <a:ln w="25400">
                <a:noFill/>
              </a:ln>
            </c:spPr>
            <c:txPr>
              <a:bodyPr/>
              <a:lstStyle/>
              <a:p>
                <a:pPr>
                  <a:defRPr sz="1200" b="1" i="0" u="none" strike="noStrike" baseline="0">
                    <a:solidFill>
                      <a:srgbClr val="7030A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(Ratios!$N$2,Ratios!$L$2,Ratios!$J$2,Ratios!$H$2,Ratios!$F$2)</c:f>
              <c:strCache>
                <c:ptCount val="5"/>
                <c:pt idx="0">
                  <c:v> </c:v>
                </c:pt>
                <c:pt idx="1">
                  <c:v> </c:v>
                </c:pt>
                <c:pt idx="2">
                  <c:v> </c:v>
                </c:pt>
                <c:pt idx="3">
                  <c:v> </c:v>
                </c:pt>
                <c:pt idx="4">
                  <c:v> </c:v>
                </c:pt>
              </c:strCache>
            </c:strRef>
          </c:cat>
          <c:val>
            <c:numRef>
              <c:f>(Ratios!$N$100,Ratios!$L$100,Ratios!$J$100,Ratios!$H$100,Ratios!$F$100)</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C0D-4225-B68C-93E958F1F42D}"/>
            </c:ext>
          </c:extLst>
        </c:ser>
        <c:ser>
          <c:idx val="1"/>
          <c:order val="1"/>
          <c:tx>
            <c:v>Dettes</c:v>
          </c:tx>
          <c:spPr>
            <a:solidFill>
              <a:srgbClr val="FF8080"/>
            </a:solidFill>
            <a:ln w="12700">
              <a:solidFill>
                <a:srgbClr val="000000"/>
              </a:solidFill>
              <a:prstDash val="solid"/>
            </a:ln>
          </c:spPr>
          <c:invertIfNegative val="0"/>
          <c:dLbls>
            <c:numFmt formatCode="0%" sourceLinked="0"/>
            <c:spPr>
              <a:noFill/>
              <a:ln w="25400">
                <a:noFill/>
              </a:ln>
            </c:spPr>
            <c:txPr>
              <a:bodyPr/>
              <a:lstStyle/>
              <a:p>
                <a:pPr>
                  <a:defRPr sz="12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(Ratios!$N$2,Ratios!$L$2,Ratios!$J$2,Ratios!$H$2,Ratios!$F$2)</c:f>
              <c:strCache>
                <c:ptCount val="5"/>
                <c:pt idx="0">
                  <c:v> </c:v>
                </c:pt>
                <c:pt idx="1">
                  <c:v> </c:v>
                </c:pt>
                <c:pt idx="2">
                  <c:v> </c:v>
                </c:pt>
                <c:pt idx="3">
                  <c:v> </c:v>
                </c:pt>
                <c:pt idx="4">
                  <c:v> </c:v>
                </c:pt>
              </c:strCache>
            </c:strRef>
          </c:cat>
          <c:val>
            <c:numRef>
              <c:f>(Ratios!$N$99,Ratios!$L$99,Ratios!$J$99,Ratios!$H$99,Ratios!$F$99)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AC0D-4225-B68C-93E958F1F42D}"/>
            </c:ext>
          </c:extLst>
        </c:ser>
        <c:dLbls>
          <c:showLegendKey val="0"/>
          <c:showVal val="0"/>
          <c:showCatName val="0"/>
          <c:showSerName val="0"/>
          <c:showPercent val="0"/>
          <c:showBubbleSize val="0"/>
        </c:dLbls>
        <c:gapWidth val="60"/>
        <c:shape val="box"/>
        <c:axId val="174410432"/>
        <c:axId val="193470008"/>
        <c:axId val="0"/>
      </c:bar3DChart>
      <c:catAx>
        <c:axId val="17441043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200" b="1" i="0" u="none" strike="noStrike" baseline="0">
                <a:solidFill>
                  <a:srgbClr val="0070C0"/>
                </a:solidFill>
                <a:latin typeface="Calibri"/>
                <a:ea typeface="Calibri"/>
                <a:cs typeface="Calibri"/>
              </a:defRPr>
            </a:pPr>
            <a:endParaRPr lang="fr-FR"/>
          </a:p>
        </c:txPr>
        <c:crossAx val="193470008"/>
        <c:crosses val="autoZero"/>
        <c:auto val="1"/>
        <c:lblAlgn val="ctr"/>
        <c:lblOffset val="100"/>
        <c:tickLblSkip val="1"/>
        <c:tickMarkSkip val="1"/>
        <c:noMultiLvlLbl val="0"/>
      </c:catAx>
      <c:valAx>
        <c:axId val="193470008"/>
        <c:scaling>
          <c:orientation val="minMax"/>
        </c:scaling>
        <c:delete val="1"/>
        <c:axPos val="l"/>
        <c:numFmt formatCode="0.0%" sourceLinked="1"/>
        <c:majorTickMark val="out"/>
        <c:minorTickMark val="none"/>
        <c:tickLblPos val="nextTo"/>
        <c:crossAx val="174410432"/>
        <c:crosses val="autoZero"/>
        <c:crossBetween val="between"/>
        <c:majorUnit val="0.2"/>
      </c:valAx>
      <c:spPr>
        <a:noFill/>
        <a:ln w="25400">
          <a:noFill/>
        </a:ln>
      </c:spPr>
    </c:plotArea>
    <c:legend>
      <c:legendPos val="b"/>
      <c:legendEntry>
        <c:idx val="0"/>
        <c:txPr>
          <a:bodyPr/>
          <a:lstStyle/>
          <a:p>
            <a:pPr>
              <a:defRPr sz="1200" b="1" i="0" u="none" strike="noStrike" baseline="0">
                <a:solidFill>
                  <a:schemeClr val="accent2"/>
                </a:solidFill>
                <a:latin typeface="Calibri"/>
                <a:ea typeface="Calibri"/>
                <a:cs typeface="Calibri"/>
              </a:defRPr>
            </a:pPr>
            <a:endParaRPr lang="fr-FR"/>
          </a:p>
        </c:txPr>
      </c:legendEntry>
      <c:legendEntry>
        <c:idx val="1"/>
        <c:txPr>
          <a:bodyPr/>
          <a:lstStyle/>
          <a:p>
            <a:pPr>
              <a:defRPr sz="1200" b="1" i="0" u="none" strike="noStrike" baseline="0">
                <a:solidFill>
                  <a:srgbClr val="000080"/>
                </a:solidFill>
                <a:latin typeface="Calibri"/>
                <a:ea typeface="Calibri"/>
                <a:cs typeface="Calibri"/>
              </a:defRPr>
            </a:pPr>
            <a:endParaRPr lang="fr-FR"/>
          </a:p>
        </c:txPr>
      </c:legendEntry>
      <c:layout>
        <c:manualLayout>
          <c:xMode val="edge"/>
          <c:yMode val="edge"/>
          <c:x val="0.25493421052631321"/>
          <c:y val="0.90884835228930339"/>
          <c:w val="0.51315789473684226"/>
          <c:h val="7.5067074948964904E-2"/>
        </c:manualLayout>
      </c:layout>
      <c:overlay val="0"/>
      <c:spPr>
        <a:solidFill>
          <a:srgbClr val="FFFFFF"/>
        </a:solidFill>
        <a:ln w="3175">
          <a:solidFill>
            <a:schemeClr val="bg1">
              <a:lumMod val="50000"/>
            </a:schemeClr>
          </a:solidFill>
          <a:prstDash val="solid"/>
        </a:ln>
        <a:effectLst>
          <a:outerShdw dist="35921" dir="2700000" algn="br">
            <a:srgbClr val="000000"/>
          </a:outerShdw>
        </a:effectLst>
      </c:spPr>
      <c:txPr>
        <a:bodyPr/>
        <a:lstStyle/>
        <a:p>
          <a:pPr>
            <a:defRPr sz="1200" b="0" i="0" u="none" strike="noStrike" baseline="0">
              <a:solidFill>
                <a:srgbClr val="000080"/>
              </a:solidFill>
              <a:latin typeface="Calibri"/>
              <a:ea typeface="Calibri"/>
              <a:cs typeface="Calibri"/>
            </a:defRPr>
          </a:pPr>
          <a:endParaRPr lang="fr-FR"/>
        </a:p>
      </c:txPr>
    </c:legend>
    <c:plotVisOnly val="1"/>
    <c:dispBlanksAs val="gap"/>
    <c:showDLblsOverMax val="0"/>
  </c:chart>
  <c:spPr>
    <a:solidFill>
      <a:schemeClr val="bg1">
        <a:lumMod val="95000"/>
      </a:schemeClr>
    </a:solidFill>
    <a:ln w="3175">
      <a:solidFill>
        <a:schemeClr val="bg1">
          <a:lumMod val="50000"/>
        </a:schemeClr>
      </a:solidFill>
      <a:prstDash val="solid"/>
    </a:ln>
    <a:effectLst>
      <a:outerShdw blurRad="50800" dist="38100" dir="8100000" algn="tr" rotWithShape="0">
        <a:prstClr val="black">
          <a:alpha val="40000"/>
        </a:prstClr>
      </a:outerShdw>
    </a:effectLst>
  </c:spPr>
  <c:txPr>
    <a:bodyPr/>
    <a:lstStyle/>
    <a:p>
      <a:pPr>
        <a:defRPr sz="162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66CC"/>
                </a:solidFill>
                <a:latin typeface="Calibri"/>
                <a:ea typeface="Calibri"/>
                <a:cs typeface="Calibri"/>
              </a:defRPr>
            </a:pPr>
            <a:r>
              <a:rPr lang="fr-FR"/>
              <a:t>Répartition </a:t>
            </a:r>
            <a:r>
              <a:rPr lang="fr-FR" baseline="0">
                <a:solidFill>
                  <a:srgbClr val="0000CC"/>
                </a:solidFill>
              </a:rPr>
              <a:t>Fonds Propres </a:t>
            </a:r>
            <a:r>
              <a:rPr lang="fr-FR"/>
              <a:t>- </a:t>
            </a:r>
            <a:r>
              <a:rPr lang="fr-FR" baseline="0">
                <a:solidFill>
                  <a:schemeClr val="accent3">
                    <a:lumMod val="50000"/>
                  </a:schemeClr>
                </a:solidFill>
              </a:rPr>
              <a:t>Endettement financier</a:t>
            </a:r>
          </a:p>
        </c:rich>
      </c:tx>
      <c:overlay val="1"/>
      <c:spPr>
        <a:noFill/>
        <a:ln w="25400">
          <a:noFill/>
        </a:ln>
      </c:spPr>
    </c:title>
    <c:autoTitleDeleted val="0"/>
    <c:plotArea>
      <c:layout>
        <c:manualLayout>
          <c:layoutTarget val="inner"/>
          <c:xMode val="edge"/>
          <c:yMode val="edge"/>
          <c:x val="1.3245043820043958E-2"/>
          <c:y val="0.18617045453069794"/>
          <c:w val="0.97682198172824219"/>
          <c:h val="0.5930858765763648"/>
        </c:manualLayout>
      </c:layout>
      <c:barChart>
        <c:barDir val="col"/>
        <c:grouping val="clustered"/>
        <c:varyColors val="0"/>
        <c:ser>
          <c:idx val="0"/>
          <c:order val="0"/>
          <c:tx>
            <c:v>Capitaux propres</c:v>
          </c:tx>
          <c:spPr>
            <a:solidFill>
              <a:srgbClr val="00CCFF"/>
            </a:solidFill>
            <a:ln w="12700">
              <a:solidFill>
                <a:srgbClr val="000000"/>
              </a:solidFill>
              <a:prstDash val="solid"/>
            </a:ln>
            <a:effectLst>
              <a:outerShdw dist="50800" dir="2700000" algn="br">
                <a:srgbClr val="000000"/>
              </a:outerShdw>
            </a:effectLst>
          </c:spPr>
          <c:invertIfNegative val="0"/>
          <c:dLbls>
            <c:numFmt formatCode="0%" sourceLinked="0"/>
            <c:spPr>
              <a:noFill/>
              <a:ln w="25400">
                <a:noFill/>
              </a:ln>
            </c:spPr>
            <c:txPr>
              <a:bodyPr/>
              <a:lstStyle/>
              <a:p>
                <a:pPr>
                  <a:defRPr sz="1200" b="1" i="0" u="none" strike="noStrike" baseline="0">
                    <a:solidFill>
                      <a:srgbClr val="7030A0"/>
                    </a:solidFill>
                    <a:latin typeface="Calibri"/>
                    <a:ea typeface="Calibri"/>
                    <a:cs typeface="Calibri"/>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(Ratios!$N$118,Ratios!$L$118,Ratios!$J$118,Ratios!$H$118,Ratios!$F$118)</c:f>
              <c:numCache>
                <c:formatCode>0.0%</c:formatCode>
                <c:ptCount val="5"/>
                <c:pt idx="0">
                  <c:v>0</c:v>
                </c:pt>
                <c:pt idx="1">
                  <c:v>0</c:v>
                </c:pt>
                <c:pt idx="2">
                  <c:v>0</c:v>
                </c:pt>
                <c:pt idx="3">
                  <c:v>0</c:v>
                </c:pt>
                <c:pt idx="4">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(Ratios!#REF!,Ratios!#REF!,Ratios!#REF!,Ratios!#REF!,Ratios!#REF!)</c15:sqref>
                        </c15:formulaRef>
                      </c:ext>
                    </c:extLst>
                  </c:multiLvlStrRef>
                </c15:cat>
              </c15:filteredCategoryTitle>
            </c:ext>
            <c:ext xmlns:c16="http://schemas.microsoft.com/office/drawing/2014/chart" uri="{C3380CC4-5D6E-409C-BE32-E72D297353CC}">
              <c16:uniqueId val="{00000000-EA8A-4FE5-81F9-A6D800CE0F13}"/>
            </c:ext>
          </c:extLst>
        </c:ser>
        <c:ser>
          <c:idx val="1"/>
          <c:order val="1"/>
          <c:tx>
            <c:v>Endettement financier</c:v>
          </c:tx>
          <c:spPr>
            <a:solidFill>
              <a:srgbClr val="808000"/>
            </a:solidFill>
            <a:ln w="12700">
              <a:solidFill>
                <a:srgbClr val="000000"/>
              </a:solidFill>
              <a:prstDash val="solid"/>
            </a:ln>
            <a:effectLst>
              <a:outerShdw dist="50800" dir="2700000" algn="ctr" rotWithShape="0">
                <a:sysClr val="windowText" lastClr="000000"/>
              </a:outerShdw>
            </a:effectLst>
          </c:spPr>
          <c:invertIfNegative val="0"/>
          <c:dLbls>
            <c:numFmt formatCode="0%" sourceLinked="0"/>
            <c:spPr>
              <a:noFill/>
              <a:ln w="25400">
                <a:noFill/>
              </a:ln>
            </c:spPr>
            <c:txPr>
              <a:bodyPr/>
              <a:lstStyle/>
              <a:p>
                <a:pPr>
                  <a:defRPr sz="1200" b="1" i="0" u="none" strike="noStrike" baseline="0">
                    <a:solidFill>
                      <a:srgbClr val="FFFFFF"/>
                    </a:solidFill>
                    <a:latin typeface="Calibri"/>
                    <a:ea typeface="Calibri"/>
                    <a:cs typeface="Calibri"/>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(Ratios!$N$117,Ratios!$L$117,Ratios!$J$117,Ratios!$H$117,Ratios!$F$117)</c:f>
              <c:numCache>
                <c:formatCode>0.0%</c:formatCode>
                <c:ptCount val="5"/>
                <c:pt idx="0">
                  <c:v>0</c:v>
                </c:pt>
                <c:pt idx="1">
                  <c:v>0</c:v>
                </c:pt>
                <c:pt idx="2">
                  <c:v>0</c:v>
                </c:pt>
                <c:pt idx="3">
                  <c:v>0</c:v>
                </c:pt>
                <c:pt idx="4">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(Ratios!#REF!,Ratios!#REF!,Ratios!#REF!,Ratios!#REF!,Ratios!#REF!)</c15:sqref>
                        </c15:formulaRef>
                      </c:ext>
                    </c:extLst>
                  </c:multiLvlStrRef>
                </c15:cat>
              </c15:filteredCategoryTitle>
            </c:ext>
            <c:ext xmlns:c16="http://schemas.microsoft.com/office/drawing/2014/chart" uri="{C3380CC4-5D6E-409C-BE32-E72D297353CC}">
              <c16:uniqueId val="{00000001-EA8A-4FE5-81F9-A6D800CE0F13}"/>
            </c:ext>
          </c:extLst>
        </c:ser>
        <c:dLbls>
          <c:showLegendKey val="0"/>
          <c:showVal val="1"/>
          <c:showCatName val="0"/>
          <c:showSerName val="0"/>
          <c:showPercent val="0"/>
          <c:showBubbleSize val="0"/>
        </c:dLbls>
        <c:gapWidth val="10"/>
        <c:axId val="193470792"/>
        <c:axId val="193471184"/>
      </c:barChart>
      <c:dateAx>
        <c:axId val="193470792"/>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FFFFFF"/>
                </a:solidFill>
                <a:latin typeface="Calibri"/>
                <a:ea typeface="Calibri"/>
                <a:cs typeface="Calibri"/>
              </a:defRPr>
            </a:pPr>
            <a:endParaRPr lang="fr-FR"/>
          </a:p>
        </c:txPr>
        <c:crossAx val="193471184"/>
        <c:crosses val="autoZero"/>
        <c:auto val="0"/>
        <c:lblOffset val="100"/>
        <c:baseTimeUnit val="days"/>
        <c:majorUnit val="1"/>
        <c:majorTimeUnit val="days"/>
        <c:minorUnit val="1"/>
        <c:minorTimeUnit val="days"/>
      </c:dateAx>
      <c:valAx>
        <c:axId val="193471184"/>
        <c:scaling>
          <c:orientation val="minMax"/>
        </c:scaling>
        <c:delete val="1"/>
        <c:axPos val="l"/>
        <c:numFmt formatCode="0.0%" sourceLinked="1"/>
        <c:majorTickMark val="out"/>
        <c:minorTickMark val="none"/>
        <c:tickLblPos val="nextTo"/>
        <c:crossAx val="193470792"/>
        <c:crosses val="autoZero"/>
        <c:crossBetween val="between"/>
      </c:valAx>
      <c:spPr>
        <a:solidFill>
          <a:srgbClr val="C0C0C0"/>
        </a:solidFill>
        <a:ln w="12700">
          <a:solidFill>
            <a:srgbClr val="808080"/>
          </a:solidFill>
          <a:prstDash val="solid"/>
        </a:ln>
      </c:spPr>
    </c:plotArea>
    <c:legend>
      <c:legendPos val="b"/>
      <c:legendEntry>
        <c:idx val="1"/>
        <c:txPr>
          <a:bodyPr/>
          <a:lstStyle/>
          <a:p>
            <a:pPr>
              <a:defRPr sz="1200" b="1" i="0" u="none" strike="noStrike" baseline="0">
                <a:solidFill>
                  <a:srgbClr val="808000"/>
                </a:solidFill>
                <a:latin typeface="Calibri"/>
                <a:ea typeface="Calibri"/>
                <a:cs typeface="Calibri"/>
              </a:defRPr>
            </a:pPr>
            <a:endParaRPr lang="fr-FR"/>
          </a:p>
        </c:txPr>
      </c:legendEntry>
      <c:layout>
        <c:manualLayout>
          <c:xMode val="edge"/>
          <c:yMode val="edge"/>
          <c:x val="0.16721854304635791"/>
          <c:y val="0.89042357274401451"/>
          <c:w val="0.72847682119205326"/>
          <c:h val="8.0110497237569231E-2"/>
        </c:manualLayout>
      </c:layout>
      <c:overlay val="0"/>
      <c:spPr>
        <a:solidFill>
          <a:srgbClr val="FFFFFF"/>
        </a:solidFill>
        <a:ln w="3175">
          <a:solidFill>
            <a:schemeClr val="bg1">
              <a:lumMod val="50000"/>
            </a:schemeClr>
          </a:solidFill>
          <a:prstDash val="solid"/>
        </a:ln>
        <a:effectLst>
          <a:outerShdw dist="35921" dir="2700000" algn="br">
            <a:srgbClr val="000000"/>
          </a:outerShdw>
        </a:effectLst>
      </c:spPr>
      <c:txPr>
        <a:bodyPr/>
        <a:lstStyle/>
        <a:p>
          <a:pPr>
            <a:defRPr sz="1200" b="1" i="0" u="none" strike="noStrike" baseline="0">
              <a:solidFill>
                <a:srgbClr val="000080"/>
              </a:solidFill>
              <a:latin typeface="Calibri"/>
              <a:ea typeface="Calibri"/>
              <a:cs typeface="Calibri"/>
            </a:defRPr>
          </a:pPr>
          <a:endParaRPr lang="fr-FR"/>
        </a:p>
      </c:txPr>
    </c:legend>
    <c:plotVisOnly val="1"/>
    <c:dispBlanksAs val="gap"/>
    <c:showDLblsOverMax val="0"/>
  </c:chart>
  <c:spPr>
    <a:solidFill>
      <a:schemeClr val="bg1">
        <a:lumMod val="95000"/>
      </a:schemeClr>
    </a:solidFill>
    <a:ln w="3175">
      <a:solidFill>
        <a:schemeClr val="bg1">
          <a:lumMod val="50000"/>
        </a:schemeClr>
      </a:solidFill>
      <a:prstDash val="solid"/>
    </a:ln>
    <a:effectLst>
      <a:outerShdw blurRad="50800" dist="38100" dir="8100000" algn="tr" rotWithShape="0">
        <a:prstClr val="black">
          <a:alpha val="40000"/>
        </a:prstClr>
      </a:outerShdw>
    </a:effectLst>
  </c:spPr>
  <c:txPr>
    <a:bodyPr/>
    <a:lstStyle/>
    <a:p>
      <a:pPr>
        <a:defRPr sz="16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paperSize="9" orientation="landscape" horizontalDpi="200" verticalDpi="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2060"/>
                </a:solidFill>
                <a:latin typeface="Calibri"/>
                <a:ea typeface="Calibri"/>
                <a:cs typeface="Calibri"/>
              </a:defRPr>
            </a:pPr>
            <a:r>
              <a:rPr lang="fr-FR">
                <a:solidFill>
                  <a:srgbClr val="002060"/>
                </a:solidFill>
              </a:rPr>
              <a:t>Evolution du chiffre d'affaires</a:t>
            </a:r>
          </a:p>
        </c:rich>
      </c:tx>
      <c:layout>
        <c:manualLayout>
          <c:xMode val="edge"/>
          <c:yMode val="edge"/>
          <c:x val="0.35632235625719288"/>
          <c:y val="3.3247974437977952E-2"/>
        </c:manualLayout>
      </c:layout>
      <c:overlay val="0"/>
      <c:spPr>
        <a:noFill/>
        <a:ln w="25400">
          <a:noFill/>
        </a:ln>
      </c:spPr>
    </c:title>
    <c:autoTitleDeleted val="0"/>
    <c:view3D>
      <c:rotX val="15"/>
      <c:hPercent val="50"/>
      <c:rotY val="4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8.7028054168036564E-2"/>
          <c:y val="0.13260883641393131"/>
          <c:w val="0.88998500677501369"/>
          <c:h val="0.68695725093118565"/>
        </c:manualLayout>
      </c:layout>
      <c:bar3DChart>
        <c:barDir val="col"/>
        <c:grouping val="stacked"/>
        <c:varyColors val="0"/>
        <c:ser>
          <c:idx val="0"/>
          <c:order val="0"/>
          <c:tx>
            <c:strRef>
              <c:f>Graphiques!$I$3</c:f>
              <c:strCache>
                <c:ptCount val="1"/>
                <c:pt idx="0">
                  <c:v>Export</c:v>
                </c:pt>
              </c:strCache>
            </c:strRef>
          </c:tx>
          <c:spPr>
            <a:solidFill>
              <a:srgbClr val="008080"/>
            </a:solidFill>
            <a:ln w="12700">
              <a:solidFill>
                <a:srgbClr val="000000"/>
              </a:solidFill>
              <a:prstDash val="solid"/>
            </a:ln>
          </c:spPr>
          <c:invertIfNegative val="0"/>
          <c:dLbls>
            <c:numFmt formatCode="#,##0&quot; K€&quot;" sourceLinked="0"/>
            <c:spPr>
              <a:solidFill>
                <a:srgbClr val="008080"/>
              </a:solidFill>
              <a:ln w="3175">
                <a:solidFill>
                  <a:srgbClr val="000000"/>
                </a:solidFill>
                <a:prstDash val="solid"/>
              </a:ln>
              <a:effectLst>
                <a:outerShdw dist="35921" dir="2700000" algn="br">
                  <a:srgbClr val="000000"/>
                </a:outerShdw>
              </a:effectLst>
            </c:spPr>
            <c:txPr>
              <a:bodyPr/>
              <a:lstStyle/>
              <a:p>
                <a:pPr>
                  <a:defRPr sz="9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Graphiques!$J$2:$N$2</c:f>
              <c:strCache>
                <c:ptCount val="5"/>
                <c:pt idx="0">
                  <c:v>0</c:v>
                </c:pt>
                <c:pt idx="1">
                  <c:v> </c:v>
                </c:pt>
                <c:pt idx="2">
                  <c:v> </c:v>
                </c:pt>
                <c:pt idx="3">
                  <c:v> </c:v>
                </c:pt>
                <c:pt idx="4">
                  <c:v> </c:v>
                </c:pt>
              </c:strCache>
            </c:strRef>
          </c:cat>
          <c:val>
            <c:numRef>
              <c:f>Graphiques!$J$3:$N$3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664-40A2-9710-1B046A15A5E3}"/>
            </c:ext>
          </c:extLst>
        </c:ser>
        <c:ser>
          <c:idx val="1"/>
          <c:order val="1"/>
          <c:tx>
            <c:strRef>
              <c:f>Graphiques!$I$4</c:f>
              <c:strCache>
                <c:ptCount val="1"/>
                <c:pt idx="0">
                  <c:v>France</c:v>
                </c:pt>
              </c:strCache>
            </c:strRef>
          </c:tx>
          <c:spPr>
            <a:solidFill>
              <a:srgbClr val="FFFF00"/>
            </a:solidFill>
            <a:ln w="12700">
              <a:solidFill>
                <a:srgbClr val="000000"/>
              </a:solidFill>
              <a:prstDash val="solid"/>
            </a:ln>
          </c:spPr>
          <c:invertIfNegative val="0"/>
          <c:dLbls>
            <c:numFmt formatCode="#,##0&quot; K€&quot;" sourceLinked="0"/>
            <c:spPr>
              <a:solidFill>
                <a:srgbClr val="333333"/>
              </a:solidFill>
              <a:ln w="3175">
                <a:solidFill>
                  <a:srgbClr val="000000"/>
                </a:solidFill>
                <a:prstDash val="solid"/>
              </a:ln>
              <a:effectLst>
                <a:outerShdw dist="35921" dir="2700000" algn="br">
                  <a:srgbClr val="000000"/>
                </a:outerShdw>
              </a:effectLst>
            </c:spPr>
            <c:txPr>
              <a:bodyPr/>
              <a:lstStyle/>
              <a:p>
                <a:pPr>
                  <a:defRPr sz="11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Graphiques!$J$2:$N$2</c:f>
              <c:strCache>
                <c:ptCount val="5"/>
                <c:pt idx="0">
                  <c:v>0</c:v>
                </c:pt>
                <c:pt idx="1">
                  <c:v> </c:v>
                </c:pt>
                <c:pt idx="2">
                  <c:v> </c:v>
                </c:pt>
                <c:pt idx="3">
                  <c:v> </c:v>
                </c:pt>
                <c:pt idx="4">
                  <c:v> </c:v>
                </c:pt>
              </c:strCache>
            </c:strRef>
          </c:cat>
          <c:val>
            <c:numRef>
              <c:f>Graphiques!$J$4:$N$4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0664-40A2-9710-1B046A15A5E3}"/>
            </c:ext>
          </c:extLst>
        </c:ser>
        <c:dLbls>
          <c:showLegendKey val="0"/>
          <c:showVal val="0"/>
          <c:showCatName val="0"/>
          <c:showSerName val="0"/>
          <c:showPercent val="0"/>
          <c:showBubbleSize val="0"/>
        </c:dLbls>
        <c:gapWidth val="50"/>
        <c:shape val="cylinder"/>
        <c:axId val="193471968"/>
        <c:axId val="193472360"/>
        <c:axId val="0"/>
      </c:bar3DChart>
      <c:catAx>
        <c:axId val="1934719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100" b="1" i="0" u="none" strike="noStrike" baseline="0">
                <a:solidFill>
                  <a:srgbClr val="002060"/>
                </a:solidFill>
                <a:latin typeface="Calibri"/>
                <a:ea typeface="Calibri"/>
                <a:cs typeface="Calibri"/>
              </a:defRPr>
            </a:pPr>
            <a:endParaRPr lang="fr-FR"/>
          </a:p>
        </c:txPr>
        <c:crossAx val="193472360"/>
        <c:crosses val="autoZero"/>
        <c:auto val="1"/>
        <c:lblAlgn val="ctr"/>
        <c:lblOffset val="100"/>
        <c:tickLblSkip val="1"/>
        <c:tickMarkSkip val="1"/>
        <c:noMultiLvlLbl val="0"/>
      </c:catAx>
      <c:valAx>
        <c:axId val="193472360"/>
        <c:scaling>
          <c:orientation val="minMax"/>
        </c:scaling>
        <c:delete val="0"/>
        <c:axPos val="l"/>
        <c:majorGridlines>
          <c:spPr>
            <a:ln w="3175">
              <a:solidFill>
                <a:srgbClr val="FFFFFF"/>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2060"/>
                </a:solidFill>
                <a:latin typeface="Calibri"/>
                <a:ea typeface="Calibri"/>
                <a:cs typeface="Calibri"/>
              </a:defRPr>
            </a:pPr>
            <a:endParaRPr lang="fr-FR"/>
          </a:p>
        </c:txPr>
        <c:crossAx val="193471968"/>
        <c:crosses val="autoZero"/>
        <c:crossBetween val="between"/>
      </c:valAx>
      <c:spPr>
        <a:noFill/>
        <a:ln w="25400">
          <a:noFill/>
        </a:ln>
      </c:spPr>
    </c:plotArea>
    <c:legend>
      <c:legendPos val="r"/>
      <c:legendEntry>
        <c:idx val="0"/>
        <c:txPr>
          <a:bodyPr/>
          <a:lstStyle/>
          <a:p>
            <a:pPr>
              <a:defRPr sz="1200" b="1" i="0" u="none" strike="noStrike" baseline="0">
                <a:solidFill>
                  <a:srgbClr val="FFFF00"/>
                </a:solidFill>
                <a:latin typeface="Calibri"/>
                <a:ea typeface="Calibri"/>
                <a:cs typeface="Calibri"/>
              </a:defRPr>
            </a:pPr>
            <a:endParaRPr lang="fr-FR"/>
          </a:p>
        </c:txPr>
      </c:legendEntry>
      <c:legendEntry>
        <c:idx val="1"/>
        <c:txPr>
          <a:bodyPr/>
          <a:lstStyle/>
          <a:p>
            <a:pPr>
              <a:defRPr sz="1200" b="1" i="0" u="none" strike="noStrike" baseline="0">
                <a:solidFill>
                  <a:srgbClr val="008080"/>
                </a:solidFill>
                <a:latin typeface="Calibri"/>
                <a:ea typeface="Calibri"/>
                <a:cs typeface="Calibri"/>
              </a:defRPr>
            </a:pPr>
            <a:endParaRPr lang="fr-FR"/>
          </a:p>
        </c:txPr>
      </c:legendEntry>
      <c:layout>
        <c:manualLayout>
          <c:xMode val="edge"/>
          <c:yMode val="edge"/>
          <c:x val="0.24630576350369995"/>
          <c:y val="0.92174004336415072"/>
          <c:w val="0.53694667476910263"/>
          <c:h val="6.0869565217391314E-2"/>
        </c:manualLayout>
      </c:layout>
      <c:overlay val="0"/>
      <c:spPr>
        <a:solidFill>
          <a:srgbClr val="C0C0C0"/>
        </a:solidFill>
        <a:ln w="3175">
          <a:solidFill>
            <a:schemeClr val="bg1">
              <a:lumMod val="50000"/>
            </a:schemeClr>
          </a:solidFill>
          <a:prstDash val="solid"/>
        </a:ln>
        <a:effectLst>
          <a:outerShdw dist="35921" dir="2700000" algn="br">
            <a:schemeClr val="bg1"/>
          </a:outerShdw>
        </a:effectLst>
      </c:spPr>
      <c:txPr>
        <a:bodyPr/>
        <a:lstStyle/>
        <a:p>
          <a:pPr>
            <a:defRPr sz="1100" b="1" i="0" u="none" strike="noStrike" baseline="0">
              <a:solidFill>
                <a:srgbClr val="000000"/>
              </a:solidFill>
              <a:latin typeface="Calibri"/>
              <a:ea typeface="Calibri"/>
              <a:cs typeface="Calibri"/>
            </a:defRPr>
          </a:pPr>
          <a:endParaRPr lang="fr-FR"/>
        </a:p>
      </c:txPr>
    </c:legend>
    <c:plotVisOnly val="1"/>
    <c:dispBlanksAs val="gap"/>
    <c:showDLblsOverMax val="0"/>
  </c:chart>
  <c:spPr>
    <a:solidFill>
      <a:schemeClr val="bg1">
        <a:lumMod val="95000"/>
      </a:schemeClr>
    </a:solidFill>
    <a:ln w="3175">
      <a:solidFill>
        <a:schemeClr val="bg1">
          <a:lumMod val="50000"/>
        </a:schemeClr>
      </a:solidFill>
      <a:prstDash val="solid"/>
    </a:ln>
    <a:effectLst>
      <a:outerShdw dist="35921" dir="2700000" algn="br">
        <a:schemeClr val="bg1"/>
      </a:outerShdw>
    </a:effectLst>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paperSize="9" orientation="landscape" horizontalDpi="200" verticalDpi="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2060"/>
                </a:solidFill>
                <a:latin typeface="Calibri"/>
                <a:ea typeface="Calibri"/>
                <a:cs typeface="Calibri"/>
              </a:defRPr>
            </a:pPr>
            <a:r>
              <a:rPr lang="fr-FR">
                <a:solidFill>
                  <a:srgbClr val="002060"/>
                </a:solidFill>
              </a:rPr>
              <a:t>Chiffre d'affaires par salarié</a:t>
            </a:r>
          </a:p>
        </c:rich>
      </c:tx>
      <c:overlay val="1"/>
      <c:spPr>
        <a:noFill/>
        <a:ln w="25400">
          <a:noFill/>
        </a:ln>
      </c:spPr>
    </c:title>
    <c:autoTitleDeleted val="0"/>
    <c:plotArea>
      <c:layout>
        <c:manualLayout>
          <c:layoutTarget val="inner"/>
          <c:xMode val="edge"/>
          <c:yMode val="edge"/>
          <c:x val="2.4016665138155566E-2"/>
          <c:y val="0.16216255271461844"/>
          <c:w val="0.96528105089332061"/>
          <c:h val="0.70656503861954278"/>
        </c:manualLayout>
      </c:layout>
      <c:barChart>
        <c:barDir val="col"/>
        <c:grouping val="clustered"/>
        <c:varyColors val="0"/>
        <c:ser>
          <c:idx val="0"/>
          <c:order val="0"/>
          <c:spPr>
            <a:solidFill>
              <a:srgbClr val="FFFF00"/>
            </a:solidFill>
            <a:ln w="12700">
              <a:solidFill>
                <a:srgbClr val="000000"/>
              </a:solidFill>
              <a:prstDash val="solid"/>
            </a:ln>
            <a:effectLst>
              <a:outerShdw dist="50800" dir="2700000" algn="ctr" rotWithShape="0">
                <a:sysClr val="windowText" lastClr="000000"/>
              </a:outerShdw>
            </a:effectLst>
          </c:spPr>
          <c:invertIfNegative val="0"/>
          <c:dPt>
            <c:idx val="0"/>
            <c:invertIfNegative val="0"/>
            <c:bubble3D val="0"/>
            <c:extLst>
              <c:ext xmlns:c16="http://schemas.microsoft.com/office/drawing/2014/chart" uri="{C3380CC4-5D6E-409C-BE32-E72D297353CC}">
                <c16:uniqueId val="{00000001-1B89-47F3-AF78-0355A96D040B}"/>
              </c:ext>
            </c:extLst>
          </c:dPt>
          <c:dLbls>
            <c:spPr>
              <a:solidFill>
                <a:srgbClr val="333333"/>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chemeClr val="bg1"/>
                    </a:solidFill>
                    <a:latin typeface="Calibri" pitchFamily="34" charset="0"/>
                    <a:ea typeface="Times New Roman"/>
                    <a:cs typeface="Times New Roman"/>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(Ratios!$N$2,Ratios!$L$2,Ratios!$J$2,Ratios!$H$2,Ratios!$F$2)</c:f>
              <c:strCache>
                <c:ptCount val="5"/>
                <c:pt idx="0">
                  <c:v> </c:v>
                </c:pt>
                <c:pt idx="1">
                  <c:v> </c:v>
                </c:pt>
                <c:pt idx="2">
                  <c:v> </c:v>
                </c:pt>
                <c:pt idx="3">
                  <c:v> </c:v>
                </c:pt>
                <c:pt idx="4">
                  <c:v> </c:v>
                </c:pt>
              </c:strCache>
            </c:strRef>
          </c:cat>
          <c:val>
            <c:numRef>
              <c:f>(Ratios!$N$23,Ratios!$L$23,Ratios!$J$23,Ratios!$H$23,Ratios!$F$23)</c:f>
              <c:numCache>
                <c:formatCode>#\ ##0" K€"</c:formatCode>
                <c:ptCount val="5"/>
                <c:pt idx="0">
                  <c:v>0</c:v>
                </c:pt>
                <c:pt idx="1">
                  <c:v>0</c:v>
                </c:pt>
                <c:pt idx="2">
                  <c:v>0</c:v>
                </c:pt>
                <c:pt idx="3">
                  <c:v>0</c:v>
                </c:pt>
                <c:pt idx="4">
                  <c:v>0</c:v>
                </c:pt>
              </c:numCache>
            </c:numRef>
          </c:val>
          <c:extLst>
            <c:ext xmlns:c16="http://schemas.microsoft.com/office/drawing/2014/chart" uri="{C3380CC4-5D6E-409C-BE32-E72D297353CC}">
              <c16:uniqueId val="{00000002-1B89-47F3-AF78-0355A96D040B}"/>
            </c:ext>
          </c:extLst>
        </c:ser>
        <c:dLbls>
          <c:showLegendKey val="0"/>
          <c:showVal val="0"/>
          <c:showCatName val="0"/>
          <c:showSerName val="0"/>
          <c:showPercent val="0"/>
          <c:showBubbleSize val="0"/>
        </c:dLbls>
        <c:gapWidth val="50"/>
        <c:axId val="193241624"/>
        <c:axId val="193242016"/>
      </c:barChart>
      <c:catAx>
        <c:axId val="193241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2060"/>
                </a:solidFill>
                <a:latin typeface="Calibri"/>
                <a:ea typeface="Calibri"/>
                <a:cs typeface="Calibri"/>
              </a:defRPr>
            </a:pPr>
            <a:endParaRPr lang="fr-FR"/>
          </a:p>
        </c:txPr>
        <c:crossAx val="193242016"/>
        <c:crosses val="autoZero"/>
        <c:auto val="1"/>
        <c:lblAlgn val="ctr"/>
        <c:lblOffset val="100"/>
        <c:noMultiLvlLbl val="0"/>
      </c:catAx>
      <c:valAx>
        <c:axId val="193242016"/>
        <c:scaling>
          <c:orientation val="minMax"/>
        </c:scaling>
        <c:delete val="1"/>
        <c:axPos val="l"/>
        <c:numFmt formatCode="#\ ##0&quot; K€&quot;" sourceLinked="1"/>
        <c:majorTickMark val="out"/>
        <c:minorTickMark val="none"/>
        <c:tickLblPos val="nextTo"/>
        <c:crossAx val="193241624"/>
        <c:crosses val="autoZero"/>
        <c:crossBetween val="between"/>
      </c:valAx>
      <c:spPr>
        <a:solidFill>
          <a:srgbClr val="C0C0C0"/>
        </a:solidFill>
        <a:ln w="12700">
          <a:solidFill>
            <a:srgbClr val="808080"/>
          </a:solidFill>
          <a:prstDash val="solid"/>
        </a:ln>
        <a:effectLst>
          <a:outerShdw blurRad="50800" dist="50800" dir="5400000" algn="ctr" rotWithShape="0">
            <a:schemeClr val="tx1"/>
          </a:outerShdw>
        </a:effectLst>
      </c:spPr>
    </c:plotArea>
    <c:plotVisOnly val="1"/>
    <c:dispBlanksAs val="gap"/>
    <c:showDLblsOverMax val="0"/>
  </c:chart>
  <c:spPr>
    <a:solidFill>
      <a:schemeClr val="bg1">
        <a:lumMod val="95000"/>
      </a:schemeClr>
    </a:solidFill>
    <a:ln w="3175">
      <a:solidFill>
        <a:schemeClr val="bg1">
          <a:lumMod val="50000"/>
        </a:schemeClr>
      </a:solidFill>
      <a:prstDash val="solid"/>
    </a:ln>
    <a:effectLst>
      <a:outerShdw blurRad="50800" dist="38100" dir="8100000" algn="tr" rotWithShape="0">
        <a:prstClr val="black">
          <a:alpha val="40000"/>
        </a:prstClr>
      </a:outerShdw>
    </a:effectLst>
  </c:spPr>
  <c:txPr>
    <a:bodyPr/>
    <a:lstStyle/>
    <a:p>
      <a:pPr>
        <a:defRPr sz="800" b="0" i="0" u="none" strike="noStrike" baseline="0">
          <a:solidFill>
            <a:srgbClr val="0066CC"/>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2060"/>
                </a:solidFill>
                <a:latin typeface="Calibri"/>
                <a:ea typeface="Calibri"/>
                <a:cs typeface="Calibri"/>
              </a:defRPr>
            </a:pPr>
            <a:r>
              <a:rPr lang="fr-FR">
                <a:solidFill>
                  <a:srgbClr val="002060"/>
                </a:solidFill>
              </a:rPr>
              <a:t>Frais financiers / EBE</a:t>
            </a:r>
          </a:p>
        </c:rich>
      </c:tx>
      <c:overlay val="1"/>
      <c:spPr>
        <a:noFill/>
        <a:ln w="25400">
          <a:noFill/>
        </a:ln>
      </c:spPr>
    </c:title>
    <c:autoTitleDeleted val="0"/>
    <c:plotArea>
      <c:layout>
        <c:manualLayout>
          <c:layoutTarget val="inner"/>
          <c:xMode val="edge"/>
          <c:yMode val="edge"/>
          <c:x val="1.6181280912725381E-2"/>
          <c:y val="0.16080363213651219"/>
          <c:w val="0.96764059858098428"/>
          <c:h val="0.70763435907559491"/>
        </c:manualLayout>
      </c:layout>
      <c:barChart>
        <c:barDir val="col"/>
        <c:grouping val="clustered"/>
        <c:varyColors val="0"/>
        <c:ser>
          <c:idx val="0"/>
          <c:order val="0"/>
          <c:spPr>
            <a:solidFill>
              <a:schemeClr val="accent2">
                <a:lumMod val="75000"/>
              </a:schemeClr>
            </a:solidFill>
            <a:ln w="12700">
              <a:solidFill>
                <a:srgbClr val="000000"/>
              </a:solidFill>
              <a:prstDash val="solid"/>
            </a:ln>
            <a:effectLst>
              <a:outerShdw dist="50800" dir="2700000" algn="ctr" rotWithShape="0">
                <a:sysClr val="windowText" lastClr="000000"/>
              </a:outerShdw>
            </a:effectLst>
          </c:spPr>
          <c:invertIfNegative val="0"/>
          <c:dPt>
            <c:idx val="0"/>
            <c:invertIfNegative val="0"/>
            <c:bubble3D val="0"/>
            <c:extLst>
              <c:ext xmlns:c16="http://schemas.microsoft.com/office/drawing/2014/chart" uri="{C3380CC4-5D6E-409C-BE32-E72D297353CC}">
                <c16:uniqueId val="{00000001-945C-47D6-B87C-B4B7CA615250}"/>
              </c:ext>
            </c:extLst>
          </c:dPt>
          <c:dLbls>
            <c:dLbl>
              <c:idx val="5"/>
              <c:numFmt formatCode="0.0%" sourceLinked="0"/>
              <c:spPr>
                <a:noFill/>
                <a:ln w="25400">
                  <a:noFill/>
                </a:ln>
              </c:spPr>
              <c:txPr>
                <a:bodyPr/>
                <a:lstStyle/>
                <a:p>
                  <a:pPr>
                    <a:defRPr sz="1200" b="1" i="1" u="none" strike="noStrike" baseline="0">
                      <a:solidFill>
                        <a:srgbClr val="000080"/>
                      </a:solidFill>
                      <a:latin typeface="Calibri"/>
                      <a:ea typeface="Calibri"/>
                      <a:cs typeface="Calibri"/>
                    </a:defRPr>
                  </a:pPr>
                  <a:endParaRPr lang="fr-FR"/>
                </a:p>
              </c:txPr>
              <c:dLblPos val="inEnd"/>
              <c:showLegendKey val="0"/>
              <c:showVal val="1"/>
              <c:showCatName val="0"/>
              <c:showSerName val="0"/>
              <c:showPercent val="0"/>
              <c:showBubbleSize val="0"/>
              <c:extLst>
                <c:ext xmlns:c16="http://schemas.microsoft.com/office/drawing/2014/chart" uri="{C3380CC4-5D6E-409C-BE32-E72D297353CC}">
                  <c16:uniqueId val="{00000001-6061-42B0-820C-9F7D71F15252}"/>
                </c:ext>
              </c:extLst>
            </c:dLbl>
            <c:numFmt formatCode="0.0%" sourceLinked="0"/>
            <c:spPr>
              <a:noFill/>
              <a:ln w="25400">
                <a:noFill/>
              </a:ln>
            </c:spPr>
            <c:txPr>
              <a:bodyPr/>
              <a:lstStyle/>
              <a:p>
                <a:pPr>
                  <a:defRPr sz="1200" b="1" i="0" u="none" strike="noStrike" baseline="0">
                    <a:solidFill>
                      <a:srgbClr val="FFFFFF"/>
                    </a:solidFill>
                    <a:latin typeface="Calibri"/>
                    <a:ea typeface="Calibri"/>
                    <a:cs typeface="Calibri"/>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(Ratios!$N$2,Ratios!$L$2,Ratios!$J$2,Ratios!$H$2,Ratios!$F$2)</c:f>
              <c:strCache>
                <c:ptCount val="5"/>
                <c:pt idx="0">
                  <c:v> </c:v>
                </c:pt>
                <c:pt idx="1">
                  <c:v> </c:v>
                </c:pt>
                <c:pt idx="2">
                  <c:v> </c:v>
                </c:pt>
                <c:pt idx="3">
                  <c:v> </c:v>
                </c:pt>
                <c:pt idx="4">
                  <c:v> </c:v>
                </c:pt>
              </c:strCache>
            </c:strRef>
          </c:cat>
          <c:val>
            <c:numRef>
              <c:f>(Ratios!$N$69,Ratios!$L$69,Ratios!$J$69,Ratios!$H$69,Ratios!$F$69)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945C-47D6-B87C-B4B7CA615250}"/>
            </c:ext>
          </c:extLst>
        </c:ser>
        <c:dLbls>
          <c:showLegendKey val="0"/>
          <c:showVal val="0"/>
          <c:showCatName val="0"/>
          <c:showSerName val="0"/>
          <c:showPercent val="0"/>
          <c:showBubbleSize val="0"/>
        </c:dLbls>
        <c:gapWidth val="52"/>
        <c:axId val="193240840"/>
        <c:axId val="193242800"/>
      </c:barChart>
      <c:catAx>
        <c:axId val="193240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2060"/>
                </a:solidFill>
                <a:latin typeface="Calibri"/>
                <a:ea typeface="Calibri"/>
                <a:cs typeface="Calibri"/>
              </a:defRPr>
            </a:pPr>
            <a:endParaRPr lang="fr-FR"/>
          </a:p>
        </c:txPr>
        <c:crossAx val="193242800"/>
        <c:crosses val="autoZero"/>
        <c:auto val="1"/>
        <c:lblAlgn val="ctr"/>
        <c:lblOffset val="100"/>
        <c:noMultiLvlLbl val="0"/>
      </c:catAx>
      <c:valAx>
        <c:axId val="193242800"/>
        <c:scaling>
          <c:orientation val="minMax"/>
        </c:scaling>
        <c:delete val="1"/>
        <c:axPos val="l"/>
        <c:numFmt formatCode="0.0%" sourceLinked="1"/>
        <c:majorTickMark val="out"/>
        <c:minorTickMark val="none"/>
        <c:tickLblPos val="nextTo"/>
        <c:crossAx val="193240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chemeClr val="bg1">
        <a:lumMod val="95000"/>
      </a:schemeClr>
    </a:solidFill>
    <a:ln w="3175">
      <a:solidFill>
        <a:schemeClr val="bg1">
          <a:lumMod val="50000"/>
        </a:schemeClr>
      </a:solidFill>
      <a:prstDash val="solid"/>
    </a:ln>
    <a:effectLst>
      <a:outerShdw blurRad="50800" dist="38100" dir="8100000" algn="tr" rotWithShape="0">
        <a:prstClr val="black">
          <a:alpha val="40000"/>
        </a:prstClr>
      </a:outerShdw>
    </a:effectLst>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2060"/>
                </a:solidFill>
                <a:latin typeface="Calibri"/>
                <a:ea typeface="Calibri"/>
                <a:cs typeface="Calibri"/>
              </a:defRPr>
            </a:pPr>
            <a:r>
              <a:rPr lang="fr-FR">
                <a:solidFill>
                  <a:srgbClr val="002060"/>
                </a:solidFill>
              </a:rPr>
              <a:t>Excédent Brut d'Exploitation  / CA</a:t>
            </a:r>
          </a:p>
        </c:rich>
      </c:tx>
      <c:overlay val="1"/>
      <c:spPr>
        <a:noFill/>
        <a:ln w="25400">
          <a:noFill/>
        </a:ln>
      </c:spPr>
    </c:title>
    <c:autoTitleDeleted val="0"/>
    <c:plotArea>
      <c:layout>
        <c:manualLayout>
          <c:layoutTarget val="inner"/>
          <c:xMode val="edge"/>
          <c:yMode val="edge"/>
          <c:x val="1.7543932836210044E-2"/>
          <c:y val="0.22261896928622091"/>
          <c:w val="0.96491228070174839"/>
          <c:h val="0.67689338275612565"/>
        </c:manualLayout>
      </c:layout>
      <c:barChart>
        <c:barDir val="col"/>
        <c:grouping val="clustered"/>
        <c:varyColors val="0"/>
        <c:ser>
          <c:idx val="0"/>
          <c:order val="0"/>
          <c:spPr>
            <a:solidFill>
              <a:srgbClr val="0000FF"/>
            </a:solidFill>
            <a:ln w="12700">
              <a:solidFill>
                <a:srgbClr val="000000"/>
              </a:solidFill>
              <a:prstDash val="solid"/>
            </a:ln>
            <a:effectLst>
              <a:outerShdw dist="50800" dir="2700000" algn="ctr" rotWithShape="0">
                <a:sysClr val="windowText" lastClr="000000"/>
              </a:outerShdw>
            </a:effectLst>
          </c:spPr>
          <c:invertIfNegative val="0"/>
          <c:dLbls>
            <c:dLbl>
              <c:idx val="5"/>
              <c:spPr>
                <a:noFill/>
                <a:ln w="25400">
                  <a:noFill/>
                </a:ln>
              </c:spPr>
              <c:txPr>
                <a:bodyPr/>
                <a:lstStyle/>
                <a:p>
                  <a:pPr>
                    <a:defRPr sz="1200" b="1" i="1" u="none" strike="noStrike" baseline="0">
                      <a:solidFill>
                        <a:srgbClr val="000080"/>
                      </a:solidFill>
                      <a:latin typeface="Calibri"/>
                      <a:ea typeface="Calibri"/>
                      <a:cs typeface="Calibri"/>
                    </a:defRPr>
                  </a:pPr>
                  <a:endParaRPr lang="fr-FR"/>
                </a:p>
              </c:txPr>
              <c:dLblPos val="inEnd"/>
              <c:showLegendKey val="0"/>
              <c:showVal val="1"/>
              <c:showCatName val="0"/>
              <c:showSerName val="0"/>
              <c:showPercent val="0"/>
              <c:showBubbleSize val="0"/>
              <c:extLst>
                <c:ext xmlns:c16="http://schemas.microsoft.com/office/drawing/2014/chart" uri="{C3380CC4-5D6E-409C-BE32-E72D297353CC}">
                  <c16:uniqueId val="{00000000-9CD3-45CD-8678-B24F294E669F}"/>
                </c:ext>
              </c:extLst>
            </c:dLbl>
            <c:spPr>
              <a:noFill/>
              <a:ln w="25400">
                <a:noFill/>
              </a:ln>
            </c:spPr>
            <c:txPr>
              <a:bodyPr/>
              <a:lstStyle/>
              <a:p>
                <a:pPr>
                  <a:defRPr sz="1200" b="1" i="0" u="none" strike="noStrike" baseline="0">
                    <a:solidFill>
                      <a:srgbClr val="FFFFFF"/>
                    </a:solidFill>
                    <a:latin typeface="Calibri"/>
                    <a:ea typeface="Calibri"/>
                    <a:cs typeface="Calibri"/>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(Ratios!$N$63,Ratios!$L$63,Ratios!$J$63,Ratios!$H$63,Ratios!$F$63)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3FCF-411A-9BD6-EE265B3F0718}"/>
            </c:ext>
          </c:extLst>
        </c:ser>
        <c:dLbls>
          <c:showLegendKey val="0"/>
          <c:showVal val="0"/>
          <c:showCatName val="0"/>
          <c:showSerName val="0"/>
          <c:showPercent val="0"/>
          <c:showBubbleSize val="0"/>
        </c:dLbls>
        <c:gapWidth val="51"/>
        <c:axId val="193241232"/>
        <c:axId val="193243584"/>
      </c:barChart>
      <c:catAx>
        <c:axId val="193241232"/>
        <c:scaling>
          <c:orientation val="minMax"/>
        </c:scaling>
        <c:delete val="1"/>
        <c:axPos val="b"/>
        <c:majorTickMark val="out"/>
        <c:minorTickMark val="none"/>
        <c:tickLblPos val="nextTo"/>
        <c:crossAx val="193243584"/>
        <c:crosses val="autoZero"/>
        <c:auto val="1"/>
        <c:lblAlgn val="ctr"/>
        <c:lblOffset val="100"/>
        <c:noMultiLvlLbl val="0"/>
      </c:catAx>
      <c:valAx>
        <c:axId val="193243584"/>
        <c:scaling>
          <c:orientation val="minMax"/>
        </c:scaling>
        <c:delete val="1"/>
        <c:axPos val="l"/>
        <c:numFmt formatCode="0.0%" sourceLinked="1"/>
        <c:majorTickMark val="out"/>
        <c:minorTickMark val="none"/>
        <c:tickLblPos val="nextTo"/>
        <c:crossAx val="19324123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chemeClr val="bg1">
        <a:lumMod val="95000"/>
      </a:schemeClr>
    </a:solidFill>
    <a:ln w="3175">
      <a:solidFill>
        <a:schemeClr val="bg1">
          <a:lumMod val="50000"/>
        </a:schemeClr>
      </a:solidFill>
      <a:prstDash val="solid"/>
    </a:ln>
    <a:effectLst>
      <a:outerShdw blurRad="50800" dist="38100" dir="8100000" algn="tr" rotWithShape="0">
        <a:prstClr val="black">
          <a:alpha val="40000"/>
        </a:prstClr>
      </a:outerShdw>
    </a:effectLst>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2060"/>
                </a:solidFill>
                <a:latin typeface="Calibri"/>
                <a:ea typeface="Calibri"/>
                <a:cs typeface="Calibri"/>
              </a:defRPr>
            </a:pPr>
            <a:r>
              <a:rPr lang="fr-FR">
                <a:solidFill>
                  <a:srgbClr val="002060"/>
                </a:solidFill>
              </a:rPr>
              <a:t> Résultat d'exploitation / CA</a:t>
            </a:r>
          </a:p>
        </c:rich>
      </c:tx>
      <c:overlay val="1"/>
      <c:spPr>
        <a:noFill/>
        <a:ln w="25400">
          <a:noFill/>
        </a:ln>
      </c:spPr>
    </c:title>
    <c:autoTitleDeleted val="0"/>
    <c:plotArea>
      <c:layout>
        <c:manualLayout>
          <c:layoutTarget val="inner"/>
          <c:xMode val="edge"/>
          <c:yMode val="edge"/>
          <c:x val="1.748251748251763E-2"/>
          <c:y val="0.2065727699530501"/>
          <c:w val="0.96503496503496256"/>
          <c:h val="0.71115581140592765"/>
        </c:manualLayout>
      </c:layout>
      <c:barChart>
        <c:barDir val="col"/>
        <c:grouping val="clustered"/>
        <c:varyColors val="0"/>
        <c:ser>
          <c:idx val="0"/>
          <c:order val="0"/>
          <c:spPr>
            <a:solidFill>
              <a:srgbClr val="0000FF"/>
            </a:solidFill>
            <a:ln w="12700">
              <a:solidFill>
                <a:srgbClr val="000000"/>
              </a:solidFill>
              <a:prstDash val="solid"/>
            </a:ln>
            <a:effectLst>
              <a:outerShdw dist="50800" dir="2700000" algn="ctr" rotWithShape="0">
                <a:sysClr val="windowText" lastClr="000000"/>
              </a:outerShdw>
            </a:effectLst>
          </c:spPr>
          <c:invertIfNegative val="0"/>
          <c:dLbls>
            <c:dLbl>
              <c:idx val="5"/>
              <c:spPr>
                <a:noFill/>
                <a:ln w="25400">
                  <a:noFill/>
                </a:ln>
              </c:spPr>
              <c:txPr>
                <a:bodyPr/>
                <a:lstStyle/>
                <a:p>
                  <a:pPr>
                    <a:defRPr sz="1200" b="1" i="1" u="none" strike="noStrike" baseline="0">
                      <a:solidFill>
                        <a:srgbClr val="000080"/>
                      </a:solidFill>
                      <a:latin typeface="Calibri"/>
                      <a:ea typeface="Calibri"/>
                      <a:cs typeface="Calibri"/>
                    </a:defRPr>
                  </a:pPr>
                  <a:endParaRPr lang="fr-FR"/>
                </a:p>
              </c:txPr>
              <c:dLblPos val="inEnd"/>
              <c:showLegendKey val="0"/>
              <c:showVal val="1"/>
              <c:showCatName val="0"/>
              <c:showSerName val="0"/>
              <c:showPercent val="0"/>
              <c:showBubbleSize val="0"/>
              <c:extLst>
                <c:ext xmlns:c16="http://schemas.microsoft.com/office/drawing/2014/chart" uri="{C3380CC4-5D6E-409C-BE32-E72D297353CC}">
                  <c16:uniqueId val="{00000000-97C9-49FA-B45F-28CDEA5C9BB8}"/>
                </c:ext>
              </c:extLst>
            </c:dLbl>
            <c:spPr>
              <a:noFill/>
              <a:ln w="25400">
                <a:noFill/>
              </a:ln>
            </c:spPr>
            <c:txPr>
              <a:bodyPr/>
              <a:lstStyle/>
              <a:p>
                <a:pPr>
                  <a:defRPr sz="1200" b="1" i="0" u="none" strike="noStrike" baseline="0">
                    <a:solidFill>
                      <a:srgbClr val="FFFFFF"/>
                    </a:solidFill>
                    <a:latin typeface="Calibri"/>
                    <a:ea typeface="Calibri"/>
                    <a:cs typeface="Calibri"/>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(Ratios!$N$74,Ratios!$L$74,Ratios!$J$74,Ratios!$H$74,Ratios!$F$74)</c:f>
              <c:numCache>
                <c:formatCode>0.0%</c:formatCode>
                <c:ptCount val="5"/>
                <c:pt idx="0">
                  <c:v>0</c:v>
                </c:pt>
                <c:pt idx="1">
                  <c:v>0</c:v>
                </c:pt>
                <c:pt idx="2">
                  <c:v>1</c:v>
                </c:pt>
                <c:pt idx="3">
                  <c:v>0</c:v>
                </c:pt>
                <c:pt idx="4">
                  <c:v>0</c:v>
                </c:pt>
              </c:numCache>
            </c:numRef>
          </c:val>
          <c:extLst>
            <c:ext xmlns:c16="http://schemas.microsoft.com/office/drawing/2014/chart" uri="{C3380CC4-5D6E-409C-BE32-E72D297353CC}">
              <c16:uniqueId val="{00000001-9BE3-4AE8-A7DC-EE118EA56C53}"/>
            </c:ext>
          </c:extLst>
        </c:ser>
        <c:dLbls>
          <c:showLegendKey val="0"/>
          <c:showVal val="0"/>
          <c:showCatName val="0"/>
          <c:showSerName val="0"/>
          <c:showPercent val="0"/>
          <c:showBubbleSize val="0"/>
        </c:dLbls>
        <c:gapWidth val="50"/>
        <c:axId val="193244368"/>
        <c:axId val="193473536"/>
      </c:barChart>
      <c:catAx>
        <c:axId val="193244368"/>
        <c:scaling>
          <c:orientation val="minMax"/>
        </c:scaling>
        <c:delete val="1"/>
        <c:axPos val="b"/>
        <c:majorTickMark val="out"/>
        <c:minorTickMark val="none"/>
        <c:tickLblPos val="nextTo"/>
        <c:crossAx val="193473536"/>
        <c:crosses val="autoZero"/>
        <c:auto val="1"/>
        <c:lblAlgn val="ctr"/>
        <c:lblOffset val="100"/>
        <c:noMultiLvlLbl val="0"/>
      </c:catAx>
      <c:valAx>
        <c:axId val="193473536"/>
        <c:scaling>
          <c:orientation val="minMax"/>
        </c:scaling>
        <c:delete val="1"/>
        <c:axPos val="l"/>
        <c:numFmt formatCode="0.0%" sourceLinked="1"/>
        <c:majorTickMark val="out"/>
        <c:minorTickMark val="none"/>
        <c:tickLblPos val="nextTo"/>
        <c:crossAx val="19324436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chemeClr val="bg1">
        <a:lumMod val="95000"/>
      </a:schemeClr>
    </a:solidFill>
    <a:ln w="3175">
      <a:solidFill>
        <a:schemeClr val="bg1">
          <a:lumMod val="50000"/>
        </a:schemeClr>
      </a:solidFill>
      <a:prstDash val="solid"/>
    </a:ln>
    <a:effectLst>
      <a:outerShdw blurRad="50800" dist="38100" dir="8100000" algn="tr" rotWithShape="0">
        <a:prstClr val="black">
          <a:alpha val="40000"/>
        </a:prstClr>
      </a:outerShdw>
    </a:effectLst>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2060"/>
                </a:solidFill>
                <a:latin typeface="Calibri"/>
                <a:ea typeface="Calibri"/>
                <a:cs typeface="Calibri"/>
              </a:defRPr>
            </a:pPr>
            <a:r>
              <a:rPr lang="fr-FR">
                <a:solidFill>
                  <a:srgbClr val="002060"/>
                </a:solidFill>
              </a:rPr>
              <a:t>Résultat courant / CA</a:t>
            </a:r>
          </a:p>
        </c:rich>
      </c:tx>
      <c:overlay val="1"/>
      <c:spPr>
        <a:noFill/>
        <a:ln w="25400">
          <a:noFill/>
        </a:ln>
      </c:spPr>
    </c:title>
    <c:autoTitleDeleted val="0"/>
    <c:plotArea>
      <c:layout>
        <c:manualLayout>
          <c:layoutTarget val="inner"/>
          <c:xMode val="edge"/>
          <c:yMode val="edge"/>
          <c:x val="2.0477815699658994E-2"/>
          <c:y val="0.18779342723004694"/>
          <c:w val="0.9488054607508537"/>
          <c:h val="0.76995305164320171"/>
        </c:manualLayout>
      </c:layout>
      <c:barChart>
        <c:barDir val="col"/>
        <c:grouping val="clustered"/>
        <c:varyColors val="0"/>
        <c:ser>
          <c:idx val="0"/>
          <c:order val="0"/>
          <c:spPr>
            <a:solidFill>
              <a:srgbClr val="0000FF"/>
            </a:solidFill>
            <a:ln w="12700">
              <a:solidFill>
                <a:srgbClr val="000000"/>
              </a:solidFill>
              <a:prstDash val="solid"/>
            </a:ln>
            <a:effectLst>
              <a:outerShdw dist="50800" dir="2700000" algn="ctr" rotWithShape="0">
                <a:srgbClr val="002060"/>
              </a:outerShdw>
            </a:effectLst>
          </c:spPr>
          <c:invertIfNegative val="0"/>
          <c:dLbls>
            <c:dLbl>
              <c:idx val="5"/>
              <c:spPr>
                <a:noFill/>
                <a:ln w="25400">
                  <a:noFill/>
                </a:ln>
              </c:spPr>
              <c:txPr>
                <a:bodyPr/>
                <a:lstStyle/>
                <a:p>
                  <a:pPr>
                    <a:defRPr sz="1200" b="1" i="1" u="none" strike="noStrike" baseline="0">
                      <a:solidFill>
                        <a:srgbClr val="000080"/>
                      </a:solidFill>
                      <a:latin typeface="Calibri"/>
                      <a:ea typeface="Calibri"/>
                      <a:cs typeface="Calibri"/>
                    </a:defRPr>
                  </a:pPr>
                  <a:endParaRPr lang="fr-FR"/>
                </a:p>
              </c:txPr>
              <c:dLblPos val="inEnd"/>
              <c:showLegendKey val="0"/>
              <c:showVal val="1"/>
              <c:showCatName val="0"/>
              <c:showSerName val="0"/>
              <c:showPercent val="0"/>
              <c:showBubbleSize val="0"/>
              <c:extLst>
                <c:ext xmlns:c16="http://schemas.microsoft.com/office/drawing/2014/chart" uri="{C3380CC4-5D6E-409C-BE32-E72D297353CC}">
                  <c16:uniqueId val="{00000000-02A4-4A5F-945F-56CA9048879E}"/>
                </c:ext>
              </c:extLst>
            </c:dLbl>
            <c:spPr>
              <a:noFill/>
              <a:ln w="25400">
                <a:noFill/>
              </a:ln>
            </c:spPr>
            <c:txPr>
              <a:bodyPr/>
              <a:lstStyle/>
              <a:p>
                <a:pPr>
                  <a:defRPr sz="1200" b="1" i="0" u="none" strike="noStrike" baseline="0">
                    <a:solidFill>
                      <a:srgbClr val="FFFFFF"/>
                    </a:solidFill>
                    <a:latin typeface="Calibri"/>
                    <a:ea typeface="Calibri"/>
                    <a:cs typeface="Calibri"/>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(Ratios!$N$79,Ratios!$L$79,Ratios!$J$79,Ratios!$H$79,Ratios!$F$79)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EE9C-464B-B4AE-1D6CDC72FF77}"/>
            </c:ext>
          </c:extLst>
        </c:ser>
        <c:dLbls>
          <c:showLegendKey val="0"/>
          <c:showVal val="0"/>
          <c:showCatName val="0"/>
          <c:showSerName val="0"/>
          <c:showPercent val="0"/>
          <c:showBubbleSize val="0"/>
        </c:dLbls>
        <c:gapWidth val="48"/>
        <c:axId val="193930816"/>
        <c:axId val="193931208"/>
      </c:barChart>
      <c:catAx>
        <c:axId val="193930816"/>
        <c:scaling>
          <c:orientation val="minMax"/>
        </c:scaling>
        <c:delete val="1"/>
        <c:axPos val="b"/>
        <c:majorTickMark val="out"/>
        <c:minorTickMark val="none"/>
        <c:tickLblPos val="nextTo"/>
        <c:crossAx val="193931208"/>
        <c:crosses val="autoZero"/>
        <c:auto val="1"/>
        <c:lblAlgn val="ctr"/>
        <c:lblOffset val="100"/>
        <c:noMultiLvlLbl val="0"/>
      </c:catAx>
      <c:valAx>
        <c:axId val="193931208"/>
        <c:scaling>
          <c:orientation val="minMax"/>
        </c:scaling>
        <c:delete val="1"/>
        <c:axPos val="l"/>
        <c:numFmt formatCode="0.0%" sourceLinked="1"/>
        <c:majorTickMark val="out"/>
        <c:minorTickMark val="none"/>
        <c:tickLblPos val="nextTo"/>
        <c:crossAx val="1939308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chemeClr val="bg1">
        <a:lumMod val="95000"/>
      </a:schemeClr>
    </a:solidFill>
    <a:ln w="3175">
      <a:solidFill>
        <a:schemeClr val="bg1">
          <a:lumMod val="50000"/>
        </a:schemeClr>
      </a:solidFill>
      <a:prstDash val="solid"/>
    </a:ln>
    <a:effectLst>
      <a:outerShdw blurRad="50800" dist="38100" dir="8100000" algn="tr" rotWithShape="0">
        <a:prstClr val="black">
          <a:alpha val="40000"/>
        </a:prstClr>
      </a:outerShdw>
    </a:effectLst>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899999956" l="0.78740157499999996" r="0.78740157499999996" t="0.98425196899999956" header="0.49212598450000228" footer="0.49212598450000228"/>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648046</xdr:colOff>
      <xdr:row>2</xdr:row>
      <xdr:rowOff>147031</xdr:rowOff>
    </xdr:from>
    <xdr:to>
      <xdr:col>10</xdr:col>
      <xdr:colOff>175260</xdr:colOff>
      <xdr:row>4</xdr:row>
      <xdr:rowOff>163830</xdr:rowOff>
    </xdr:to>
    <xdr:sp macro="" textlink="">
      <xdr:nvSpPr>
        <xdr:cNvPr id="3094" name="AutoShape 22">
          <a:extLst>
            <a:ext uri="{FF2B5EF4-FFF2-40B4-BE49-F238E27FC236}">
              <a16:creationId xmlns:a16="http://schemas.microsoft.com/office/drawing/2014/main" id="{00000000-0008-0000-0000-0000160C0000}"/>
            </a:ext>
          </a:extLst>
        </xdr:cNvPr>
        <xdr:cNvSpPr>
          <a:spLocks noChangeArrowheads="1"/>
        </xdr:cNvSpPr>
      </xdr:nvSpPr>
      <xdr:spPr bwMode="auto">
        <a:xfrm>
          <a:off x="9456766" y="497551"/>
          <a:ext cx="1401734" cy="512099"/>
        </a:xfrm>
        <a:prstGeom prst="downArrow">
          <a:avLst>
            <a:gd name="adj1" fmla="val 50000"/>
            <a:gd name="adj2" fmla="val 25000"/>
          </a:avLst>
        </a:prstGeom>
        <a:solidFill>
          <a:srgbClr val="FFFFCC"/>
        </a:solidFill>
        <a:ln w="15875">
          <a:solidFill>
            <a:srgbClr val="000000"/>
          </a:solidFill>
          <a:miter lim="800000"/>
          <a:headEnd/>
          <a:tailEnd/>
        </a:ln>
      </xdr:spPr>
      <xdr:txBody>
        <a:bodyPr vertOverflow="clip" wrap="square" lIns="27432" tIns="22860" rIns="27432" bIns="0" anchor="t" upright="1"/>
        <a:lstStyle/>
        <a:p>
          <a:pPr algn="ctr" rtl="0">
            <a:defRPr sz="1000"/>
          </a:pPr>
          <a:r>
            <a:rPr lang="fr-FR" sz="800" b="1" i="1" strike="noStrike" baseline="0">
              <a:solidFill>
                <a:srgbClr val="002060"/>
              </a:solidFill>
              <a:latin typeface="Calibri" pitchFamily="34" charset="0"/>
              <a:cs typeface="Times New Roman"/>
            </a:rPr>
            <a:t>commencer par cette colonne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38099</xdr:colOff>
      <xdr:row>5</xdr:row>
      <xdr:rowOff>9525</xdr:rowOff>
    </xdr:from>
    <xdr:to>
      <xdr:col>15</xdr:col>
      <xdr:colOff>800100</xdr:colOff>
      <xdr:row>14</xdr:row>
      <xdr:rowOff>9525</xdr:rowOff>
    </xdr:to>
    <xdr:graphicFrame macro="">
      <xdr:nvGraphicFramePr>
        <xdr:cNvPr id="4124200" name="Chart 6">
          <a:extLst>
            <a:ext uri="{FF2B5EF4-FFF2-40B4-BE49-F238E27FC236}">
              <a16:creationId xmlns:a16="http://schemas.microsoft.com/office/drawing/2014/main" id="{00000000-0008-0000-0600-000028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55</xdr:row>
      <xdr:rowOff>9525</xdr:rowOff>
    </xdr:from>
    <xdr:to>
      <xdr:col>15</xdr:col>
      <xdr:colOff>857250</xdr:colOff>
      <xdr:row>64</xdr:row>
      <xdr:rowOff>9525</xdr:rowOff>
    </xdr:to>
    <xdr:graphicFrame macro="">
      <xdr:nvGraphicFramePr>
        <xdr:cNvPr id="4124201" name="Chart 8">
          <a:extLst>
            <a:ext uri="{FF2B5EF4-FFF2-40B4-BE49-F238E27FC236}">
              <a16:creationId xmlns:a16="http://schemas.microsoft.com/office/drawing/2014/main" id="{00000000-0008-0000-0600-000029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55</xdr:row>
      <xdr:rowOff>19050</xdr:rowOff>
    </xdr:from>
    <xdr:to>
      <xdr:col>8</xdr:col>
      <xdr:colOff>0</xdr:colOff>
      <xdr:row>64</xdr:row>
      <xdr:rowOff>38100</xdr:rowOff>
    </xdr:to>
    <xdr:graphicFrame macro="">
      <xdr:nvGraphicFramePr>
        <xdr:cNvPr id="4124202" name="Chart 9">
          <a:extLst>
            <a:ext uri="{FF2B5EF4-FFF2-40B4-BE49-F238E27FC236}">
              <a16:creationId xmlns:a16="http://schemas.microsoft.com/office/drawing/2014/main" id="{00000000-0008-0000-0600-00002A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5</xdr:row>
      <xdr:rowOff>9525</xdr:rowOff>
    </xdr:from>
    <xdr:to>
      <xdr:col>8</xdr:col>
      <xdr:colOff>0</xdr:colOff>
      <xdr:row>14</xdr:row>
      <xdr:rowOff>9525</xdr:rowOff>
    </xdr:to>
    <xdr:graphicFrame macro="">
      <xdr:nvGraphicFramePr>
        <xdr:cNvPr id="4124203" name="Chart 11">
          <a:extLst>
            <a:ext uri="{FF2B5EF4-FFF2-40B4-BE49-F238E27FC236}">
              <a16:creationId xmlns:a16="http://schemas.microsoft.com/office/drawing/2014/main" id="{00000000-0008-0000-0600-00002B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15</xdr:row>
      <xdr:rowOff>19050</xdr:rowOff>
    </xdr:from>
    <xdr:to>
      <xdr:col>7</xdr:col>
      <xdr:colOff>790575</xdr:colOff>
      <xdr:row>23</xdr:row>
      <xdr:rowOff>361950</xdr:rowOff>
    </xdr:to>
    <xdr:graphicFrame macro="">
      <xdr:nvGraphicFramePr>
        <xdr:cNvPr id="4124204" name="Chart 14">
          <a:extLst>
            <a:ext uri="{FF2B5EF4-FFF2-40B4-BE49-F238E27FC236}">
              <a16:creationId xmlns:a16="http://schemas.microsoft.com/office/drawing/2014/main" id="{00000000-0008-0000-0600-00002C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19050</xdr:colOff>
      <xdr:row>24</xdr:row>
      <xdr:rowOff>342901</xdr:rowOff>
    </xdr:from>
    <xdr:to>
      <xdr:col>15</xdr:col>
      <xdr:colOff>838200</xdr:colOff>
      <xdr:row>34</xdr:row>
      <xdr:rowOff>1</xdr:rowOff>
    </xdr:to>
    <xdr:graphicFrame macro="">
      <xdr:nvGraphicFramePr>
        <xdr:cNvPr id="4124205" name="Chart 16">
          <a:extLst>
            <a:ext uri="{FF2B5EF4-FFF2-40B4-BE49-F238E27FC236}">
              <a16:creationId xmlns:a16="http://schemas.microsoft.com/office/drawing/2014/main" id="{00000000-0008-0000-0600-00002D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35</xdr:row>
      <xdr:rowOff>9525</xdr:rowOff>
    </xdr:from>
    <xdr:to>
      <xdr:col>7</xdr:col>
      <xdr:colOff>781050</xdr:colOff>
      <xdr:row>44</xdr:row>
      <xdr:rowOff>0</xdr:rowOff>
    </xdr:to>
    <xdr:graphicFrame macro="">
      <xdr:nvGraphicFramePr>
        <xdr:cNvPr id="4124206" name="Chart 17">
          <a:extLst>
            <a:ext uri="{FF2B5EF4-FFF2-40B4-BE49-F238E27FC236}">
              <a16:creationId xmlns:a16="http://schemas.microsoft.com/office/drawing/2014/main" id="{00000000-0008-0000-0600-00002E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19050</xdr:colOff>
      <xdr:row>35</xdr:row>
      <xdr:rowOff>19050</xdr:rowOff>
    </xdr:from>
    <xdr:to>
      <xdr:col>15</xdr:col>
      <xdr:colOff>828675</xdr:colOff>
      <xdr:row>43</xdr:row>
      <xdr:rowOff>371475</xdr:rowOff>
    </xdr:to>
    <xdr:graphicFrame macro="">
      <xdr:nvGraphicFramePr>
        <xdr:cNvPr id="4124207" name="Chart 18">
          <a:extLst>
            <a:ext uri="{FF2B5EF4-FFF2-40B4-BE49-F238E27FC236}">
              <a16:creationId xmlns:a16="http://schemas.microsoft.com/office/drawing/2014/main" id="{00000000-0008-0000-0600-00002F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9525</xdr:colOff>
      <xdr:row>45</xdr:row>
      <xdr:rowOff>19050</xdr:rowOff>
    </xdr:from>
    <xdr:to>
      <xdr:col>8</xdr:col>
      <xdr:colOff>19050</xdr:colOff>
      <xdr:row>53</xdr:row>
      <xdr:rowOff>371475</xdr:rowOff>
    </xdr:to>
    <xdr:graphicFrame macro="">
      <xdr:nvGraphicFramePr>
        <xdr:cNvPr id="4124208" name="Chart 19">
          <a:extLst>
            <a:ext uri="{FF2B5EF4-FFF2-40B4-BE49-F238E27FC236}">
              <a16:creationId xmlns:a16="http://schemas.microsoft.com/office/drawing/2014/main" id="{00000000-0008-0000-0600-000030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45</xdr:row>
      <xdr:rowOff>9525</xdr:rowOff>
    </xdr:from>
    <xdr:to>
      <xdr:col>15</xdr:col>
      <xdr:colOff>847725</xdr:colOff>
      <xdr:row>54</xdr:row>
      <xdr:rowOff>0</xdr:rowOff>
    </xdr:to>
    <xdr:graphicFrame macro="">
      <xdr:nvGraphicFramePr>
        <xdr:cNvPr id="4124209" name="Chart 21">
          <a:extLst>
            <a:ext uri="{FF2B5EF4-FFF2-40B4-BE49-F238E27FC236}">
              <a16:creationId xmlns:a16="http://schemas.microsoft.com/office/drawing/2014/main" id="{00000000-0008-0000-0600-000031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28576</xdr:colOff>
      <xdr:row>15</xdr:row>
      <xdr:rowOff>0</xdr:rowOff>
    </xdr:from>
    <xdr:to>
      <xdr:col>15</xdr:col>
      <xdr:colOff>809626</xdr:colOff>
      <xdr:row>24</xdr:row>
      <xdr:rowOff>9525</xdr:rowOff>
    </xdr:to>
    <xdr:graphicFrame macro="">
      <xdr:nvGraphicFramePr>
        <xdr:cNvPr id="4124210" name="Chart 22">
          <a:extLst>
            <a:ext uri="{FF2B5EF4-FFF2-40B4-BE49-F238E27FC236}">
              <a16:creationId xmlns:a16="http://schemas.microsoft.com/office/drawing/2014/main" id="{00000000-0008-0000-0600-000032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19050</xdr:colOff>
      <xdr:row>24</xdr:row>
      <xdr:rowOff>342900</xdr:rowOff>
    </xdr:from>
    <xdr:to>
      <xdr:col>7</xdr:col>
      <xdr:colOff>771525</xdr:colOff>
      <xdr:row>34</xdr:row>
      <xdr:rowOff>9525</xdr:rowOff>
    </xdr:to>
    <xdr:graphicFrame macro="">
      <xdr:nvGraphicFramePr>
        <xdr:cNvPr id="4124211" name="Chart 23">
          <a:extLst>
            <a:ext uri="{FF2B5EF4-FFF2-40B4-BE49-F238E27FC236}">
              <a16:creationId xmlns:a16="http://schemas.microsoft.com/office/drawing/2014/main" id="{00000000-0008-0000-0600-000033EE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0.9658</cdr:x>
      <cdr:y>0.61415</cdr:y>
    </cdr:from>
    <cdr:to>
      <cdr:x>0.99356</cdr:x>
      <cdr:y>0.71178</cdr:y>
    </cdr:to>
    <cdr:sp macro="" textlink="">
      <cdr:nvSpPr>
        <cdr:cNvPr id="8193" name="Text Box 1"/>
        <cdr:cNvSpPr txBox="1">
          <a:spLocks xmlns:a="http://schemas.openxmlformats.org/drawingml/2006/main" noChangeArrowheads="1"/>
        </cdr:cNvSpPr>
      </cdr:nvSpPr>
      <cdr:spPr bwMode="auto">
        <a:xfrm xmlns:a="http://schemas.openxmlformats.org/drawingml/2006/main">
          <a:off x="2661769" y="1267719"/>
          <a:ext cx="76403" cy="19997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sp>
  </cdr:relSizeAnchor>
</c:userShapes>
</file>

<file path=xl/drawings/drawing4.xml><?xml version="1.0" encoding="utf-8"?>
<c:userShapes xmlns:c="http://schemas.openxmlformats.org/drawingml/2006/chart">
  <cdr:relSizeAnchor xmlns:cdr="http://schemas.openxmlformats.org/drawingml/2006/chartDrawing">
    <cdr:from>
      <cdr:x>0.96586</cdr:x>
      <cdr:y>0.61128</cdr:y>
    </cdr:from>
    <cdr:to>
      <cdr:x>0.99338</cdr:x>
      <cdr:y>0.70986</cdr:y>
    </cdr:to>
    <cdr:sp macro="" textlink="">
      <cdr:nvSpPr>
        <cdr:cNvPr id="9217" name="Text Box 1"/>
        <cdr:cNvSpPr txBox="1">
          <a:spLocks xmlns:a="http://schemas.openxmlformats.org/drawingml/2006/main" noChangeArrowheads="1"/>
        </cdr:cNvSpPr>
      </cdr:nvSpPr>
      <cdr:spPr bwMode="auto">
        <a:xfrm xmlns:a="http://schemas.openxmlformats.org/drawingml/2006/main">
          <a:off x="2671128" y="1267719"/>
          <a:ext cx="76009" cy="19997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score3.fr/index.shtml" TargetMode="External"/><Relationship Id="rId1" Type="http://schemas.openxmlformats.org/officeDocument/2006/relationships/hyperlink" Target="http://bilans.tpe-pme.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P295"/>
  <sheetViews>
    <sheetView showGridLines="0" showRowColHeaders="0" tabSelected="1" zoomScaleNormal="100" workbookViewId="0">
      <pane xSplit="2" ySplit="12" topLeftCell="C13" activePane="bottomRight" state="frozenSplit"/>
      <selection pane="topRight" activeCell="C1" sqref="C1"/>
      <selection pane="bottomLeft" activeCell="A22" sqref="A22"/>
      <selection pane="bottomRight" activeCell="B2" sqref="B2"/>
    </sheetView>
  </sheetViews>
  <sheetFormatPr baseColWidth="10" defaultColWidth="12" defaultRowHeight="13.8"/>
  <cols>
    <col min="1" max="1" width="1.77734375" style="1200" customWidth="1"/>
    <col min="2" max="2" width="65.77734375" style="4" customWidth="1"/>
    <col min="3" max="3" width="12.77734375" style="332" customWidth="1"/>
    <col min="4" max="4" width="9.77734375" style="346" customWidth="1"/>
    <col min="5" max="7" width="12.77734375" style="50" customWidth="1"/>
    <col min="8" max="8" width="12.77734375" style="26" customWidth="1"/>
    <col min="9" max="9" width="12.77734375" style="50" customWidth="1"/>
    <col min="10" max="10" width="1.77734375" style="4" customWidth="1"/>
    <col min="11" max="15" width="12.77734375" style="50" customWidth="1"/>
    <col min="16" max="16384" width="12" style="4"/>
  </cols>
  <sheetData>
    <row r="1" spans="1:15" ht="6" customHeight="1"/>
    <row r="2" spans="1:15" ht="21.9" customHeight="1">
      <c r="B2" s="1218"/>
      <c r="C2" s="1997" t="s">
        <v>586</v>
      </c>
      <c r="D2" s="1998"/>
      <c r="E2" s="1998"/>
      <c r="F2" s="1998"/>
      <c r="G2" s="1998"/>
      <c r="H2" s="1998"/>
      <c r="I2" s="1999"/>
      <c r="K2" s="1988" t="s">
        <v>549</v>
      </c>
      <c r="L2" s="1989"/>
      <c r="M2" s="1989"/>
      <c r="N2" s="1989"/>
      <c r="O2" s="1990"/>
    </row>
    <row r="3" spans="1:15" s="6" customFormat="1" ht="14.4">
      <c r="A3" s="1201"/>
      <c r="B3" s="1217" t="str">
        <f>IF(ISBLANK(societe),"Inscrire le nom de l'entreprise ci-dessus"," ")</f>
        <v>Inscrire le nom de l'entreprise ci-dessus</v>
      </c>
      <c r="C3" s="351"/>
      <c r="D3" s="344"/>
      <c r="E3" s="177"/>
      <c r="F3" s="146"/>
      <c r="G3" s="146"/>
      <c r="H3" s="174"/>
      <c r="I3" s="146"/>
      <c r="K3" s="146"/>
      <c r="L3" s="146"/>
      <c r="M3" s="146"/>
      <c r="N3" s="146"/>
      <c r="O3" s="146"/>
    </row>
    <row r="4" spans="1:15" s="6" customFormat="1" ht="24.9" customHeight="1">
      <c r="A4" s="1201"/>
      <c r="B4" s="1228" t="s">
        <v>142</v>
      </c>
      <c r="C4" s="1227"/>
      <c r="D4" s="1993" t="str">
        <f>IF(ISBLANK(activité),"Pour une entreprise de négoce : inscrire N, de production de biens : inscrire PB, de production de services : inscrire PS :"," ")</f>
        <v>Pour une entreprise de négoce : inscrire N, de production de biens : inscrire PB, de production de services : inscrire PS :</v>
      </c>
      <c r="E4" s="1994"/>
      <c r="F4" s="1994"/>
      <c r="G4" s="1994"/>
      <c r="H4" s="1227"/>
      <c r="I4" s="174"/>
      <c r="K4" s="2000" t="str">
        <f>IF(AND(ca_5&gt;0,ISBLANK(u))," renseigner l'unité monétaire choisie"," ")</f>
        <v xml:space="preserve"> </v>
      </c>
      <c r="L4" s="2000"/>
      <c r="M4" s="2000"/>
      <c r="N4" s="1229">
        <f>IF(AND(ca_5&gt;0,ISBLANK(u)),1,0)</f>
        <v>0</v>
      </c>
      <c r="O4" s="1229">
        <f>IF(AND(ca_5&gt;0,ISBLANK(activité)),1,0)</f>
        <v>0</v>
      </c>
    </row>
    <row r="6" spans="1:15" s="6" customFormat="1" ht="24.75" customHeight="1">
      <c r="A6" s="1201"/>
      <c r="B6" s="282" t="s">
        <v>533</v>
      </c>
      <c r="C6" s="16"/>
      <c r="D6" s="345"/>
      <c r="E6" s="213" t="str">
        <f>IF(AND(ca_1&gt;1,du_1=0),"préciser la durée"," ")</f>
        <v xml:space="preserve"> </v>
      </c>
      <c r="F6" s="213" t="str">
        <f>IF(AND(ca_2&gt;1,du_2=0),"préciser la durée"," ")</f>
        <v xml:space="preserve"> </v>
      </c>
      <c r="G6" s="213" t="str">
        <f>IF(AND(ca_3&gt;1,du_3=0),"préciser la durée"," ")</f>
        <v xml:space="preserve"> </v>
      </c>
      <c r="H6" s="213" t="str">
        <f>IF(AND(ca_4&gt;1,du_4=0),"préciser la durée"," ")</f>
        <v xml:space="preserve"> </v>
      </c>
      <c r="I6" s="213" t="str">
        <f>IF(AND(ca_5&gt;1,du_5=0),"préciser la durée"," ")</f>
        <v xml:space="preserve"> </v>
      </c>
      <c r="K6" s="2001" t="str">
        <f>IF(AND(ca_5&gt;0,ISBLANK(activité)),"renseigner l'activité principale exercée"," ")</f>
        <v xml:space="preserve"> </v>
      </c>
      <c r="L6" s="2001"/>
      <c r="M6" s="2001"/>
      <c r="N6" s="443"/>
    </row>
    <row r="7" spans="1:15" ht="3" customHeight="1"/>
    <row r="8" spans="1:15" ht="20.100000000000001" customHeight="1">
      <c r="B8" s="2006" t="s">
        <v>701</v>
      </c>
      <c r="C8" s="2009" t="s">
        <v>196</v>
      </c>
      <c r="D8" s="2009"/>
      <c r="E8" s="1373" t="str">
        <f>IF(ISBLANK(d)," ",d+4)</f>
        <v xml:space="preserve"> </v>
      </c>
      <c r="F8" s="1373" t="str">
        <f>IF(ISBLANK(d)," ",d+3)</f>
        <v xml:space="preserve"> </v>
      </c>
      <c r="G8" s="1373" t="str">
        <f>IF(ISBLANK(d)," ",d+2)</f>
        <v xml:space="preserve"> </v>
      </c>
      <c r="H8" s="1373" t="str">
        <f>IF(ISBLANK(d)," ",d+1)</f>
        <v xml:space="preserve"> </v>
      </c>
      <c r="I8" s="886"/>
      <c r="K8" s="890" t="str">
        <f>IF(ISBLANK(d)," ",d-1)</f>
        <v xml:space="preserve"> </v>
      </c>
      <c r="L8" s="891" t="str">
        <f>IF(ISBLANK(d)," ",d-2)</f>
        <v xml:space="preserve"> </v>
      </c>
      <c r="M8" s="891" t="str">
        <f>IF(ISBLANK(d)," ",d-3)</f>
        <v xml:space="preserve"> </v>
      </c>
      <c r="N8" s="891" t="str">
        <f>IF(ISBLANK(d)," ",d-4)</f>
        <v xml:space="preserve"> </v>
      </c>
      <c r="O8" s="892" t="str">
        <f>IF(ISBLANK(d)," ",d-5)</f>
        <v xml:space="preserve"> </v>
      </c>
    </row>
    <row r="9" spans="1:15" ht="20.100000000000001" customHeight="1">
      <c r="B9" s="2007"/>
      <c r="C9" s="2010" t="s">
        <v>197</v>
      </c>
      <c r="D9" s="2010"/>
      <c r="E9" s="1785"/>
      <c r="F9" s="1785"/>
      <c r="G9" s="1785"/>
      <c r="H9" s="1785"/>
      <c r="I9" s="1786"/>
      <c r="J9" s="1200">
        <f>IF(AND(ISBLANK(d),ca_5&gt;0),1,0)</f>
        <v>0</v>
      </c>
      <c r="K9" s="893"/>
      <c r="L9" s="388"/>
      <c r="M9" s="388"/>
      <c r="N9" s="388"/>
      <c r="O9" s="894"/>
    </row>
    <row r="10" spans="1:15" ht="20.100000000000001" customHeight="1">
      <c r="B10" s="2008"/>
      <c r="C10" s="1979" t="s">
        <v>123</v>
      </c>
      <c r="D10" s="1980"/>
      <c r="E10" s="887" t="str">
        <f>IF(ISBLANK(u)," ",u)</f>
        <v xml:space="preserve"> </v>
      </c>
      <c r="F10" s="887" t="str">
        <f>IF(ISBLANK(u)," ",u)</f>
        <v xml:space="preserve"> </v>
      </c>
      <c r="G10" s="887" t="str">
        <f>IF(ISBLANK(u)," ",u)</f>
        <v xml:space="preserve"> </v>
      </c>
      <c r="H10" s="888" t="str">
        <f>IF(ISBLANK(u)," ",u)</f>
        <v xml:space="preserve"> </v>
      </c>
      <c r="I10" s="889" t="str">
        <f>IF(ISBLANK(u)," ",u)</f>
        <v xml:space="preserve"> </v>
      </c>
      <c r="J10" s="214"/>
      <c r="K10" s="895" t="str">
        <f>IF(ISBLANK(u)," ",u)</f>
        <v xml:space="preserve"> </v>
      </c>
      <c r="L10" s="887" t="str">
        <f>IF(ISBLANK(u)," ",u)</f>
        <v xml:space="preserve"> </v>
      </c>
      <c r="M10" s="887" t="str">
        <f>IF(ISBLANK(u)," ",u)</f>
        <v xml:space="preserve"> </v>
      </c>
      <c r="N10" s="887" t="str">
        <f>IF(ISBLANK(u)," ",u)</f>
        <v xml:space="preserve"> </v>
      </c>
      <c r="O10" s="896" t="str">
        <f>IF(ISBLANK(u)," ",u)</f>
        <v xml:space="preserve"> </v>
      </c>
    </row>
    <row r="11" spans="1:15" ht="3" customHeight="1"/>
    <row r="12" spans="1:15" s="8" customFormat="1" ht="12" customHeight="1">
      <c r="A12" s="446"/>
      <c r="C12" s="339"/>
      <c r="D12" s="346"/>
      <c r="E12" s="175"/>
      <c r="F12" s="175"/>
      <c r="G12" s="175"/>
      <c r="H12" s="2002" t="str">
        <f>IF(AND(ISBLANK(d),caf_5&gt;0),"préciser l'année ci-dessus"," ")</f>
        <v>préciser l'année ci-dessus</v>
      </c>
      <c r="I12" s="2002"/>
      <c r="K12" s="175"/>
      <c r="L12" s="175"/>
      <c r="M12" s="175"/>
      <c r="N12" s="175"/>
      <c r="O12" s="175"/>
    </row>
    <row r="13" spans="1:15" ht="3" customHeight="1"/>
    <row r="14" spans="1:15" ht="18" customHeight="1">
      <c r="B14" s="1995" t="s">
        <v>1</v>
      </c>
      <c r="C14" s="1432">
        <v>2052</v>
      </c>
      <c r="D14" s="1368" t="s">
        <v>2</v>
      </c>
      <c r="E14" s="1886"/>
      <c r="F14" s="1886"/>
      <c r="G14" s="1886"/>
      <c r="H14" s="1886"/>
      <c r="I14" s="1887"/>
      <c r="J14" s="215"/>
      <c r="K14" s="1888"/>
      <c r="L14" s="1886"/>
      <c r="M14" s="1886"/>
      <c r="N14" s="1886"/>
      <c r="O14" s="1887"/>
    </row>
    <row r="15" spans="1:15" ht="18" customHeight="1">
      <c r="B15" s="1996"/>
      <c r="C15" s="1977" t="s">
        <v>604</v>
      </c>
      <c r="D15" s="1978"/>
      <c r="E15" s="1401" t="str">
        <f>IF(ca_1=0," ",IF(ISBLANK(fc_1)," ",fc_1/ca_1))</f>
        <v xml:space="preserve"> </v>
      </c>
      <c r="F15" s="1401" t="str">
        <f>IF(ca_2=0," ",IF(ISBLANK(fc_2)," ",fc_2/ca_2))</f>
        <v xml:space="preserve"> </v>
      </c>
      <c r="G15" s="1401" t="str">
        <f>IF(ca_3=0," ",IF(ISBLANK(fc_3)," ",fc_3/ca_3))</f>
        <v xml:space="preserve"> </v>
      </c>
      <c r="H15" s="1401" t="str">
        <f>IF(ca_4=0," ",IF(ISBLANK(fc_4)," ",fc_4/ca_4))</f>
        <v xml:space="preserve"> </v>
      </c>
      <c r="I15" s="1370" t="str">
        <f>IF(ca_5=0," ",IF(ISBLANK(fc_5)," ",fc_5/ca_5))</f>
        <v xml:space="preserve"> </v>
      </c>
      <c r="J15" s="216"/>
      <c r="K15" s="1372" t="str">
        <f>IF(K29=0," ",IF(ISBLANK(K14)," ",K14/K29))</f>
        <v xml:space="preserve"> </v>
      </c>
      <c r="L15" s="1401" t="str">
        <f>IF(L29=0," ",IF(ISBLANK(L14)," ",L14/L29))</f>
        <v xml:space="preserve"> </v>
      </c>
      <c r="M15" s="1401" t="str">
        <f>IF(M29=0," ",IF(ISBLANK(M14)," ",M14/M29))</f>
        <v xml:space="preserve"> </v>
      </c>
      <c r="N15" s="1401" t="str">
        <f>IF(N29=0," ",IF(ISBLANK(N14)," ",N14/N29))</f>
        <v xml:space="preserve"> </v>
      </c>
      <c r="O15" s="1370" t="str">
        <f>IF(O29=0," ",IF(ISBLANK(O14)," ",O14/O29))</f>
        <v xml:space="preserve"> </v>
      </c>
    </row>
    <row r="16" spans="1:15" s="22" customFormat="1" ht="3" customHeight="1">
      <c r="A16" s="1202"/>
      <c r="B16" s="160"/>
      <c r="C16" s="352"/>
      <c r="D16" s="347"/>
      <c r="E16" s="161"/>
      <c r="F16" s="161"/>
      <c r="G16" s="161"/>
      <c r="H16" s="161"/>
      <c r="I16" s="161"/>
      <c r="K16" s="161"/>
      <c r="L16" s="161"/>
      <c r="M16" s="161"/>
      <c r="N16" s="161"/>
      <c r="O16" s="161"/>
    </row>
    <row r="17" spans="1:15" s="7" customFormat="1" ht="20.100000000000001" customHeight="1">
      <c r="A17" s="1203"/>
      <c r="B17" s="10"/>
      <c r="C17" s="353"/>
      <c r="D17" s="1890" t="s">
        <v>708</v>
      </c>
      <c r="E17" s="1244" t="str">
        <f>IF(ISBLANK(fc_1)," ",(fc_1/fc_2)-1)</f>
        <v xml:space="preserve"> </v>
      </c>
      <c r="F17" s="1244" t="str">
        <f>IF(ISBLANK(fc_2)," ",(fc_2/fc_3)-1)</f>
        <v xml:space="preserve"> </v>
      </c>
      <c r="G17" s="1244" t="str">
        <f>IF(ISBLANK(fc_3)," ",(fc_3/fc_4)-1)</f>
        <v xml:space="preserve"> </v>
      </c>
      <c r="H17" s="1244" t="str">
        <f>IF(ISBLANK(fc_4)," ",(fc_4/fc_5)-1)</f>
        <v xml:space="preserve"> </v>
      </c>
      <c r="I17" s="1244" t="str">
        <f>IF(ISERROR(IF(ISBLANK(K14)," ",(fc_5/K14)-1))," ",IF(ISBLANK(K14)," ",(fc_5/K14)-1))</f>
        <v xml:space="preserve"> </v>
      </c>
      <c r="J17" s="291"/>
      <c r="K17" s="1244" t="str">
        <f>IF(ISERROR(IF(ISBLANK(L14)," ",(K14/L14)-1))," ",IF(ISBLANK(L14)," ",(K14/L14)-1))</f>
        <v xml:space="preserve"> </v>
      </c>
      <c r="L17" s="1244" t="str">
        <f>IF(ISERROR(IF(ISBLANK(M14)," ",(L14/M14)-1))," ",IF(ISBLANK(M14)," ",(L14/M14)-1))</f>
        <v xml:space="preserve"> </v>
      </c>
      <c r="M17" s="1244" t="str">
        <f>IF(ISERROR(IF(ISBLANK(N14)," ",(M14/N14)-1))," ",IF(ISBLANK(N14)," ",(M14/N14)-1))</f>
        <v xml:space="preserve"> </v>
      </c>
      <c r="N17" s="1244" t="str">
        <f>IF(ISERROR(IF(ISBLANK(O14)," ",(N14/O14)-1))," ",IF(ISBLANK(O14)," ",(N14/O14)-1))</f>
        <v xml:space="preserve"> </v>
      </c>
      <c r="O17" s="1245"/>
    </row>
    <row r="18" spans="1:15" s="7" customFormat="1" ht="9.9" customHeight="1">
      <c r="A18" s="1203"/>
      <c r="B18" s="10"/>
      <c r="C18" s="16"/>
      <c r="D18" s="348"/>
      <c r="E18" s="122"/>
      <c r="F18" s="122"/>
      <c r="G18" s="122"/>
      <c r="H18" s="122"/>
      <c r="I18" s="122"/>
      <c r="K18" s="122"/>
      <c r="L18" s="122"/>
      <c r="M18" s="122"/>
      <c r="N18" s="122"/>
      <c r="O18" s="122"/>
    </row>
    <row r="19" spans="1:15" ht="18" customHeight="1">
      <c r="B19" s="2011" t="s">
        <v>3</v>
      </c>
      <c r="C19" s="1432">
        <v>2052</v>
      </c>
      <c r="D19" s="1368" t="s">
        <v>4</v>
      </c>
      <c r="E19" s="1886"/>
      <c r="F19" s="1886"/>
      <c r="G19" s="1886"/>
      <c r="H19" s="1886"/>
      <c r="I19" s="1887"/>
      <c r="J19" s="215"/>
      <c r="K19" s="1888"/>
      <c r="L19" s="1886"/>
      <c r="M19" s="1886"/>
      <c r="N19" s="1886"/>
      <c r="O19" s="1887"/>
    </row>
    <row r="20" spans="1:15" ht="18" customHeight="1">
      <c r="B20" s="2012"/>
      <c r="C20" s="1977" t="s">
        <v>604</v>
      </c>
      <c r="D20" s="1978"/>
      <c r="E20" s="1889" t="str">
        <f>IF(ca_1=0," ",IF(ISBLANK(ff_1)," ",ff_1/ca_1))</f>
        <v xml:space="preserve"> </v>
      </c>
      <c r="F20" s="1401" t="str">
        <f>IF(ca_2=0," ",IF(ISBLANK(ff_2)," ",ff_2/ca_2))</f>
        <v xml:space="preserve"> </v>
      </c>
      <c r="G20" s="1401" t="str">
        <f>IF(ca_3=0," ",IF(ISBLANK(ff_3)," ",ff_3/ca_3))</f>
        <v xml:space="preserve"> </v>
      </c>
      <c r="H20" s="1401" t="str">
        <f>IF(ca_4=0," ",IF(ISBLANK(ff_4)," ",ff_4/ca_4))</f>
        <v xml:space="preserve"> </v>
      </c>
      <c r="I20" s="1370" t="str">
        <f>IF(ca_5=0," ",IF(ISBLANK(ff_5)," ",ff_5/ca_5))</f>
        <v xml:space="preserve"> </v>
      </c>
      <c r="J20" s="216"/>
      <c r="K20" s="1372" t="str">
        <f>IF(K29=0," ",IF(ISBLANK(K19)," ",K19/K29))</f>
        <v xml:space="preserve"> </v>
      </c>
      <c r="L20" s="1401" t="str">
        <f>IF(L29=0," ",IF(ISBLANK(L19)," ",L19/L29))</f>
        <v xml:space="preserve"> </v>
      </c>
      <c r="M20" s="1401" t="str">
        <f>IF(M29=0," ",IF(ISBLANK(M19)," ",M19/M29))</f>
        <v xml:space="preserve"> </v>
      </c>
      <c r="N20" s="1401" t="str">
        <f>IF(N29=0," ",IF(ISBLANK(N19)," ",N19/N29))</f>
        <v xml:space="preserve"> </v>
      </c>
      <c r="O20" s="1370" t="str">
        <f>IF(O29=0," ",IF(ISBLANK(O19)," ",O19/O29))</f>
        <v xml:space="preserve"> </v>
      </c>
    </row>
    <row r="21" spans="1:15" s="22" customFormat="1" ht="3" customHeight="1">
      <c r="A21" s="1202"/>
      <c r="B21" s="160"/>
      <c r="C21" s="352"/>
      <c r="D21" s="347"/>
      <c r="E21" s="161"/>
      <c r="F21" s="161"/>
      <c r="G21" s="161"/>
      <c r="H21" s="161"/>
      <c r="I21" s="161"/>
      <c r="K21" s="161"/>
      <c r="L21" s="161"/>
      <c r="M21" s="161"/>
      <c r="N21" s="161"/>
      <c r="O21" s="161"/>
    </row>
    <row r="22" spans="1:15" s="7" customFormat="1" ht="20.100000000000001" customHeight="1">
      <c r="A22" s="1203"/>
      <c r="B22" s="12"/>
      <c r="C22" s="353"/>
      <c r="D22" s="1890" t="s">
        <v>708</v>
      </c>
      <c r="E22" s="1244" t="str">
        <f>IF(ISBLANK(ff_1)," ",(ff_1/ff_2)-1)</f>
        <v xml:space="preserve"> </v>
      </c>
      <c r="F22" s="1244" t="str">
        <f>IF(ISBLANK(ff_2)," ",(ff_2/ff_3)-1)</f>
        <v xml:space="preserve"> </v>
      </c>
      <c r="G22" s="1244" t="str">
        <f>IF(ISBLANK(ff_3)," ",(ff_3/ff_4)-1)</f>
        <v xml:space="preserve"> </v>
      </c>
      <c r="H22" s="1244" t="str">
        <f>IF(ISBLANK(ff_4)," ",(ff_4/ff_5)-1)</f>
        <v xml:space="preserve"> </v>
      </c>
      <c r="I22" s="1244" t="str">
        <f>IF(ISERROR(IF(ISBLANK(K19)," ",(ff_5/K19)-1))," ",IF(ISBLANK(K19)," ",(ff_5/K19)-1))</f>
        <v xml:space="preserve"> </v>
      </c>
      <c r="J22" s="291"/>
      <c r="K22" s="1244" t="str">
        <f>IF(ISERROR(IF(ISBLANK(L19)," ",(K19/L19)-1))," ",IF(ISBLANK(L19)," ",(K19/L19)-1))</f>
        <v xml:space="preserve"> </v>
      </c>
      <c r="L22" s="1244" t="str">
        <f>IF(ISERROR(IF(ISBLANK(M19)," ",(L19/M19)-1))," ",IF(ISBLANK(M19)," ",(L19/M19)-1))</f>
        <v xml:space="preserve"> </v>
      </c>
      <c r="M22" s="1244" t="str">
        <f>IF(ISERROR(IF(ISBLANK(N19)," ",(M19/N19)-1))," ",IF(ISBLANK(N19)," ",(M19/N19)-1))</f>
        <v xml:space="preserve"> </v>
      </c>
      <c r="N22" s="1244" t="str">
        <f>IF(ISERROR(IF(ISBLANK(O19)," ",(N19/O19)-1))," ",IF(ISBLANK(O19)," ",(N19/O19)-1))</f>
        <v xml:space="preserve"> </v>
      </c>
      <c r="O22" s="1245"/>
    </row>
    <row r="23" spans="1:15" s="7" customFormat="1" ht="9.9" customHeight="1">
      <c r="A23" s="1203"/>
      <c r="B23" s="10"/>
      <c r="C23" s="16"/>
      <c r="D23" s="348"/>
      <c r="E23" s="122"/>
      <c r="F23" s="122"/>
      <c r="G23" s="122"/>
      <c r="H23" s="122"/>
      <c r="I23" s="122"/>
      <c r="K23" s="122"/>
      <c r="L23" s="122"/>
      <c r="M23" s="122"/>
      <c r="N23" s="122"/>
      <c r="O23" s="122"/>
    </row>
    <row r="24" spans="1:15" ht="18" customHeight="1">
      <c r="B24" s="1995" t="s">
        <v>5</v>
      </c>
      <c r="C24" s="1432">
        <v>2052</v>
      </c>
      <c r="D24" s="1368" t="s">
        <v>6</v>
      </c>
      <c r="E24" s="1886"/>
      <c r="F24" s="1886"/>
      <c r="G24" s="1886"/>
      <c r="H24" s="1886"/>
      <c r="I24" s="1887"/>
      <c r="J24" s="215"/>
      <c r="K24" s="1888"/>
      <c r="L24" s="1886"/>
      <c r="M24" s="1886"/>
      <c r="N24" s="1886"/>
      <c r="O24" s="1887"/>
    </row>
    <row r="25" spans="1:15" ht="18" customHeight="1">
      <c r="B25" s="1996"/>
      <c r="C25" s="1985" t="s">
        <v>604</v>
      </c>
      <c r="D25" s="1986"/>
      <c r="E25" s="1401" t="str">
        <f>IF(ca_1=0," ",IF(ISBLANK(E24)," ",E24/ca_1))</f>
        <v xml:space="preserve"> </v>
      </c>
      <c r="F25" s="1401" t="str">
        <f>IF(ca_2=0," ",IF(ISBLANK(F24)," ",F24/ca_2))</f>
        <v xml:space="preserve"> </v>
      </c>
      <c r="G25" s="1401" t="str">
        <f>IF(ca_3=0," ",IF(ISBLANK(G24)," ",G24/ca_3))</f>
        <v xml:space="preserve"> </v>
      </c>
      <c r="H25" s="1401" t="str">
        <f>IF(ca_4=0," ",IF(ISBLANK(H24)," ",H24/ca_4))</f>
        <v xml:space="preserve"> </v>
      </c>
      <c r="I25" s="1370" t="str">
        <f>IF(ca_5=0," ",IF(ISBLANK(I24)," ",I24/ca_5))</f>
        <v xml:space="preserve"> </v>
      </c>
      <c r="J25" s="216"/>
      <c r="K25" s="1372" t="str">
        <f>IF(K29=0," ",IF(ISBLANK(K24)," ",K24/K29))</f>
        <v xml:space="preserve"> </v>
      </c>
      <c r="L25" s="1401" t="str">
        <f>IF(L29=0," ",IF(ISBLANK(L24)," ",L24/L29))</f>
        <v xml:space="preserve"> </v>
      </c>
      <c r="M25" s="1401" t="str">
        <f>IF(M29=0," ",IF(ISBLANK(M24)," ",M24/M29))</f>
        <v xml:space="preserve"> </v>
      </c>
      <c r="N25" s="1401" t="str">
        <f>IF(N29=0," ",IF(ISBLANK(N24)," ",N24/N29))</f>
        <v xml:space="preserve"> </v>
      </c>
      <c r="O25" s="1370" t="str">
        <f>IF(O29=0," ",IF(ISBLANK(O24)," ",O24/O29))</f>
        <v xml:space="preserve"> </v>
      </c>
    </row>
    <row r="26" spans="1:15" s="22" customFormat="1" ht="3" customHeight="1">
      <c r="A26" s="1202"/>
      <c r="B26" s="160"/>
      <c r="C26" s="352"/>
      <c r="D26" s="347"/>
      <c r="E26" s="161"/>
      <c r="F26" s="161"/>
      <c r="G26" s="161"/>
      <c r="H26" s="161"/>
      <c r="I26" s="161"/>
      <c r="K26" s="1246"/>
      <c r="L26" s="161"/>
      <c r="M26" s="161"/>
      <c r="N26" s="161"/>
      <c r="O26" s="1247"/>
    </row>
    <row r="27" spans="1:15" s="7" customFormat="1" ht="20.100000000000001" customHeight="1">
      <c r="A27" s="1203"/>
      <c r="B27" s="12"/>
      <c r="C27" s="353"/>
      <c r="D27" s="1890" t="s">
        <v>708</v>
      </c>
      <c r="E27" s="1244" t="str">
        <f>IF(ISBLANK(E24)," ",(E24/F24)-1)</f>
        <v xml:space="preserve"> </v>
      </c>
      <c r="F27" s="1244" t="str">
        <f>IF(ISBLANK(F24)," ",(F24/G24)-1)</f>
        <v xml:space="preserve"> </v>
      </c>
      <c r="G27" s="1244" t="str">
        <f>IF(ISBLANK(G24)," ",(G24/H24)-1)</f>
        <v xml:space="preserve"> </v>
      </c>
      <c r="H27" s="1244" t="str">
        <f>IF(ISBLANK(H24)," ",(H24/I24)-1)</f>
        <v xml:space="preserve"> </v>
      </c>
      <c r="I27" s="1244" t="str">
        <f>IF(ISERROR(IF(ISBLANK(K24)," ",(fi_5/K24)-1))," ",IF(ISBLANK(K24)," ",(fi_5/K24)-1))</f>
        <v xml:space="preserve"> </v>
      </c>
      <c r="J27" s="291"/>
      <c r="K27" s="1244" t="str">
        <f>IF(ISERROR(IF(ISBLANK(L24)," ",(K24/L24)-1))," ",IF(ISBLANK(L24)," ",(K24/L24)-1))</f>
        <v xml:space="preserve"> </v>
      </c>
      <c r="L27" s="1244" t="str">
        <f>IF(ISERROR(IF(ISBLANK(M24)," ",(L24/M24)-1))," ",IF(ISBLANK(M24)," ",(L24/M24)-1))</f>
        <v xml:space="preserve"> </v>
      </c>
      <c r="M27" s="1244" t="str">
        <f>IF(ISERROR(IF(ISBLANK(N24)," ",(M24/N24)-1))," ",IF(ISBLANK(N24)," ",(M24/N24)-1))</f>
        <v xml:space="preserve"> </v>
      </c>
      <c r="N27" s="1244" t="str">
        <f>IF(ISERROR(IF(ISBLANK(O24)," ",(N24/O24)-1))," ",IF(ISBLANK(O24)," ",(N24/O24)-1))</f>
        <v xml:space="preserve"> </v>
      </c>
      <c r="O27" s="1245"/>
    </row>
    <row r="28" spans="1:15" s="8" customFormat="1" ht="9.9" customHeight="1">
      <c r="A28" s="446"/>
      <c r="B28" s="13"/>
      <c r="C28" s="339"/>
      <c r="D28" s="346"/>
      <c r="E28" s="41"/>
      <c r="F28" s="41"/>
      <c r="G28" s="41"/>
      <c r="H28" s="41"/>
      <c r="I28" s="41"/>
      <c r="K28" s="41"/>
      <c r="L28" s="41"/>
      <c r="M28" s="41"/>
      <c r="N28" s="41"/>
      <c r="O28" s="41"/>
    </row>
    <row r="29" spans="1:15" s="15" customFormat="1" ht="30" customHeight="1">
      <c r="A29" s="1200"/>
      <c r="B29" s="1386" t="s">
        <v>474</v>
      </c>
      <c r="C29" s="1387">
        <v>2052</v>
      </c>
      <c r="D29" s="1388" t="s">
        <v>463</v>
      </c>
      <c r="E29" s="1389">
        <f>fc_1+ff_1+fi_1</f>
        <v>0</v>
      </c>
      <c r="F29" s="1389">
        <f>fc_2+ff_2+fi_2</f>
        <v>0</v>
      </c>
      <c r="G29" s="1389">
        <f>fc_3+ff_3+fi_3</f>
        <v>0</v>
      </c>
      <c r="H29" s="1389">
        <f>fc_4+ff_4+fi_4</f>
        <v>0</v>
      </c>
      <c r="I29" s="1390">
        <f>fc_5+ff_5+fi_5</f>
        <v>0</v>
      </c>
      <c r="J29" s="8"/>
      <c r="K29" s="1391">
        <f>K14+K19+K24</f>
        <v>0</v>
      </c>
      <c r="L29" s="1389">
        <f>L14+L19+L24</f>
        <v>0</v>
      </c>
      <c r="M29" s="1389">
        <f>M14+M19+M24</f>
        <v>0</v>
      </c>
      <c r="N29" s="1389">
        <f>N14+N19+N24</f>
        <v>0</v>
      </c>
      <c r="O29" s="1390">
        <f>O14+O19+O24</f>
        <v>0</v>
      </c>
    </row>
    <row r="30" spans="1:15" s="18" customFormat="1" ht="3" customHeight="1">
      <c r="A30" s="1203"/>
      <c r="B30" s="16"/>
      <c r="C30" s="16"/>
      <c r="D30" s="345"/>
      <c r="E30" s="17"/>
      <c r="F30" s="17"/>
      <c r="G30" s="17"/>
      <c r="H30" s="17"/>
      <c r="I30" s="17"/>
      <c r="J30" s="8"/>
      <c r="K30" s="17"/>
      <c r="L30" s="17"/>
      <c r="M30" s="17"/>
      <c r="N30" s="17"/>
      <c r="O30" s="17"/>
    </row>
    <row r="31" spans="1:15" s="7" customFormat="1" ht="20.100000000000001" customHeight="1">
      <c r="A31" s="1203"/>
      <c r="B31" s="12"/>
      <c r="C31" s="353"/>
      <c r="D31" s="1890" t="s">
        <v>708</v>
      </c>
      <c r="E31" s="1244" t="str">
        <f>IF(E29=0," ",(E29/F29)-1)</f>
        <v xml:space="preserve"> </v>
      </c>
      <c r="F31" s="1244" t="str">
        <f>IF(F29=0," ",(F29/G29)-1)</f>
        <v xml:space="preserve"> </v>
      </c>
      <c r="G31" s="1244" t="str">
        <f>IF(G29=0," ",(G29/H29)-1)</f>
        <v xml:space="preserve"> </v>
      </c>
      <c r="H31" s="1244" t="str">
        <f>IF(H29=0," ",(H29/I29)-1)</f>
        <v xml:space="preserve"> </v>
      </c>
      <c r="I31" s="1244" t="str">
        <f>IF(ISERROR(IF(ISBLANK(K29)," ",(ca_5/K29)-1))," ",IF(ISBLANK(K29)," ",(ca_5/K29)-1))</f>
        <v xml:space="preserve"> </v>
      </c>
      <c r="J31" s="8"/>
      <c r="K31" s="1244" t="str">
        <f>IF(K29=0," ",(K29/L29)-1)</f>
        <v xml:space="preserve"> </v>
      </c>
      <c r="L31" s="1244" t="str">
        <f>IF(L29=0," ",(L29/M29)-1)</f>
        <v xml:space="preserve"> </v>
      </c>
      <c r="M31" s="1244" t="str">
        <f>IF(M29=0," ",(M29/N29)-1)</f>
        <v xml:space="preserve"> </v>
      </c>
      <c r="N31" s="1244" t="str">
        <f>IF(N29=0," ",(N29/O29)-1)</f>
        <v xml:space="preserve"> </v>
      </c>
      <c r="O31" s="1245"/>
    </row>
    <row r="32" spans="1:15" s="8" customFormat="1" ht="9.9" customHeight="1">
      <c r="A32" s="446"/>
      <c r="B32" s="13"/>
      <c r="C32" s="339"/>
      <c r="D32" s="346"/>
      <c r="E32" s="41"/>
      <c r="F32" s="41"/>
      <c r="G32" s="41"/>
      <c r="H32" s="41"/>
      <c r="I32" s="41"/>
      <c r="K32" s="41"/>
      <c r="L32" s="41"/>
      <c r="M32" s="41"/>
      <c r="N32" s="41"/>
      <c r="O32" s="41"/>
    </row>
    <row r="33" spans="1:15" s="18" customFormat="1" ht="18" customHeight="1">
      <c r="A33" s="1203"/>
      <c r="B33" s="1981" t="s">
        <v>414</v>
      </c>
      <c r="C33" s="1530" t="s">
        <v>219</v>
      </c>
      <c r="D33" s="1393" t="str">
        <f>IF(ISBLANK(u)," ",u)</f>
        <v xml:space="preserve"> </v>
      </c>
      <c r="E33" s="1402"/>
      <c r="F33" s="1402"/>
      <c r="G33" s="1402"/>
      <c r="H33" s="1402"/>
      <c r="I33" s="1394"/>
      <c r="J33" s="212"/>
      <c r="K33" s="1396"/>
      <c r="L33" s="1402"/>
      <c r="M33" s="1402"/>
      <c r="N33" s="1402"/>
      <c r="O33" s="1394"/>
    </row>
    <row r="34" spans="1:15" s="18" customFormat="1" ht="18" customHeight="1">
      <c r="A34" s="1203"/>
      <c r="B34" s="1982"/>
      <c r="C34" s="2003" t="s">
        <v>604</v>
      </c>
      <c r="D34" s="2004"/>
      <c r="E34" s="1403" t="str">
        <f>IF(ca_1=0," ",IF(ISBLANK(E33)," ",E33/ca_1))</f>
        <v xml:space="preserve"> </v>
      </c>
      <c r="F34" s="1403" t="str">
        <f>IF(ca_2=0," ",IF(ISBLANK(F33)," ",F33/ca_2))</f>
        <v xml:space="preserve"> </v>
      </c>
      <c r="G34" s="1403" t="str">
        <f>IF(ca_3=0," ",IF(ISBLANK(G33)," ",G33/ca_3))</f>
        <v xml:space="preserve"> </v>
      </c>
      <c r="H34" s="1403" t="str">
        <f>IF(ca_4=0," ",IF(ISBLANK(H33)," ",H33/ca_4))</f>
        <v xml:space="preserve"> </v>
      </c>
      <c r="I34" s="1395" t="str">
        <f>IF(ca_5=0," ",IF(ISBLANK(I33)," ",I33/ca_5))</f>
        <v xml:space="preserve"> </v>
      </c>
      <c r="J34" s="212"/>
      <c r="K34" s="1397" t="str">
        <f>IF(K29=0," ",IF(ISBLANK(K33)," ",K33/K29))</f>
        <v xml:space="preserve"> </v>
      </c>
      <c r="L34" s="1403" t="str">
        <f>IF(L29=0," ",IF(ISBLANK(L33)," ",L33/L29))</f>
        <v xml:space="preserve"> </v>
      </c>
      <c r="M34" s="1403" t="str">
        <f>IF(M29=0," ",IF(ISBLANK(M33)," ",M33/M29))</f>
        <v xml:space="preserve"> </v>
      </c>
      <c r="N34" s="1403" t="str">
        <f>IF(N29=0," ",IF(ISBLANK(N33)," ",N33/N29))</f>
        <v xml:space="preserve"> </v>
      </c>
      <c r="O34" s="1395" t="str">
        <f>IF(O29=0," ",IF(ISBLANK(O33)," ",O33/O29))</f>
        <v xml:space="preserve"> </v>
      </c>
    </row>
    <row r="35" spans="1:15" s="18" customFormat="1" ht="3" customHeight="1">
      <c r="A35" s="1203"/>
      <c r="B35" s="16"/>
      <c r="C35" s="16"/>
      <c r="D35" s="345"/>
      <c r="E35" s="17"/>
      <c r="F35" s="17"/>
      <c r="G35" s="17"/>
      <c r="H35" s="17"/>
      <c r="I35" s="17"/>
      <c r="J35" s="212"/>
      <c r="K35" s="17"/>
      <c r="L35" s="17"/>
      <c r="M35" s="17"/>
      <c r="N35" s="17"/>
      <c r="O35" s="17"/>
    </row>
    <row r="36" spans="1:15" s="7" customFormat="1" ht="20.100000000000001" customHeight="1">
      <c r="A36" s="1203"/>
      <c r="B36" s="12"/>
      <c r="C36" s="353"/>
      <c r="D36" s="1890" t="s">
        <v>708</v>
      </c>
      <c r="E36" s="1244" t="str">
        <f>IF(ISBLANK(E33)," ",(E33/F33)-1)</f>
        <v xml:space="preserve"> </v>
      </c>
      <c r="F36" s="1244" t="str">
        <f>IF(ISBLANK(F33)," ",(F33/G33)-1)</f>
        <v xml:space="preserve"> </v>
      </c>
      <c r="G36" s="1244" t="str">
        <f>IF(ISBLANK(G33)," ",(G33/H33)-1)</f>
        <v xml:space="preserve"> </v>
      </c>
      <c r="H36" s="1244" t="str">
        <f>IF(ISBLANK(H33)," ",(H33/I33)-1)</f>
        <v xml:space="preserve"> </v>
      </c>
      <c r="I36" s="1244" t="str">
        <f>IF(ISERROR(IF(ISBLANK(K33)," ",(I33/K33)-1))," ",IF(ISBLANK(K33)," ",(I33/K33)-1))</f>
        <v xml:space="preserve"> </v>
      </c>
      <c r="J36" s="265"/>
      <c r="K36" s="1244" t="str">
        <f>IF(ISERROR(IF(ISBLANK(L33)," ",(K33/L33)-1))," ",IF(ISBLANK(L33)," ",(K33/L33)-1))</f>
        <v xml:space="preserve"> </v>
      </c>
      <c r="L36" s="1244" t="str">
        <f>IF(ISERROR(IF(ISBLANK(M33)," ",(L33/M33)-1))," ",IF(ISBLANK(M33)," ",(L33/M33)-1))</f>
        <v xml:space="preserve"> </v>
      </c>
      <c r="M36" s="1244" t="str">
        <f>IF(ISERROR(IF(ISBLANK(N33)," ",(M33/N33)-1))," ",IF(ISBLANK(N33)," ",(M33/N33)-1))</f>
        <v xml:space="preserve"> </v>
      </c>
      <c r="N36" s="1244" t="str">
        <f>IF(ISERROR(IF(ISBLANK(O33)," ",(N33/O33)-1))," ",IF(ISBLANK(O33)," ",(N33/O33)-1))</f>
        <v xml:space="preserve"> </v>
      </c>
      <c r="O36" s="1245"/>
    </row>
    <row r="37" spans="1:15" s="8" customFormat="1" ht="9.9" customHeight="1">
      <c r="A37" s="446"/>
      <c r="B37" s="13"/>
      <c r="C37" s="339"/>
      <c r="D37" s="346"/>
      <c r="E37" s="41"/>
      <c r="F37" s="41"/>
      <c r="G37" s="41"/>
      <c r="H37" s="41"/>
      <c r="I37" s="41"/>
      <c r="J37" s="212"/>
      <c r="K37" s="41"/>
      <c r="L37" s="41"/>
      <c r="M37" s="41"/>
      <c r="N37" s="41"/>
      <c r="O37" s="41"/>
    </row>
    <row r="38" spans="1:15" ht="18" customHeight="1">
      <c r="B38" s="1983" t="s">
        <v>415</v>
      </c>
      <c r="C38" s="1531" t="s">
        <v>219</v>
      </c>
      <c r="D38" s="1367" t="str">
        <f>IF(ISBLANK(u)," ",u)</f>
        <v xml:space="preserve"> </v>
      </c>
      <c r="E38" s="1404">
        <f>E29-E33</f>
        <v>0</v>
      </c>
      <c r="F38" s="1404">
        <f>F29-F33</f>
        <v>0</v>
      </c>
      <c r="G38" s="1404">
        <f>G29-G33</f>
        <v>0</v>
      </c>
      <c r="H38" s="1404">
        <f>H29-H33</f>
        <v>0</v>
      </c>
      <c r="I38" s="1369">
        <f>I29-I33</f>
        <v>0</v>
      </c>
      <c r="J38" s="212"/>
      <c r="K38" s="1398">
        <f>K29-K33</f>
        <v>0</v>
      </c>
      <c r="L38" s="1404">
        <f>L29-L33</f>
        <v>0</v>
      </c>
      <c r="M38" s="1404">
        <f>M29-M33</f>
        <v>0</v>
      </c>
      <c r="N38" s="1404">
        <f>N29-N33</f>
        <v>0</v>
      </c>
      <c r="O38" s="1369">
        <f>O29-O33</f>
        <v>0</v>
      </c>
    </row>
    <row r="39" spans="1:15" ht="18" customHeight="1">
      <c r="B39" s="1984"/>
      <c r="C39" s="2005" t="s">
        <v>604</v>
      </c>
      <c r="D39" s="2004"/>
      <c r="E39" s="1405" t="str">
        <f>IF(ca_1=0," ",IF(ISBLANK(E38)," ",E38/ca_1))</f>
        <v xml:space="preserve"> </v>
      </c>
      <c r="F39" s="1405" t="str">
        <f>IF(ca_2=0," ",IF(ISBLANK(F38)," ",F38/ca_2))</f>
        <v xml:space="preserve"> </v>
      </c>
      <c r="G39" s="1405" t="str">
        <f>IF(ca_3=0," ",IF(ISBLANK(G38)," ",G38/ca_3))</f>
        <v xml:space="preserve"> </v>
      </c>
      <c r="H39" s="1405" t="str">
        <f>IF(ca_4=0," ",IF(ISBLANK(H38)," ",H38/ca_4))</f>
        <v xml:space="preserve"> </v>
      </c>
      <c r="I39" s="1371" t="str">
        <f>IF(ca_5=0," ",IF(ISBLANK(I38)," ",I38/ca_5))</f>
        <v xml:space="preserve"> </v>
      </c>
      <c r="J39" s="121"/>
      <c r="K39" s="1399" t="str">
        <f>IF(K29=0," ",IF(ISBLANK(K38)," ",K38/K29))</f>
        <v xml:space="preserve"> </v>
      </c>
      <c r="L39" s="1405" t="str">
        <f>IF(L29=0," ",IF(ISBLANK(L38)," ",L38/L29))</f>
        <v xml:space="preserve"> </v>
      </c>
      <c r="M39" s="1405" t="str">
        <f>IF(M29=0," ",IF(ISBLANK(M38)," ",M38/M29))</f>
        <v xml:space="preserve"> </v>
      </c>
      <c r="N39" s="1405" t="str">
        <f>IF(N29=0," ",IF(ISBLANK(N38)," ",N38/N29))</f>
        <v xml:space="preserve"> </v>
      </c>
      <c r="O39" s="1371" t="str">
        <f>IF(O29=0," ",IF(ISBLANK(O38)," ",O38/O29))</f>
        <v xml:space="preserve"> </v>
      </c>
    </row>
    <row r="40" spans="1:15" s="18" customFormat="1" ht="3" customHeight="1">
      <c r="A40" s="1203"/>
      <c r="B40" s="16"/>
      <c r="C40" s="16"/>
      <c r="D40" s="345"/>
      <c r="E40" s="17"/>
      <c r="F40" s="17"/>
      <c r="G40" s="17"/>
      <c r="H40" s="17"/>
      <c r="I40" s="17"/>
      <c r="J40" s="121"/>
      <c r="K40" s="17"/>
      <c r="L40" s="17"/>
      <c r="M40" s="17"/>
      <c r="N40" s="17"/>
      <c r="O40" s="17"/>
    </row>
    <row r="41" spans="1:15" s="8" customFormat="1" ht="20.100000000000001" customHeight="1">
      <c r="A41" s="446"/>
      <c r="C41" s="343"/>
      <c r="D41" s="1890" t="s">
        <v>708</v>
      </c>
      <c r="E41" s="1244" t="str">
        <f>IF(ISERROR(IF(ca_1=0," ",(E38/F38)-1))," ",IF(ca_1=0," ",(E38/F38)-1))</f>
        <v xml:space="preserve"> </v>
      </c>
      <c r="F41" s="1244" t="str">
        <f>IF(ISERROR(IF(ca_2=0," ",(F38/G38)-1))," ",IF(ca_2=0," ",(F38/G38)-1))</f>
        <v xml:space="preserve"> </v>
      </c>
      <c r="G41" s="1244" t="str">
        <f>IF(ISERROR(IF(ca_3=0," ",(G38/H38)-1))," ",IF(ca_3=0," ",(G38/H38)-1))</f>
        <v xml:space="preserve"> </v>
      </c>
      <c r="H41" s="1244" t="str">
        <f>IF(ISERROR(IF(ca_4=0," ",(H38/I38)-1))," ",IF(ca_4=0," ",(H38/I38)-1))</f>
        <v xml:space="preserve"> </v>
      </c>
      <c r="I41" s="1244" t="str">
        <f>IF(ISERROR(IF(ISBLANK(K38)," ",(export_5/K38)-1))," ",IF(ISBLANK(K38)," ",(export_5/K38)-1))</f>
        <v xml:space="preserve"> </v>
      </c>
      <c r="K41" s="1244" t="str">
        <f>IF(ISERROR(IF(ISBLANK(L38)," ",(K38/L38)-1))," ",IF(ISBLANK(L38)," ",(K38/L38)-1))</f>
        <v xml:space="preserve"> </v>
      </c>
      <c r="L41" s="1244" t="str">
        <f>IF(ISERROR(IF(ISBLANK(M38)," ",(L38/M38)-1))," ",IF(ISBLANK(M38)," ",(L38/M38)-1))</f>
        <v xml:space="preserve"> </v>
      </c>
      <c r="M41" s="1244" t="str">
        <f>IF(ISERROR(IF(ISBLANK(N38)," ",(M38/N38)-1))," ",IF(ISBLANK(N38)," ",(M38/N38)-1))</f>
        <v xml:space="preserve"> </v>
      </c>
      <c r="N41" s="1244" t="str">
        <f>IF(ISERROR(IF(ISBLANK(O38)," ",(N38/O38)-1))," ",IF(ISBLANK(O38)," ",(N38/O38)-1))</f>
        <v xml:space="preserve"> </v>
      </c>
      <c r="O41" s="1245"/>
    </row>
    <row r="42" spans="1:15" s="8" customFormat="1" ht="12" customHeight="1">
      <c r="A42" s="446"/>
      <c r="B42" s="13"/>
      <c r="C42" s="1991" t="s">
        <v>477</v>
      </c>
      <c r="D42" s="1992"/>
      <c r="E42" s="41"/>
      <c r="F42" s="41"/>
      <c r="G42" s="41"/>
      <c r="H42" s="41"/>
      <c r="I42" s="41"/>
      <c r="K42" s="41"/>
      <c r="L42" s="41"/>
      <c r="M42" s="41"/>
      <c r="N42" s="41"/>
      <c r="O42" s="41"/>
    </row>
    <row r="43" spans="1:15" ht="20.100000000000001" customHeight="1">
      <c r="B43" s="1253" t="s">
        <v>7</v>
      </c>
      <c r="C43" s="1254">
        <v>2052</v>
      </c>
      <c r="D43" s="779" t="s">
        <v>8</v>
      </c>
      <c r="E43" s="1406"/>
      <c r="F43" s="1406"/>
      <c r="G43" s="1406"/>
      <c r="H43" s="1406"/>
      <c r="I43" s="777"/>
      <c r="K43" s="753"/>
      <c r="L43" s="1406"/>
      <c r="M43" s="1406"/>
      <c r="N43" s="1406"/>
      <c r="O43" s="777"/>
    </row>
    <row r="44" spans="1:15" ht="20.100000000000001" customHeight="1">
      <c r="B44" s="1252" t="s">
        <v>9</v>
      </c>
      <c r="C44" s="1433">
        <v>2052</v>
      </c>
      <c r="D44" s="1400" t="s">
        <v>10</v>
      </c>
      <c r="E44" s="1407"/>
      <c r="F44" s="1407"/>
      <c r="G44" s="1407"/>
      <c r="H44" s="1407"/>
      <c r="I44" s="778"/>
      <c r="K44" s="733"/>
      <c r="L44" s="1534"/>
      <c r="M44" s="1534"/>
      <c r="N44" s="1534"/>
      <c r="O44" s="778"/>
    </row>
    <row r="45" spans="1:15" s="15" customFormat="1" ht="18" customHeight="1">
      <c r="A45" s="1200"/>
      <c r="B45" s="1919" t="s">
        <v>11</v>
      </c>
      <c r="C45" s="1522" t="s">
        <v>219</v>
      </c>
      <c r="D45" s="1065" t="str">
        <f>IF(ISBLANK(u)," ",u)</f>
        <v xml:space="preserve"> </v>
      </c>
      <c r="E45" s="1066">
        <f>ca_1+fm_1+fn_1</f>
        <v>0</v>
      </c>
      <c r="F45" s="1066">
        <f>ca_2+fm_2+fn_2</f>
        <v>0</v>
      </c>
      <c r="G45" s="1066">
        <f>ca_3+fm_3+fn_3</f>
        <v>0</v>
      </c>
      <c r="H45" s="1066">
        <f>ca_4+fm_4+fn_4</f>
        <v>0</v>
      </c>
      <c r="I45" s="1067">
        <f>ca_5+fm_5+fn_5</f>
        <v>0</v>
      </c>
      <c r="J45" s="1068"/>
      <c r="K45" s="1069">
        <f>K29+K43+K44</f>
        <v>0</v>
      </c>
      <c r="L45" s="1066">
        <f>L29+L43+L44</f>
        <v>0</v>
      </c>
      <c r="M45" s="1066">
        <f>M29+M43+M44</f>
        <v>0</v>
      </c>
      <c r="N45" s="1066">
        <f>N29+N43+N44</f>
        <v>0</v>
      </c>
      <c r="O45" s="1067">
        <f>O29+O43+O44</f>
        <v>0</v>
      </c>
    </row>
    <row r="46" spans="1:15" s="15" customFormat="1" ht="18" customHeight="1">
      <c r="A46" s="1200"/>
      <c r="B46" s="1920"/>
      <c r="C46" s="1987" t="s">
        <v>604</v>
      </c>
      <c r="D46" s="1922"/>
      <c r="E46" s="413" t="str">
        <f>IF(ca_1=0," ",pr_1/ca_1)</f>
        <v xml:space="preserve"> </v>
      </c>
      <c r="F46" s="413" t="str">
        <f>IF(ca_2=0," ",pr_2/ca_2)</f>
        <v xml:space="preserve"> </v>
      </c>
      <c r="G46" s="413" t="str">
        <f>IF(ca_3=0," ",pr_3/ca_3)</f>
        <v xml:space="preserve"> </v>
      </c>
      <c r="H46" s="413" t="str">
        <f>IF(ca_4=0," ",pr_4/ca_4)</f>
        <v xml:space="preserve"> </v>
      </c>
      <c r="I46" s="414" t="str">
        <f>IF(ca_5=0," ",pr_5/ca_5)</f>
        <v xml:space="preserve"> </v>
      </c>
      <c r="J46" s="33"/>
      <c r="K46" s="415" t="str">
        <f>IF(K29=0," ",K45/K29)</f>
        <v xml:space="preserve"> </v>
      </c>
      <c r="L46" s="413" t="str">
        <f>IF(L29=0," ",L45/L29)</f>
        <v xml:space="preserve"> </v>
      </c>
      <c r="M46" s="413" t="str">
        <f>IF(M29=0," ",M45/M29)</f>
        <v xml:space="preserve"> </v>
      </c>
      <c r="N46" s="413" t="str">
        <f>IF(N29=0," ",N45/N29)</f>
        <v xml:space="preserve"> </v>
      </c>
      <c r="O46" s="414" t="str">
        <f>IF(O29=0," ",O45/O29)</f>
        <v xml:space="preserve"> </v>
      </c>
    </row>
    <row r="47" spans="1:15" s="8" customFormat="1" ht="3" customHeight="1">
      <c r="A47" s="446"/>
      <c r="C47" s="339"/>
      <c r="D47" s="346"/>
      <c r="E47" s="41"/>
      <c r="F47" s="41"/>
      <c r="G47" s="41"/>
      <c r="H47" s="41"/>
      <c r="I47" s="41"/>
      <c r="K47" s="41"/>
      <c r="L47" s="41"/>
      <c r="M47" s="41"/>
      <c r="N47" s="41"/>
      <c r="O47" s="41"/>
    </row>
    <row r="48" spans="1:15" s="7" customFormat="1" ht="20.100000000000001" customHeight="1">
      <c r="A48" s="1203"/>
      <c r="B48" s="12"/>
      <c r="C48" s="353"/>
      <c r="D48" s="1890" t="s">
        <v>708</v>
      </c>
      <c r="E48" s="1244" t="str">
        <f>IF(pr_1=0," ",(pr_1/pr_2)-1)</f>
        <v xml:space="preserve"> </v>
      </c>
      <c r="F48" s="1244" t="str">
        <f>IF(pr_2=0," ",(pr_2/pr_3)-1)</f>
        <v xml:space="preserve"> </v>
      </c>
      <c r="G48" s="1244" t="str">
        <f>IF(pr_3=0," ",(pr_3/pr_4)-1)</f>
        <v xml:space="preserve"> </v>
      </c>
      <c r="H48" s="1244" t="str">
        <f>IF(pr_4=0," ",(pr_4/pr_5)-1)</f>
        <v xml:space="preserve"> </v>
      </c>
      <c r="I48" s="1244" t="str">
        <f>IF(ISERROR(IF(ISBLANK(K45)," ",(pr_5/K45)-1))," ",IF(ISBLANK(K45)," ",(pr_5/K45)-1))</f>
        <v xml:space="preserve"> </v>
      </c>
      <c r="J48" s="8"/>
      <c r="K48" s="1244" t="str">
        <f>IF(ISERROR(IF(ISBLANK(L45)," ",(K45/L45)-1))," ",IF(ISBLANK(L45)," ",(K45/L45)-1))</f>
        <v xml:space="preserve"> </v>
      </c>
      <c r="L48" s="1244" t="str">
        <f>IF(ISERROR(IF(ISBLANK(M45)," ",(L45/M45)-1))," ",IF(ISBLANK(M45)," ",(L45/M45)-1))</f>
        <v xml:space="preserve"> </v>
      </c>
      <c r="M48" s="1244" t="str">
        <f>IF(ISERROR(IF(ISBLANK(N45)," ",(M45/N45)-1))," ",IF(ISBLANK(N45)," ",(M45/N45)-1))</f>
        <v xml:space="preserve"> </v>
      </c>
      <c r="N48" s="1244" t="str">
        <f>IF(ISERROR(IF(ISBLANK(O45)," ",(N45/O45)-1))," ",IF(ISBLANK(O45)," ",(N45/O45)-1))</f>
        <v xml:space="preserve"> </v>
      </c>
      <c r="O48" s="1245"/>
    </row>
    <row r="49" spans="1:15" s="8" customFormat="1" ht="9" customHeight="1">
      <c r="A49" s="446"/>
      <c r="C49" s="339"/>
      <c r="D49" s="346"/>
      <c r="E49" s="41"/>
      <c r="F49" s="41"/>
      <c r="G49" s="41"/>
      <c r="H49" s="41"/>
      <c r="I49" s="41"/>
      <c r="K49" s="41"/>
      <c r="L49" s="41"/>
      <c r="M49" s="41"/>
      <c r="N49" s="41"/>
      <c r="O49" s="41"/>
    </row>
    <row r="50" spans="1:15" ht="20.100000000000001" customHeight="1">
      <c r="B50" s="1253" t="s">
        <v>12</v>
      </c>
      <c r="C50" s="1254">
        <v>2052</v>
      </c>
      <c r="D50" s="779" t="s">
        <v>13</v>
      </c>
      <c r="E50" s="1406"/>
      <c r="F50" s="1406"/>
      <c r="G50" s="1406"/>
      <c r="H50" s="1406"/>
      <c r="I50" s="777"/>
      <c r="K50" s="753"/>
      <c r="L50" s="1406"/>
      <c r="M50" s="1406"/>
      <c r="N50" s="1406"/>
      <c r="O50" s="777"/>
    </row>
    <row r="51" spans="1:15" ht="20.100000000000001" customHeight="1">
      <c r="B51" s="1429" t="s">
        <v>14</v>
      </c>
      <c r="C51" s="1434">
        <v>2052</v>
      </c>
      <c r="D51" s="454" t="s">
        <v>15</v>
      </c>
      <c r="E51" s="1408"/>
      <c r="F51" s="1408"/>
      <c r="G51" s="1408"/>
      <c r="H51" s="1408"/>
      <c r="I51" s="780"/>
      <c r="K51" s="801"/>
      <c r="L51" s="1408"/>
      <c r="M51" s="1408"/>
      <c r="N51" s="1408"/>
      <c r="O51" s="780"/>
    </row>
    <row r="52" spans="1:15" ht="30" customHeight="1">
      <c r="B52" s="1430" t="s">
        <v>537</v>
      </c>
      <c r="C52" s="1928" t="s">
        <v>536</v>
      </c>
      <c r="D52" s="1929"/>
      <c r="E52" s="1409">
        <f>E71</f>
        <v>0</v>
      </c>
      <c r="F52" s="1409">
        <f>F71</f>
        <v>0</v>
      </c>
      <c r="G52" s="1409">
        <f>G71</f>
        <v>0</v>
      </c>
      <c r="H52" s="1409">
        <f>H71</f>
        <v>0</v>
      </c>
      <c r="I52" s="781">
        <f>I71</f>
        <v>0</v>
      </c>
      <c r="K52" s="802">
        <f>K71</f>
        <v>0</v>
      </c>
      <c r="L52" s="1409">
        <f>L71</f>
        <v>0</v>
      </c>
      <c r="M52" s="1409">
        <f>M71</f>
        <v>0</v>
      </c>
      <c r="N52" s="1409">
        <f>N71</f>
        <v>0</v>
      </c>
      <c r="O52" s="781">
        <f>O71</f>
        <v>0</v>
      </c>
    </row>
    <row r="53" spans="1:15" ht="20.100000000000001" customHeight="1">
      <c r="B53" s="1429" t="s">
        <v>144</v>
      </c>
      <c r="C53" s="1434">
        <v>2052</v>
      </c>
      <c r="D53" s="454" t="s">
        <v>146</v>
      </c>
      <c r="E53" s="1408"/>
      <c r="F53" s="1408"/>
      <c r="G53" s="1408"/>
      <c r="H53" s="1408"/>
      <c r="I53" s="780"/>
      <c r="K53" s="801"/>
      <c r="L53" s="1408"/>
      <c r="M53" s="1408"/>
      <c r="N53" s="1408"/>
      <c r="O53" s="780"/>
    </row>
    <row r="54" spans="1:15" ht="20.100000000000001" customHeight="1">
      <c r="B54" s="1252" t="s">
        <v>145</v>
      </c>
      <c r="C54" s="1255">
        <v>2052</v>
      </c>
      <c r="D54" s="455" t="s">
        <v>147</v>
      </c>
      <c r="E54" s="1410"/>
      <c r="F54" s="1410"/>
      <c r="G54" s="1410"/>
      <c r="H54" s="1410"/>
      <c r="I54" s="782"/>
      <c r="K54" s="729"/>
      <c r="L54" s="1410"/>
      <c r="M54" s="1410"/>
      <c r="N54" s="1410"/>
      <c r="O54" s="782"/>
    </row>
    <row r="55" spans="1:15" ht="24.9" customHeight="1">
      <c r="A55" s="1200" t="s">
        <v>534</v>
      </c>
      <c r="B55" s="1975" t="s">
        <v>198</v>
      </c>
      <c r="C55" s="1976"/>
      <c r="D55" s="1976"/>
      <c r="E55" s="1412" t="str">
        <f>IF(ca_1=0," ",fs_1+ft_1+E52-E53+E54)</f>
        <v xml:space="preserve"> </v>
      </c>
      <c r="F55" s="1412" t="str">
        <f>IF(ca_2=0," ",fs_2+ft_2+F52-F53+F54)</f>
        <v xml:space="preserve"> </v>
      </c>
      <c r="G55" s="1412" t="str">
        <f>IF(ca_3=0," ",fs_3+ft_3+G52-G53+G54)</f>
        <v xml:space="preserve"> </v>
      </c>
      <c r="H55" s="1412" t="str">
        <f>IF(ca_4=0," ",fs_4+ft_4+H52-H53+H54)</f>
        <v xml:space="preserve"> </v>
      </c>
      <c r="I55" s="883" t="str">
        <f>IF(ca_5=0," ",fs_5+ft_5+I52-I53+I54)</f>
        <v xml:space="preserve"> </v>
      </c>
      <c r="K55" s="884" t="str">
        <f>IF(K29=0," ",K50+K51+K52-K53+K54)</f>
        <v xml:space="preserve"> </v>
      </c>
      <c r="L55" s="1412" t="str">
        <f>IF(L29=0," ",L50+L51+L52-L53+L54)</f>
        <v xml:space="preserve"> </v>
      </c>
      <c r="M55" s="1412" t="str">
        <f>IF(M29=0," ",M50+M51+M52-M53+M54)</f>
        <v xml:space="preserve"> </v>
      </c>
      <c r="N55" s="1412" t="str">
        <f>IF(N29=0," ",N50+N51+N52-N53+N54)</f>
        <v xml:space="preserve"> </v>
      </c>
      <c r="O55" s="883" t="str">
        <f>IF(O29=0," ",O50+O51+O52-O53+O54)</f>
        <v xml:space="preserve"> </v>
      </c>
    </row>
    <row r="56" spans="1:15" s="15" customFormat="1" ht="18" customHeight="1">
      <c r="A56" s="1200"/>
      <c r="B56" s="1919" t="s">
        <v>16</v>
      </c>
      <c r="C56" s="1522" t="s">
        <v>219</v>
      </c>
      <c r="D56" s="1065" t="str">
        <f>IF(ISBLANK(u)," ",u)</f>
        <v xml:space="preserve"> </v>
      </c>
      <c r="E56" s="1066" t="str">
        <f>IF(ISBLANK(fc_1)," ",fc_1-mse_1)</f>
        <v xml:space="preserve"> </v>
      </c>
      <c r="F56" s="1066" t="str">
        <f>IF(ISBLANK(fc_2)," ",fc_2-mse_2)</f>
        <v xml:space="preserve"> </v>
      </c>
      <c r="G56" s="1066" t="str">
        <f>IF(ISBLANK(fc_3)," ",fc_3-mse_3)</f>
        <v xml:space="preserve"> </v>
      </c>
      <c r="H56" s="1066" t="str">
        <f>IF(ISBLANK(fc_4)," ",fc_4-mse_4)</f>
        <v xml:space="preserve"> </v>
      </c>
      <c r="I56" s="1067" t="str">
        <f>IF(ISBLANK(fc_5)," ",fc_5-mse_5)</f>
        <v xml:space="preserve"> </v>
      </c>
      <c r="K56" s="1069" t="str">
        <f>IF(ISBLANK(K14)," ",K14-K55)</f>
        <v xml:space="preserve"> </v>
      </c>
      <c r="L56" s="1066" t="str">
        <f>IF(ISBLANK(L14)," ",L14-L55)</f>
        <v xml:space="preserve"> </v>
      </c>
      <c r="M56" s="1066" t="str">
        <f>IF(ISBLANK(M14)," ",M14-M55)</f>
        <v xml:space="preserve"> </v>
      </c>
      <c r="N56" s="1066" t="str">
        <f>IF(ISBLANK(N14)," ",N14-N55)</f>
        <v xml:space="preserve"> </v>
      </c>
      <c r="O56" s="1067" t="str">
        <f>IF(ISBLANK(O14)," ",O14-O55)</f>
        <v xml:space="preserve"> </v>
      </c>
    </row>
    <row r="57" spans="1:15" s="266" customFormat="1" ht="18" customHeight="1">
      <c r="A57" s="1204"/>
      <c r="B57" s="1920"/>
      <c r="C57" s="1921" t="s">
        <v>605</v>
      </c>
      <c r="D57" s="1922"/>
      <c r="E57" s="356" t="str">
        <f>IF(ISBLANK(fc_1)," ",mc_1/fc_1)</f>
        <v xml:space="preserve"> </v>
      </c>
      <c r="F57" s="356" t="str">
        <f>IF(ISBLANK(fc_2)," ",mc_2/fc_2)</f>
        <v xml:space="preserve"> </v>
      </c>
      <c r="G57" s="356" t="str">
        <f>IF(ISBLANK(fc_3)," ",mc_3/fc_3)</f>
        <v xml:space="preserve"> </v>
      </c>
      <c r="H57" s="356" t="str">
        <f>IF(ISBLANK(fc_4)," ",mc_4/fc_4)</f>
        <v xml:space="preserve"> </v>
      </c>
      <c r="I57" s="783" t="str">
        <f>IF(ISBLANK(fc_5)," ",mc_5/fc_5)</f>
        <v xml:space="preserve"> </v>
      </c>
      <c r="K57" s="819" t="str">
        <f>IF(ISBLANK(K14)," ",K56/K14)</f>
        <v xml:space="preserve"> </v>
      </c>
      <c r="L57" s="356" t="str">
        <f>IF(ISBLANK(L14)," ",L56/L14)</f>
        <v xml:space="preserve"> </v>
      </c>
      <c r="M57" s="356" t="str">
        <f>IF(ISBLANK(M14)," ",M56/M14)</f>
        <v xml:space="preserve"> </v>
      </c>
      <c r="N57" s="356" t="str">
        <f>IF(ISBLANK(N14)," ",N56/N14)</f>
        <v xml:space="preserve"> </v>
      </c>
      <c r="O57" s="783" t="str">
        <f>IF(ISBLANK(O14)," ",O56/O14)</f>
        <v xml:space="preserve"> </v>
      </c>
    </row>
    <row r="58" spans="1:15" ht="20.100000000000001" customHeight="1">
      <c r="B58" s="1435" t="s">
        <v>473</v>
      </c>
      <c r="C58" s="1254">
        <v>2052</v>
      </c>
      <c r="D58" s="779" t="s">
        <v>17</v>
      </c>
      <c r="E58" s="1407"/>
      <c r="F58" s="1407"/>
      <c r="G58" s="1407"/>
      <c r="H58" s="1407"/>
      <c r="I58" s="778"/>
      <c r="K58" s="733"/>
      <c r="L58" s="1406"/>
      <c r="M58" s="1406"/>
      <c r="N58" s="1406"/>
      <c r="O58" s="778"/>
    </row>
    <row r="59" spans="1:15" ht="20.100000000000001" customHeight="1">
      <c r="B59" s="1436" t="s">
        <v>18</v>
      </c>
      <c r="C59" s="1434">
        <v>2052</v>
      </c>
      <c r="D59" s="454" t="s">
        <v>19</v>
      </c>
      <c r="E59" s="1408"/>
      <c r="F59" s="1408"/>
      <c r="G59" s="1408"/>
      <c r="H59" s="1408"/>
      <c r="I59" s="780"/>
      <c r="K59" s="801"/>
      <c r="L59" s="1408"/>
      <c r="M59" s="1408"/>
      <c r="N59" s="1408"/>
      <c r="O59" s="780"/>
    </row>
    <row r="60" spans="1:15" ht="30" customHeight="1">
      <c r="B60" s="1437" t="s">
        <v>537</v>
      </c>
      <c r="C60" s="1928" t="s">
        <v>535</v>
      </c>
      <c r="D60" s="1929"/>
      <c r="E60" s="1409">
        <f t="shared" ref="E60:I61" si="0">E72</f>
        <v>0</v>
      </c>
      <c r="F60" s="1409">
        <f t="shared" si="0"/>
        <v>0</v>
      </c>
      <c r="G60" s="1409">
        <f t="shared" si="0"/>
        <v>0</v>
      </c>
      <c r="H60" s="1409">
        <f t="shared" si="0"/>
        <v>0</v>
      </c>
      <c r="I60" s="781">
        <f t="shared" si="0"/>
        <v>0</v>
      </c>
      <c r="K60" s="802">
        <f t="shared" ref="K60:O61" si="1">K72</f>
        <v>0</v>
      </c>
      <c r="L60" s="1409">
        <f t="shared" si="1"/>
        <v>0</v>
      </c>
      <c r="M60" s="1409">
        <f t="shared" si="1"/>
        <v>0</v>
      </c>
      <c r="N60" s="1409">
        <f t="shared" si="1"/>
        <v>0</v>
      </c>
      <c r="O60" s="781">
        <f t="shared" si="1"/>
        <v>0</v>
      </c>
    </row>
    <row r="61" spans="1:15" ht="30" customHeight="1">
      <c r="B61" s="1437" t="s">
        <v>538</v>
      </c>
      <c r="C61" s="1928" t="s">
        <v>539</v>
      </c>
      <c r="D61" s="1929"/>
      <c r="E61" s="1409">
        <f t="shared" si="0"/>
        <v>0</v>
      </c>
      <c r="F61" s="1409">
        <f t="shared" si="0"/>
        <v>0</v>
      </c>
      <c r="G61" s="1409">
        <f t="shared" si="0"/>
        <v>0</v>
      </c>
      <c r="H61" s="1409">
        <f t="shared" si="0"/>
        <v>0</v>
      </c>
      <c r="I61" s="781">
        <f t="shared" si="0"/>
        <v>0</v>
      </c>
      <c r="K61" s="802">
        <f t="shared" si="1"/>
        <v>0</v>
      </c>
      <c r="L61" s="1409">
        <f t="shared" si="1"/>
        <v>0</v>
      </c>
      <c r="M61" s="1409">
        <f t="shared" si="1"/>
        <v>0</v>
      </c>
      <c r="N61" s="1409">
        <f t="shared" si="1"/>
        <v>0</v>
      </c>
      <c r="O61" s="781">
        <f t="shared" si="1"/>
        <v>0</v>
      </c>
    </row>
    <row r="62" spans="1:15" ht="20.100000000000001" customHeight="1">
      <c r="B62" s="1438" t="s">
        <v>321</v>
      </c>
      <c r="C62" s="1928" t="s">
        <v>531</v>
      </c>
      <c r="D62" s="1929"/>
      <c r="E62" s="1409">
        <f>hpc_1</f>
        <v>0</v>
      </c>
      <c r="F62" s="1409">
        <f>hpc_2</f>
        <v>0</v>
      </c>
      <c r="G62" s="1409">
        <f>hpc_3</f>
        <v>0</v>
      </c>
      <c r="H62" s="1409">
        <f>hpc_4</f>
        <v>0</v>
      </c>
      <c r="I62" s="781">
        <f>hpc_5</f>
        <v>0</v>
      </c>
      <c r="K62" s="802">
        <f>hpc_5</f>
        <v>0</v>
      </c>
      <c r="L62" s="1409">
        <f>hpc_5</f>
        <v>0</v>
      </c>
      <c r="M62" s="1409">
        <f>hpc_5</f>
        <v>0</v>
      </c>
      <c r="N62" s="1409">
        <f>hpc_5</f>
        <v>0</v>
      </c>
      <c r="O62" s="781">
        <f>hpc_5</f>
        <v>0</v>
      </c>
    </row>
    <row r="63" spans="1:15" ht="20.100000000000001" customHeight="1">
      <c r="B63" s="1436" t="s">
        <v>144</v>
      </c>
      <c r="C63" s="1434">
        <v>2052</v>
      </c>
      <c r="D63" s="454" t="s">
        <v>146</v>
      </c>
      <c r="E63" s="1408"/>
      <c r="F63" s="1408"/>
      <c r="G63" s="1408"/>
      <c r="H63" s="1408"/>
      <c r="I63" s="780"/>
      <c r="K63" s="801"/>
      <c r="L63" s="1408"/>
      <c r="M63" s="1408"/>
      <c r="N63" s="1408"/>
      <c r="O63" s="780"/>
    </row>
    <row r="64" spans="1:15" ht="20.100000000000001" customHeight="1">
      <c r="B64" s="1439" t="s">
        <v>145</v>
      </c>
      <c r="C64" s="1255">
        <v>2052</v>
      </c>
      <c r="D64" s="455" t="s">
        <v>147</v>
      </c>
      <c r="E64" s="1410"/>
      <c r="F64" s="1410"/>
      <c r="G64" s="1410"/>
      <c r="H64" s="1410"/>
      <c r="I64" s="782"/>
      <c r="K64" s="729"/>
      <c r="L64" s="1410"/>
      <c r="M64" s="1410"/>
      <c r="N64" s="1410"/>
      <c r="O64" s="782"/>
    </row>
    <row r="65" spans="1:15" ht="24.9" customHeight="1">
      <c r="A65" s="1200" t="s">
        <v>534</v>
      </c>
      <c r="B65" s="2025" t="s">
        <v>199</v>
      </c>
      <c r="C65" s="2026"/>
      <c r="D65" s="2026"/>
      <c r="E65" s="1411" t="str">
        <f>IF(ca_1=0," ",fu_1+fv_1+E60+E61+E62-E63+E64)</f>
        <v xml:space="preserve"> </v>
      </c>
      <c r="F65" s="1412" t="str">
        <f>IF(ca_2=0," ",fu_2+fv_2+F60+F61+F62-F63+F64)</f>
        <v xml:space="preserve"> </v>
      </c>
      <c r="G65" s="1412" t="str">
        <f>IF(ca_3=0," ",fu_3+fv_3+G60+G61+G62-G63+G64)</f>
        <v xml:space="preserve"> </v>
      </c>
      <c r="H65" s="1412" t="str">
        <f>IF(ca_4=0," ",fu_4+fv_4+H60+H61+H62-H63+H64)</f>
        <v xml:space="preserve"> </v>
      </c>
      <c r="I65" s="885" t="str">
        <f>IF(ca_5=0," ",fu_5+fv_5+I60+I61+I62-I63+I64)</f>
        <v xml:space="preserve"> </v>
      </c>
      <c r="K65" s="1392" t="str">
        <f>IF(K29=0," ",K58+K59+K60+K61+K62-K63+K64)</f>
        <v xml:space="preserve"> </v>
      </c>
      <c r="L65" s="1412" t="str">
        <f>IF(L29=0," ",L58+L59+L60+L61+L62-L63+L64)</f>
        <v xml:space="preserve"> </v>
      </c>
      <c r="M65" s="1412" t="str">
        <f>IF(M29=0," ",M58+M59+M60+M61+M62-M63+M64)</f>
        <v xml:space="preserve"> </v>
      </c>
      <c r="N65" s="1412" t="str">
        <f>IF(N29=0," ",N58+N59+N60+N61+N62-N63+N64)</f>
        <v xml:space="preserve"> </v>
      </c>
      <c r="O65" s="885" t="str">
        <f>IF(O29=0," ",O58+O59+O60+O61+O62-O63+O64)</f>
        <v xml:space="preserve"> </v>
      </c>
    </row>
    <row r="66" spans="1:15" s="15" customFormat="1" ht="18" customHeight="1">
      <c r="A66" s="1200"/>
      <c r="B66" s="2029" t="s">
        <v>313</v>
      </c>
      <c r="C66" s="1522" t="s">
        <v>219</v>
      </c>
      <c r="D66" s="1065" t="str">
        <f>IF(ISBLANK(u)," ",u)</f>
        <v xml:space="preserve"> </v>
      </c>
      <c r="E66" s="1066" t="str">
        <f>IF(ca_1=0," ",IF($H$4="PB",ff_1+fm_1+fn_1-mat_1,IF($H$4="PS",fi_1+fm_1+fn_1-mat_1," ")))</f>
        <v xml:space="preserve"> </v>
      </c>
      <c r="F66" s="1066" t="str">
        <f>IF(ca_2=0," ",IF($H$4="PB",ff_2+fm_2+fn_2-mat_2,IF($H$4="PS",fi_2+fm_2+fn_2-mat_2," ")))</f>
        <v xml:space="preserve"> </v>
      </c>
      <c r="G66" s="1066" t="str">
        <f>IF(ca_3=0," ",IF($H$4="PB",ff_3+fm_3+fn_3-mat_3,IF($H$4="PS",fi_3+fm_3+fn_3-mat_3," ")))</f>
        <v xml:space="preserve"> </v>
      </c>
      <c r="H66" s="1066" t="str">
        <f>IF(ca_4=0," ",IF($H$4="PB",ff_4+fm_4+fn_4-mat_4,IF($H$4="PS",fi_4+fm_4+fn_4-mat_4," ")))</f>
        <v xml:space="preserve"> </v>
      </c>
      <c r="I66" s="1067" t="str">
        <f>IF(ca_5=0," ",IF($H$4="PB",ff_5+fm_5+fn_5-mat_5,IF($H$4="PS",fi_5+fm_5+fn_5-mat_5," ")))</f>
        <v xml:space="preserve"> </v>
      </c>
      <c r="K66" s="1069" t="str">
        <f>IF(K29=0," ",IF($H$4="PB",K19+K43+K44-K65,IF($H$4="PS",K24+K43+K44-K65," ")))</f>
        <v xml:space="preserve"> </v>
      </c>
      <c r="L66" s="1066" t="str">
        <f>IF(L29=0," ",IF($H$4="PB",L19+L43+L44-L65,IF($H$4="PS",L24+L43+L44-L65," ")))</f>
        <v xml:space="preserve"> </v>
      </c>
      <c r="M66" s="1066" t="str">
        <f>IF(M29=0," ",IF($H$4="PB",M19+M43+M44-M65,IF($H$4="PS",M24+M43+M44-M65," ")))</f>
        <v xml:space="preserve"> </v>
      </c>
      <c r="N66" s="1066" t="str">
        <f>IF(N29=0," ",IF($H$4="PB",N19+N43+N44-N65,IF($H$4="PS",N24+N43+N44-N65," ")))</f>
        <v xml:space="preserve"> </v>
      </c>
      <c r="O66" s="1067" t="str">
        <f>IF(O29=0," ",IF($H$4="PB",O19+O43+O44-O65,IF($H$4="PS",O24+O43+O44-O65," ")))</f>
        <v xml:space="preserve"> </v>
      </c>
    </row>
    <row r="67" spans="1:15" s="266" customFormat="1" ht="18" customHeight="1" thickBot="1">
      <c r="A67" s="1204"/>
      <c r="B67" s="2030"/>
      <c r="C67" s="2031" t="s">
        <v>605</v>
      </c>
      <c r="D67" s="2032"/>
      <c r="E67" s="357" t="str">
        <f>IF(ca_1=0," ",IF(mb_1=0," ",IF(mb_1=" "," ",IF(resultat!$H$4="PB",mb_1/ff_1,IF(resultat!$H$4="PS",mb_1/fi_1," ")))))</f>
        <v xml:space="preserve"> </v>
      </c>
      <c r="F67" s="357" t="str">
        <f>IF(ca_2=0," ",IF(mb_2=0," ",IF(mb_2=" "," ",IF(resultat!$H$4="PB",mb_2/ff_2,IF(resultat!$H$4="PS",mb_2/fi_2," ")))))</f>
        <v xml:space="preserve"> </v>
      </c>
      <c r="G67" s="357" t="str">
        <f>IF(ca_3=0," ",IF(mb_3=0," ",IF(mb_3=" "," ",IF(resultat!$H$4="PB",mb_3/ff_3,IF(resultat!$H$4="PS",mb_3/fi_3," ")))))</f>
        <v xml:space="preserve"> </v>
      </c>
      <c r="H67" s="357" t="str">
        <f>IF(ca_4=0," ",IF(mb_4=0," ",IF(mb_4=" "," ",IF(resultat!$H$4="PB",mb_4/ff_4,IF(resultat!$H$4="PS",mb_4/fi_4," ")))))</f>
        <v xml:space="preserve"> </v>
      </c>
      <c r="I67" s="784" t="str">
        <f>IF(ca_5=0," ",IF(mb_5=0," ",IF(mb_5=" "," ",IF(resultat!$H$4="PB",mb_5/ff_5,IF(resultat!$H$4="PS",mb_5/fi_5," ")))))</f>
        <v xml:space="preserve"> </v>
      </c>
      <c r="K67" s="803" t="str">
        <f>IF(K29=0," ",IF(K66=0," ",IF(K66=" "," ",IF(resultat!$H$4="PB",K66/K19,IF(resultat!$H$4="PS",K66/K24," ")))))</f>
        <v xml:space="preserve"> </v>
      </c>
      <c r="L67" s="357" t="str">
        <f>IF(L29=0," ",IF(L66=0," ",IF(L66=" "," ",IF(resultat!$H$4="PB",L66/L19,IF(resultat!$H$4="PS",L66/L24," ")))))</f>
        <v xml:space="preserve"> </v>
      </c>
      <c r="M67" s="357" t="str">
        <f>IF(M29=0," ",IF(M66=0," ",IF(M66=" "," ",IF(resultat!$H$4="PB",M66/M19,IF(resultat!$H$4="PS",M66/M24," ")))))</f>
        <v xml:space="preserve"> </v>
      </c>
      <c r="N67" s="357" t="str">
        <f>IF(N29=0," ",IF(N66=0," ",IF(N66=" "," ",IF(resultat!$H$4="PB",N66/N19,IF(resultat!$H$4="PS",N66/N24," ")))))</f>
        <v xml:space="preserve"> </v>
      </c>
      <c r="O67" s="784" t="str">
        <f>IF(O29=0," ",IF(O66=0," ",IF(O66=" "," ",IF(resultat!$H$4="PB",O66/O19,IF(resultat!$H$4="PS",O66/O24," ")))))</f>
        <v xml:space="preserve"> </v>
      </c>
    </row>
    <row r="68" spans="1:15" s="15" customFormat="1" ht="18" customHeight="1" thickTop="1">
      <c r="A68" s="1200"/>
      <c r="B68" s="2027" t="s">
        <v>518</v>
      </c>
      <c r="C68" s="1532" t="s">
        <v>219</v>
      </c>
      <c r="D68" s="1071" t="str">
        <f>IF(ISBLANK(u)," ",u)</f>
        <v xml:space="preserve"> </v>
      </c>
      <c r="E68" s="1072" t="str">
        <f>IF(ca_1=0," ",pr_1-mse_1-mat_1)</f>
        <v xml:space="preserve"> </v>
      </c>
      <c r="F68" s="1072" t="str">
        <f>IF(ca_2=0," ",pr_2-mse_2-mat_2)</f>
        <v xml:space="preserve"> </v>
      </c>
      <c r="G68" s="1072" t="str">
        <f>IF(ca_3=0," ",pr_3-mse_3-mat_3)</f>
        <v xml:space="preserve"> </v>
      </c>
      <c r="H68" s="1072" t="str">
        <f>IF(ca_4=0," ",pr_4-mse_4-mat_4)</f>
        <v xml:space="preserve"> </v>
      </c>
      <c r="I68" s="1073" t="str">
        <f>IF(ca_5=0," ",pr_5-mse_5-mat_5)</f>
        <v xml:space="preserve"> </v>
      </c>
      <c r="K68" s="1074" t="str">
        <f>IF(K29=0," ",K45-K55-K65)</f>
        <v xml:space="preserve"> </v>
      </c>
      <c r="L68" s="1072" t="str">
        <f>IF(L29=0," ",L45-L55-L65)</f>
        <v xml:space="preserve"> </v>
      </c>
      <c r="M68" s="1072" t="str">
        <f>IF(M29=0," ",M45-M55-M65)</f>
        <v xml:space="preserve"> </v>
      </c>
      <c r="N68" s="1072" t="str">
        <f>IF(N29=0," ",N45-N55-N65)</f>
        <v xml:space="preserve"> </v>
      </c>
      <c r="O68" s="1073" t="str">
        <f>IF(O29=0," ",O45-O55-O65)</f>
        <v xml:space="preserve"> </v>
      </c>
    </row>
    <row r="69" spans="1:15" s="266" customFormat="1" ht="18" customHeight="1">
      <c r="A69" s="1204"/>
      <c r="B69" s="2028"/>
      <c r="C69" s="1921" t="s">
        <v>532</v>
      </c>
      <c r="D69" s="1922"/>
      <c r="E69" s="356" t="str">
        <f>IF(ca_1=0," ",E68/pr_1)</f>
        <v xml:space="preserve"> </v>
      </c>
      <c r="F69" s="356" t="str">
        <f>IF(ca_2=0," ",F68/pr_2)</f>
        <v xml:space="preserve"> </v>
      </c>
      <c r="G69" s="356" t="str">
        <f>IF(ca_3=0," ",G68/pr_3)</f>
        <v xml:space="preserve"> </v>
      </c>
      <c r="H69" s="356" t="str">
        <f>IF(ca_4=0," ",H68/pr_4)</f>
        <v xml:space="preserve"> </v>
      </c>
      <c r="I69" s="783" t="str">
        <f>IF(ca_5=0," ",I68/pr_5)</f>
        <v xml:space="preserve"> </v>
      </c>
      <c r="K69" s="819" t="str">
        <f>IF(K29=0," ",K68/K45)</f>
        <v xml:space="preserve"> </v>
      </c>
      <c r="L69" s="356" t="str">
        <f>IF(L29=0," ",L68/L45)</f>
        <v xml:space="preserve"> </v>
      </c>
      <c r="M69" s="356" t="str">
        <f>IF(M29=0," ",M68/M45)</f>
        <v xml:space="preserve"> </v>
      </c>
      <c r="N69" s="356" t="str">
        <f>IF(N29=0," ",N68/N45)</f>
        <v xml:space="preserve"> </v>
      </c>
      <c r="O69" s="783" t="str">
        <f>IF(O29=0," ",O68/O45)</f>
        <v xml:space="preserve"> </v>
      </c>
    </row>
    <row r="70" spans="1:15" ht="20.100000000000001" customHeight="1">
      <c r="B70" s="1535" t="s">
        <v>20</v>
      </c>
      <c r="C70" s="1536">
        <v>2052</v>
      </c>
      <c r="D70" s="1537" t="s">
        <v>21</v>
      </c>
      <c r="E70" s="1538"/>
      <c r="F70" s="1538"/>
      <c r="G70" s="1538"/>
      <c r="H70" s="1538"/>
      <c r="I70" s="1539"/>
      <c r="K70" s="733"/>
      <c r="L70" s="1406"/>
      <c r="M70" s="1406"/>
      <c r="N70" s="1406"/>
      <c r="O70" s="778"/>
    </row>
    <row r="71" spans="1:15" ht="20.100000000000001" customHeight="1">
      <c r="B71" s="1440" t="s">
        <v>620</v>
      </c>
      <c r="C71" s="1928" t="s">
        <v>531</v>
      </c>
      <c r="D71" s="1929"/>
      <c r="E71" s="1413"/>
      <c r="F71" s="1413"/>
      <c r="G71" s="1413"/>
      <c r="H71" s="1413"/>
      <c r="I71" s="785"/>
      <c r="K71" s="804"/>
      <c r="L71" s="1413"/>
      <c r="M71" s="1413"/>
      <c r="N71" s="1413"/>
      <c r="O71" s="785"/>
    </row>
    <row r="72" spans="1:15" ht="20.100000000000001" customHeight="1">
      <c r="B72" s="1440" t="s">
        <v>621</v>
      </c>
      <c r="C72" s="1928" t="s">
        <v>531</v>
      </c>
      <c r="D72" s="1929"/>
      <c r="E72" s="1413"/>
      <c r="F72" s="1413"/>
      <c r="G72" s="1413"/>
      <c r="H72" s="1413"/>
      <c r="I72" s="785"/>
      <c r="K72" s="804"/>
      <c r="L72" s="1413"/>
      <c r="M72" s="1413"/>
      <c r="N72" s="1413"/>
      <c r="O72" s="785"/>
    </row>
    <row r="73" spans="1:15" ht="20.100000000000001" customHeight="1">
      <c r="B73" s="1440" t="s">
        <v>622</v>
      </c>
      <c r="C73" s="1928" t="s">
        <v>531</v>
      </c>
      <c r="D73" s="1929"/>
      <c r="E73" s="1413"/>
      <c r="F73" s="1413"/>
      <c r="G73" s="1413"/>
      <c r="H73" s="1413"/>
      <c r="I73" s="785"/>
      <c r="K73" s="804"/>
      <c r="L73" s="1413"/>
      <c r="M73" s="1413"/>
      <c r="N73" s="1413"/>
      <c r="O73" s="785"/>
    </row>
    <row r="74" spans="1:15" ht="20.100000000000001" customHeight="1">
      <c r="B74" s="1440" t="s">
        <v>623</v>
      </c>
      <c r="C74" s="1445">
        <v>2053</v>
      </c>
      <c r="D74" s="456" t="s">
        <v>126</v>
      </c>
      <c r="E74" s="1413"/>
      <c r="F74" s="1413"/>
      <c r="G74" s="1413"/>
      <c r="H74" s="1413"/>
      <c r="I74" s="785"/>
      <c r="K74" s="804"/>
      <c r="L74" s="1413"/>
      <c r="M74" s="1413"/>
      <c r="N74" s="1413"/>
      <c r="O74" s="785"/>
    </row>
    <row r="75" spans="1:15" ht="20.100000000000001" customHeight="1">
      <c r="B75" s="1441" t="s">
        <v>321</v>
      </c>
      <c r="C75" s="1928" t="s">
        <v>531</v>
      </c>
      <c r="D75" s="1929"/>
      <c r="E75" s="1414"/>
      <c r="F75" s="1414"/>
      <c r="G75" s="1414"/>
      <c r="H75" s="1414"/>
      <c r="I75" s="786"/>
      <c r="K75" s="805"/>
      <c r="L75" s="1414"/>
      <c r="M75" s="1414"/>
      <c r="N75" s="1414"/>
      <c r="O75" s="786"/>
    </row>
    <row r="76" spans="1:15" ht="20.100000000000001" customHeight="1">
      <c r="B76" s="1440" t="s">
        <v>624</v>
      </c>
      <c r="C76" s="1445">
        <v>2053</v>
      </c>
      <c r="D76" s="456" t="s">
        <v>127</v>
      </c>
      <c r="E76" s="1413"/>
      <c r="F76" s="1413"/>
      <c r="G76" s="1413"/>
      <c r="H76" s="1413"/>
      <c r="I76" s="785"/>
      <c r="K76" s="804"/>
      <c r="L76" s="1413"/>
      <c r="M76" s="1413"/>
      <c r="N76" s="1413"/>
      <c r="O76" s="785"/>
    </row>
    <row r="77" spans="1:15" ht="20.100000000000001" customHeight="1">
      <c r="B77" s="1440" t="s">
        <v>625</v>
      </c>
      <c r="C77" s="1445" t="s">
        <v>163</v>
      </c>
      <c r="D77" s="456" t="s">
        <v>23</v>
      </c>
      <c r="E77" s="1413"/>
      <c r="F77" s="1413"/>
      <c r="G77" s="1413"/>
      <c r="H77" s="1413"/>
      <c r="I77" s="785"/>
      <c r="K77" s="804"/>
      <c r="L77" s="1413"/>
      <c r="M77" s="1413"/>
      <c r="N77" s="1413"/>
      <c r="O77" s="785"/>
    </row>
    <row r="78" spans="1:15" ht="20.100000000000001" customHeight="1">
      <c r="A78" s="1200" t="s">
        <v>534</v>
      </c>
      <c r="B78" s="1442" t="s">
        <v>626</v>
      </c>
      <c r="C78" s="2023" t="s">
        <v>531</v>
      </c>
      <c r="D78" s="2024"/>
      <c r="E78" s="1415"/>
      <c r="F78" s="1416"/>
      <c r="G78" s="1416"/>
      <c r="H78" s="1416"/>
      <c r="I78" s="787"/>
      <c r="J78" s="21"/>
      <c r="K78" s="734"/>
      <c r="L78" s="1416"/>
      <c r="M78" s="1416"/>
      <c r="N78" s="1416"/>
      <c r="O78" s="787"/>
    </row>
    <row r="79" spans="1:15" ht="18" customHeight="1">
      <c r="B79" s="1934" t="s">
        <v>574</v>
      </c>
      <c r="C79" s="1533" t="s">
        <v>219</v>
      </c>
      <c r="D79" s="1077" t="str">
        <f>IF(ISBLANK(u)," ",u)</f>
        <v xml:space="preserve"> </v>
      </c>
      <c r="E79" s="1417">
        <f>IF(ca_1=0,0,fw_1-E71-E72-E73-hp_1+hpc_1-E75-hq_1-yu_1)</f>
        <v>0</v>
      </c>
      <c r="F79" s="1417">
        <f>IF(ca_2=0,0,fw_2-F71-F72-F73-hp_2+hpc_2-F75-hq_2-yu_2)</f>
        <v>0</v>
      </c>
      <c r="G79" s="1418">
        <f>IF(ca_3=0,0,fw_3-G71-G72-G73-hp_3+hpc_3-G75-hq_3-yu_3)</f>
        <v>0</v>
      </c>
      <c r="H79" s="1418">
        <f>IF(ca_4=0,0,fw_4-H71-H72-H73-hp_4+hpc_4-H75-hq_4-yu_4)</f>
        <v>0</v>
      </c>
      <c r="I79" s="1075">
        <f>IF(ca_5=0,0,fw_5-I71-I72-I73-hp_5+hpc_5-I75-hq_5-yu_5)</f>
        <v>0</v>
      </c>
      <c r="K79" s="1076">
        <f>IF(K29=0,0,K70-K71-K72-K73-K74+K75-K75-K76-K77)</f>
        <v>0</v>
      </c>
      <c r="L79" s="1417">
        <f>IF(L29=0,0,L70-L71-L72-L73-L74+L75-L75-L76-L77)</f>
        <v>0</v>
      </c>
      <c r="M79" s="1418">
        <f>IF(M29=0,0,M70-M71-M72-M73-M74+M75-M75-M76-M77)</f>
        <v>0</v>
      </c>
      <c r="N79" s="1418">
        <f>IF(N29=0,0,N70-N71-N72-N73-N74+N75-N75-N76-N77)</f>
        <v>0</v>
      </c>
      <c r="O79" s="1075">
        <f>IF(O29=0,0,O70-O71-O72-O73-O74+O75-O75-O76-O77)</f>
        <v>0</v>
      </c>
    </row>
    <row r="80" spans="1:15" ht="18" customHeight="1">
      <c r="B80" s="1935"/>
      <c r="C80" s="1932" t="s">
        <v>532</v>
      </c>
      <c r="D80" s="1933"/>
      <c r="E80" s="1419" t="str">
        <f>IF(ISERROR(E79/E45)," ",E79/E45)</f>
        <v xml:space="preserve"> </v>
      </c>
      <c r="F80" s="1419" t="str">
        <f t="shared" ref="F80:I80" si="2">IF(ISERROR(F79/F45)," ",F79/F45)</f>
        <v xml:space="preserve"> </v>
      </c>
      <c r="G80" s="1419" t="str">
        <f t="shared" si="2"/>
        <v xml:space="preserve"> </v>
      </c>
      <c r="H80" s="1419" t="str">
        <f t="shared" si="2"/>
        <v xml:space="preserve"> </v>
      </c>
      <c r="I80" s="788" t="str">
        <f t="shared" si="2"/>
        <v xml:space="preserve"> </v>
      </c>
      <c r="K80" s="806" t="str">
        <f t="shared" ref="K80:O80" si="3">IF(ISERROR(K79/K45)," ",K79/K45)</f>
        <v xml:space="preserve"> </v>
      </c>
      <c r="L80" s="1419" t="str">
        <f t="shared" si="3"/>
        <v xml:space="preserve"> </v>
      </c>
      <c r="M80" s="1419" t="str">
        <f t="shared" si="3"/>
        <v xml:space="preserve"> </v>
      </c>
      <c r="N80" s="1419" t="str">
        <f t="shared" si="3"/>
        <v xml:space="preserve"> </v>
      </c>
      <c r="O80" s="788" t="str">
        <f t="shared" si="3"/>
        <v xml:space="preserve"> </v>
      </c>
    </row>
    <row r="81" spans="1:15" s="8" customFormat="1" ht="30.75" hidden="1" customHeight="1">
      <c r="A81" s="446" t="s">
        <v>540</v>
      </c>
      <c r="B81" s="606"/>
      <c r="C81" s="339"/>
      <c r="D81" s="346"/>
      <c r="E81" s="107">
        <f>E79-E78</f>
        <v>0</v>
      </c>
      <c r="F81" s="107">
        <f>F79-F78</f>
        <v>0</v>
      </c>
      <c r="G81" s="107">
        <f>G79-G78</f>
        <v>0</v>
      </c>
      <c r="H81" s="107">
        <f>H79-H78</f>
        <v>0</v>
      </c>
      <c r="I81" s="789">
        <f>I79-I78</f>
        <v>0</v>
      </c>
      <c r="K81" s="807">
        <f>K79-K78</f>
        <v>0</v>
      </c>
      <c r="L81" s="107">
        <f>L79-L78</f>
        <v>0</v>
      </c>
      <c r="M81" s="107">
        <f>M79-M78</f>
        <v>0</v>
      </c>
      <c r="N81" s="107">
        <f>N79-N78</f>
        <v>0</v>
      </c>
      <c r="O81" s="789">
        <f>O79-O78</f>
        <v>0</v>
      </c>
    </row>
    <row r="82" spans="1:15" s="15" customFormat="1" ht="18" customHeight="1">
      <c r="A82" s="1200"/>
      <c r="B82" s="1939" t="s">
        <v>24</v>
      </c>
      <c r="C82" s="1522" t="s">
        <v>219</v>
      </c>
      <c r="D82" s="1065" t="str">
        <f>IF(ISBLANK(u)," ",u)</f>
        <v xml:space="preserve"> </v>
      </c>
      <c r="E82" s="1066" t="str">
        <f>IF(ca_1=0," ",pr_1-E55-E65-E79)</f>
        <v xml:space="preserve"> </v>
      </c>
      <c r="F82" s="1066" t="str">
        <f>IF(ca_2=0," ",pr_2-F55-F65-F79)</f>
        <v xml:space="preserve"> </v>
      </c>
      <c r="G82" s="1066" t="str">
        <f>IF(ca_3=0," ",pr_3-G55-G65-G79)</f>
        <v xml:space="preserve"> </v>
      </c>
      <c r="H82" s="1066" t="str">
        <f>IF(ca_4=0," ",pr_4-H55-H65-H79)</f>
        <v xml:space="preserve"> </v>
      </c>
      <c r="I82" s="1067" t="str">
        <f>IF(ca_5=0," ",pr_5-I55-I65-I79)</f>
        <v xml:space="preserve"> </v>
      </c>
      <c r="K82" s="1540" t="str">
        <f>IF(K29=0," ",K45-K55-K65-K79)</f>
        <v xml:space="preserve"> </v>
      </c>
      <c r="L82" s="1541" t="str">
        <f>IF(L29=0," ",L45-L55-L65-L79)</f>
        <v xml:space="preserve"> </v>
      </c>
      <c r="M82" s="1541" t="str">
        <f>IF(M29=0," ",M45-M55-M65-M79)</f>
        <v xml:space="preserve"> </v>
      </c>
      <c r="N82" s="1541" t="str">
        <f>IF(N29=0," ",N45-N55-N65-N79)</f>
        <v xml:space="preserve"> </v>
      </c>
      <c r="O82" s="1542" t="str">
        <f>IF(O29=0," ",O45-O55-O65-O79)</f>
        <v xml:space="preserve"> </v>
      </c>
    </row>
    <row r="83" spans="1:15" s="266" customFormat="1" ht="18" customHeight="1">
      <c r="A83" s="1204"/>
      <c r="B83" s="1940"/>
      <c r="C83" s="1948" t="s">
        <v>532</v>
      </c>
      <c r="D83" s="1949"/>
      <c r="E83" s="342" t="str">
        <f>IF(ca_1=0," ",IF(va_1=0," ",va_1/pr_1))</f>
        <v xml:space="preserve"> </v>
      </c>
      <c r="F83" s="342" t="str">
        <f>IF(ca_2=0," ",IF(va_2=0," ",va_2/pr_2))</f>
        <v xml:space="preserve"> </v>
      </c>
      <c r="G83" s="342" t="str">
        <f>IF(ca_3=0," ",IF(va_3=0," ",va_3/pr_3))</f>
        <v xml:space="preserve"> </v>
      </c>
      <c r="H83" s="342" t="str">
        <f>IF(ca_4=0," ",IF(va_4=0," ",va_4/pr_4))</f>
        <v xml:space="preserve"> </v>
      </c>
      <c r="I83" s="790" t="str">
        <f>IF(ca_5=0," ",IF(va_5=0," ",va_5/pr_5))</f>
        <v xml:space="preserve"> </v>
      </c>
      <c r="K83" s="808" t="str">
        <f>IF(K29=0," ",IF(K82=0," ",K82/K45))</f>
        <v xml:space="preserve"> </v>
      </c>
      <c r="L83" s="342" t="str">
        <f>IF(L29=0," ",IF(L82=0," ",L82/L45))</f>
        <v xml:space="preserve"> </v>
      </c>
      <c r="M83" s="342" t="str">
        <f>IF(M29=0," ",IF(M82=0," ",M82/M45))</f>
        <v xml:space="preserve"> </v>
      </c>
      <c r="N83" s="342" t="str">
        <f>IF(N29=0," ",IF(N82=0," ",N82/N45))</f>
        <v xml:space="preserve"> </v>
      </c>
      <c r="O83" s="790" t="str">
        <f>IF(O29=0," ",IF(O82=0," ",O82/O45))</f>
        <v xml:space="preserve"> </v>
      </c>
    </row>
    <row r="84" spans="1:15" s="26" customFormat="1" ht="20.100000000000001" customHeight="1">
      <c r="A84" s="1200"/>
      <c r="B84" s="1443" t="s">
        <v>25</v>
      </c>
      <c r="C84" s="1255">
        <v>2052</v>
      </c>
      <c r="D84" s="455" t="s">
        <v>26</v>
      </c>
      <c r="E84" s="1407"/>
      <c r="F84" s="1407"/>
      <c r="G84" s="1407"/>
      <c r="H84" s="1407"/>
      <c r="I84" s="778"/>
      <c r="K84" s="733"/>
      <c r="L84" s="1476"/>
      <c r="M84" s="1476"/>
      <c r="N84" s="1476"/>
      <c r="O84" s="778"/>
    </row>
    <row r="85" spans="1:15" ht="20.100000000000001" customHeight="1">
      <c r="B85" s="1429" t="s">
        <v>546</v>
      </c>
      <c r="C85" s="1445">
        <v>2056</v>
      </c>
      <c r="D85" s="456" t="s">
        <v>149</v>
      </c>
      <c r="E85" s="1408"/>
      <c r="F85" s="1408"/>
      <c r="G85" s="1420"/>
      <c r="H85" s="1420"/>
      <c r="I85" s="791"/>
      <c r="J85" s="21"/>
      <c r="K85" s="809"/>
      <c r="L85" s="1420"/>
      <c r="M85" s="1420"/>
      <c r="N85" s="1420"/>
      <c r="O85" s="791"/>
    </row>
    <row r="86" spans="1:15" ht="20.100000000000001" customHeight="1">
      <c r="B86" s="1429" t="s">
        <v>575</v>
      </c>
      <c r="C86" s="1445">
        <v>2053</v>
      </c>
      <c r="D86" s="456" t="s">
        <v>143</v>
      </c>
      <c r="E86" s="1408"/>
      <c r="F86" s="1408"/>
      <c r="G86" s="1408"/>
      <c r="H86" s="1408"/>
      <c r="I86" s="780"/>
      <c r="K86" s="801"/>
      <c r="L86" s="1408"/>
      <c r="M86" s="1408"/>
      <c r="N86" s="1408"/>
      <c r="O86" s="780"/>
    </row>
    <row r="87" spans="1:15" ht="20.100000000000001" customHeight="1">
      <c r="B87" s="1444" t="s">
        <v>32</v>
      </c>
      <c r="C87" s="1255">
        <v>2052</v>
      </c>
      <c r="D87" s="455" t="s">
        <v>33</v>
      </c>
      <c r="E87" s="1407"/>
      <c r="F87" s="1407"/>
      <c r="G87" s="1407"/>
      <c r="H87" s="1407"/>
      <c r="I87" s="778"/>
      <c r="K87" s="733"/>
      <c r="L87" s="1407"/>
      <c r="M87" s="1407"/>
      <c r="N87" s="1407"/>
      <c r="O87" s="778"/>
    </row>
    <row r="88" spans="1:15" ht="20.100000000000001" customHeight="1">
      <c r="B88" s="1874" t="s">
        <v>27</v>
      </c>
      <c r="C88" s="1875">
        <v>2052</v>
      </c>
      <c r="D88" s="1876" t="s">
        <v>28</v>
      </c>
      <c r="E88" s="1877"/>
      <c r="F88" s="1877"/>
      <c r="G88" s="1877"/>
      <c r="H88" s="1877"/>
      <c r="I88" s="1878"/>
      <c r="K88" s="1879"/>
      <c r="L88" s="1877"/>
      <c r="M88" s="1877"/>
      <c r="N88" s="1877"/>
      <c r="O88" s="1878"/>
    </row>
    <row r="89" spans="1:15" ht="20.100000000000001" customHeight="1">
      <c r="B89" s="1252" t="s">
        <v>129</v>
      </c>
      <c r="C89" s="1255">
        <v>2052</v>
      </c>
      <c r="D89" s="455" t="s">
        <v>130</v>
      </c>
      <c r="E89" s="1407"/>
      <c r="F89" s="1407"/>
      <c r="G89" s="1407"/>
      <c r="H89" s="1407"/>
      <c r="I89" s="778"/>
      <c r="K89" s="733"/>
      <c r="L89" s="1407"/>
      <c r="M89" s="1407"/>
      <c r="N89" s="1407"/>
      <c r="O89" s="778"/>
    </row>
    <row r="90" spans="1:15" ht="20.100000000000001" customHeight="1">
      <c r="B90" s="1440" t="s">
        <v>628</v>
      </c>
      <c r="C90" s="1928" t="s">
        <v>531</v>
      </c>
      <c r="D90" s="1929"/>
      <c r="E90" s="1413"/>
      <c r="F90" s="1413"/>
      <c r="G90" s="1413"/>
      <c r="H90" s="1413"/>
      <c r="I90" s="785"/>
      <c r="K90" s="804"/>
      <c r="L90" s="1413"/>
      <c r="M90" s="1413"/>
      <c r="N90" s="1413"/>
      <c r="O90" s="785"/>
    </row>
    <row r="91" spans="1:15" ht="20.100000000000001" customHeight="1">
      <c r="B91" s="1429" t="s">
        <v>128</v>
      </c>
      <c r="C91" s="1434">
        <v>2052</v>
      </c>
      <c r="D91" s="454" t="s">
        <v>131</v>
      </c>
      <c r="E91" s="1408"/>
      <c r="F91" s="1408"/>
      <c r="G91" s="1408"/>
      <c r="H91" s="1408"/>
      <c r="I91" s="780"/>
      <c r="K91" s="801"/>
      <c r="L91" s="1408"/>
      <c r="M91" s="1408"/>
      <c r="N91" s="1408"/>
      <c r="O91" s="780"/>
    </row>
    <row r="92" spans="1:15" ht="20.100000000000001" customHeight="1">
      <c r="B92" s="1440" t="s">
        <v>629</v>
      </c>
      <c r="C92" s="1928" t="s">
        <v>531</v>
      </c>
      <c r="D92" s="1929"/>
      <c r="E92" s="1413"/>
      <c r="F92" s="1413"/>
      <c r="G92" s="1413"/>
      <c r="H92" s="1413"/>
      <c r="I92" s="785"/>
      <c r="K92" s="804"/>
      <c r="L92" s="1413"/>
      <c r="M92" s="1413"/>
      <c r="N92" s="1413"/>
      <c r="O92" s="785"/>
    </row>
    <row r="93" spans="1:15" ht="20.100000000000001" customHeight="1">
      <c r="B93" s="1442" t="s">
        <v>630</v>
      </c>
      <c r="C93" s="2023" t="s">
        <v>531</v>
      </c>
      <c r="D93" s="2024"/>
      <c r="E93" s="1416"/>
      <c r="F93" s="1416"/>
      <c r="G93" s="1416"/>
      <c r="H93" s="1416"/>
      <c r="I93" s="787"/>
      <c r="K93" s="734"/>
      <c r="L93" s="1416"/>
      <c r="M93" s="1416"/>
      <c r="N93" s="1416"/>
      <c r="O93" s="787"/>
    </row>
    <row r="94" spans="1:15" ht="20.100000000000001" customHeight="1">
      <c r="B94" s="1880" t="s">
        <v>707</v>
      </c>
      <c r="C94" s="1881"/>
      <c r="D94" s="1882"/>
      <c r="E94" s="1883">
        <f>fy_1-E90</f>
        <v>0</v>
      </c>
      <c r="F94" s="1883">
        <f>fy_2-F90</f>
        <v>0</v>
      </c>
      <c r="G94" s="1883">
        <f>fy_3-G90</f>
        <v>0</v>
      </c>
      <c r="H94" s="1883">
        <f>fy_4-H90</f>
        <v>0</v>
      </c>
      <c r="I94" s="1884">
        <f>fy_5-I90</f>
        <v>0</v>
      </c>
      <c r="K94" s="1885">
        <f>K89-K90</f>
        <v>0</v>
      </c>
      <c r="L94" s="1883">
        <f>L89-L90</f>
        <v>0</v>
      </c>
      <c r="M94" s="1883">
        <f>M89-M90</f>
        <v>0</v>
      </c>
      <c r="N94" s="1883">
        <f>N89-N90</f>
        <v>0</v>
      </c>
      <c r="O94" s="1884">
        <f>O89-O90</f>
        <v>0</v>
      </c>
    </row>
    <row r="95" spans="1:15" ht="20.100000000000001" customHeight="1">
      <c r="B95" s="1447" t="s">
        <v>617</v>
      </c>
      <c r="C95" s="1454"/>
      <c r="D95" s="457"/>
      <c r="E95" s="1421">
        <f>E91-E92-E93</f>
        <v>0</v>
      </c>
      <c r="F95" s="1421">
        <f>F91-F92-F93</f>
        <v>0</v>
      </c>
      <c r="G95" s="1421">
        <f>G91-G92-G93</f>
        <v>0</v>
      </c>
      <c r="H95" s="1421">
        <f>H91-H92-H93</f>
        <v>0</v>
      </c>
      <c r="I95" s="1198">
        <f>I91-I92-I93</f>
        <v>0</v>
      </c>
      <c r="K95" s="1199">
        <f>K91-K92-K93</f>
        <v>0</v>
      </c>
      <c r="L95" s="1421">
        <f>L91-L92-L93</f>
        <v>0</v>
      </c>
      <c r="M95" s="1421">
        <f>M91-M92-M93</f>
        <v>0</v>
      </c>
      <c r="N95" s="1421">
        <f>N91-N92-N93</f>
        <v>0</v>
      </c>
      <c r="O95" s="1198">
        <f>O91-O92-O93</f>
        <v>0</v>
      </c>
    </row>
    <row r="96" spans="1:15" s="236" customFormat="1" ht="15" customHeight="1">
      <c r="A96" s="1205"/>
      <c r="B96" s="1448" t="s">
        <v>302</v>
      </c>
      <c r="C96" s="1455"/>
      <c r="D96" s="458"/>
      <c r="E96" s="1422">
        <f>IF(ca_1=0,0,IF(ISBLANK(E91),0,(E91-E92-E93)/(fy_1-E90)))</f>
        <v>0</v>
      </c>
      <c r="F96" s="1422">
        <f>IF(ca_2=0,0,IF(ISBLANK(F91),0,(F91-F92-F93)/(fy_2-F90)))</f>
        <v>0</v>
      </c>
      <c r="G96" s="1422">
        <f>IF(ca_3=0,0,IF(ISBLANK(G91),0,(G91-G92-G93)/(fy_3-G90)))</f>
        <v>0</v>
      </c>
      <c r="H96" s="1422">
        <f>IF(ca_4=0,0,IF(ISBLANK(H91),0,(H91-H92-H93)/(fy_4-H90)))</f>
        <v>0</v>
      </c>
      <c r="I96" s="792">
        <f>IF(ca_5=0,0,IF(ISBLANK(I91),0,(I91-I92-I93)/(fy_5-I90)))</f>
        <v>0</v>
      </c>
      <c r="K96" s="810">
        <f>IF(K29=0,0,IF(ISBLANK(K91),0,(K91-K92-K93)/(K89-K90)))</f>
        <v>0</v>
      </c>
      <c r="L96" s="1422">
        <f>IF(L29=0,0,IF(ISBLANK(L91),0,(L91-L92-L93)/(L89-L90)))</f>
        <v>0</v>
      </c>
      <c r="M96" s="1422">
        <f>IF(M29=0,0,IF(ISBLANK(M91),0,(M91-M92-M93)/(M89-M90)))</f>
        <v>0</v>
      </c>
      <c r="N96" s="1422">
        <f>IF(N29=0,0,IF(ISBLANK(N91),0,(N91-N92-N93)/(N89-N90)))</f>
        <v>0</v>
      </c>
      <c r="O96" s="792">
        <f>IF(O29=0,0,IF(ISBLANK(O91),0,(O91-O92-O93)/(O89-O90)))</f>
        <v>0</v>
      </c>
    </row>
    <row r="97" spans="1:15" ht="20.100000000000001" customHeight="1">
      <c r="A97" s="1200" t="s">
        <v>534</v>
      </c>
      <c r="B97" s="1449" t="s">
        <v>22</v>
      </c>
      <c r="C97" s="1456"/>
      <c r="D97" s="459"/>
      <c r="E97" s="1423">
        <f>IF(ca_1=0,0,E77)</f>
        <v>0</v>
      </c>
      <c r="F97" s="1423">
        <f>IF(ca_2=0,0,F77)</f>
        <v>0</v>
      </c>
      <c r="G97" s="1423">
        <f>IF(ca_3=0,0,G77)</f>
        <v>0</v>
      </c>
      <c r="H97" s="1423">
        <f>IF(ca_4=0,0,H77)</f>
        <v>0</v>
      </c>
      <c r="I97" s="793">
        <f>IF(ca_5=0,0,I77)</f>
        <v>0</v>
      </c>
      <c r="J97" s="21"/>
      <c r="K97" s="811">
        <f>IF(K29=0,0,K77)</f>
        <v>0</v>
      </c>
      <c r="L97" s="1423">
        <f>IF(L29=0,0,L77)</f>
        <v>0</v>
      </c>
      <c r="M97" s="1423">
        <f>IF(M29=0,0,M77)</f>
        <v>0</v>
      </c>
      <c r="N97" s="1423">
        <f>IF(N29=0,0,N77)</f>
        <v>0</v>
      </c>
      <c r="O97" s="793">
        <f>IF(O29=0,0,O77)</f>
        <v>0</v>
      </c>
    </row>
    <row r="98" spans="1:15" ht="18" customHeight="1">
      <c r="B98" s="1943" t="s">
        <v>529</v>
      </c>
      <c r="C98" s="1512" t="s">
        <v>219</v>
      </c>
      <c r="D98" s="1077" t="str">
        <f>IF(ISBLANK(u)," ",u)</f>
        <v xml:space="preserve"> </v>
      </c>
      <c r="E98" s="1417">
        <f>IF(ca_1=0,0,E94+E95+E97)</f>
        <v>0</v>
      </c>
      <c r="F98" s="1424">
        <f>IF(ca_2=0,0,F94+F95+F97)</f>
        <v>0</v>
      </c>
      <c r="G98" s="1417">
        <f>IF(ca_3=0,0,G94+G95+G97)</f>
        <v>0</v>
      </c>
      <c r="H98" s="1417">
        <f>IF(ca_4=0,0,H94+H95+H97)</f>
        <v>0</v>
      </c>
      <c r="I98" s="1078">
        <f>IF(ca_5=0,0,I94+I95+I97)</f>
        <v>0</v>
      </c>
      <c r="K98" s="1079">
        <f>IF(K29=0,0,K94+K95+K97)</f>
        <v>0</v>
      </c>
      <c r="L98" s="1424">
        <f t="shared" ref="L98:O98" si="4">IF(L29=0,0,L94+L95+L97)</f>
        <v>0</v>
      </c>
      <c r="M98" s="1417">
        <f t="shared" si="4"/>
        <v>0</v>
      </c>
      <c r="N98" s="1417">
        <f t="shared" si="4"/>
        <v>0</v>
      </c>
      <c r="O98" s="1080">
        <f t="shared" si="4"/>
        <v>0</v>
      </c>
    </row>
    <row r="99" spans="1:15" ht="18" customHeight="1">
      <c r="B99" s="1944"/>
      <c r="C99" s="1932" t="s">
        <v>532</v>
      </c>
      <c r="D99" s="1933"/>
      <c r="E99" s="1425" t="str">
        <f>IF(E98=0," ",E98/E45)</f>
        <v xml:space="preserve"> </v>
      </c>
      <c r="F99" s="1426" t="str">
        <f t="shared" ref="F99:I99" si="5">IF(F98=0," ",F98/F45)</f>
        <v xml:space="preserve"> </v>
      </c>
      <c r="G99" s="1426" t="str">
        <f t="shared" si="5"/>
        <v xml:space="preserve"> </v>
      </c>
      <c r="H99" s="1426" t="str">
        <f t="shared" si="5"/>
        <v xml:space="preserve"> </v>
      </c>
      <c r="I99" s="794" t="str">
        <f t="shared" si="5"/>
        <v xml:space="preserve"> </v>
      </c>
      <c r="K99" s="812" t="str">
        <f>IF(K98=0," ",K98/K45)</f>
        <v xml:space="preserve"> </v>
      </c>
      <c r="L99" s="1426" t="str">
        <f t="shared" ref="L99:O99" si="6">IF(L98=0," ",L98/L45)</f>
        <v xml:space="preserve"> </v>
      </c>
      <c r="M99" s="1426" t="str">
        <f t="shared" si="6"/>
        <v xml:space="preserve"> </v>
      </c>
      <c r="N99" s="1426" t="str">
        <f t="shared" si="6"/>
        <v xml:space="preserve"> </v>
      </c>
      <c r="O99" s="794" t="str">
        <f t="shared" si="6"/>
        <v xml:space="preserve"> </v>
      </c>
    </row>
    <row r="100" spans="1:15" ht="21.9" customHeight="1">
      <c r="B100" s="1945"/>
      <c r="C100" s="1941" t="s">
        <v>606</v>
      </c>
      <c r="D100" s="1942"/>
      <c r="E100" s="1427" t="str">
        <f t="shared" ref="E100:I100" si="7">IF(E98=0," ",E98/E82)</f>
        <v xml:space="preserve"> </v>
      </c>
      <c r="F100" s="1427" t="str">
        <f t="shared" si="7"/>
        <v xml:space="preserve"> </v>
      </c>
      <c r="G100" s="1427" t="str">
        <f t="shared" si="7"/>
        <v xml:space="preserve"> </v>
      </c>
      <c r="H100" s="1427" t="str">
        <f t="shared" si="7"/>
        <v xml:space="preserve"> </v>
      </c>
      <c r="I100" s="881" t="str">
        <f t="shared" si="7"/>
        <v xml:space="preserve"> </v>
      </c>
      <c r="K100" s="882" t="str">
        <f>IF(K98=0," ",K98/K82)</f>
        <v xml:space="preserve"> </v>
      </c>
      <c r="L100" s="1427" t="str">
        <f t="shared" ref="L100:O100" si="8">IF(L98=0," ",L98/L82)</f>
        <v xml:space="preserve"> </v>
      </c>
      <c r="M100" s="1427" t="str">
        <f t="shared" si="8"/>
        <v xml:space="preserve"> </v>
      </c>
      <c r="N100" s="1427" t="str">
        <f t="shared" si="8"/>
        <v xml:space="preserve"> </v>
      </c>
      <c r="O100" s="881" t="str">
        <f t="shared" si="8"/>
        <v xml:space="preserve"> </v>
      </c>
    </row>
    <row r="101" spans="1:15" ht="20.100000000000001" customHeight="1">
      <c r="B101" s="1252" t="s">
        <v>148</v>
      </c>
      <c r="C101" s="1457">
        <v>2056</v>
      </c>
      <c r="D101" s="453" t="s">
        <v>150</v>
      </c>
      <c r="E101" s="1407"/>
      <c r="F101" s="1407"/>
      <c r="G101" s="1407"/>
      <c r="H101" s="1407"/>
      <c r="I101" s="778"/>
      <c r="K101" s="733"/>
      <c r="L101" s="1407"/>
      <c r="M101" s="1407"/>
      <c r="N101" s="1407"/>
      <c r="O101" s="778"/>
    </row>
    <row r="102" spans="1:15" ht="20.100000000000001" customHeight="1">
      <c r="B102" s="1450" t="s">
        <v>618</v>
      </c>
      <c r="C102" s="1458">
        <v>2052</v>
      </c>
      <c r="D102" s="454" t="s">
        <v>619</v>
      </c>
      <c r="E102" s="1413"/>
      <c r="F102" s="1413"/>
      <c r="G102" s="1413"/>
      <c r="H102" s="1413"/>
      <c r="I102" s="785"/>
      <c r="K102" s="804"/>
      <c r="L102" s="1413"/>
      <c r="M102" s="1413"/>
      <c r="N102" s="1413"/>
      <c r="O102" s="785"/>
    </row>
    <row r="103" spans="1:15" ht="20.100000000000001" customHeight="1">
      <c r="B103" s="1451" t="s">
        <v>34</v>
      </c>
      <c r="C103" s="1255">
        <v>2052</v>
      </c>
      <c r="D103" s="455" t="s">
        <v>35</v>
      </c>
      <c r="E103" s="1428"/>
      <c r="F103" s="1428"/>
      <c r="G103" s="1428"/>
      <c r="H103" s="1428"/>
      <c r="I103" s="778"/>
      <c r="K103" s="733"/>
      <c r="L103" s="1428"/>
      <c r="M103" s="1428"/>
      <c r="N103" s="1428"/>
      <c r="O103" s="778"/>
    </row>
    <row r="104" spans="1:15" s="15" customFormat="1" ht="18" customHeight="1">
      <c r="A104" s="1200"/>
      <c r="B104" s="1925" t="s">
        <v>659</v>
      </c>
      <c r="C104" s="1519" t="s">
        <v>219</v>
      </c>
      <c r="D104" s="1081" t="str">
        <f>IF(ISBLANK(u)," ",u)</f>
        <v xml:space="preserve"> </v>
      </c>
      <c r="E104" s="1513">
        <f>IF(ca_1=0,0,E82+E84+E85+E86+E87-E88-E98-E101+E102-E103)</f>
        <v>0</v>
      </c>
      <c r="F104" s="1082">
        <f>IF(ca_2=0,0,F82+F84+F85+F86+F87-F88-F98-F101+F102-F103)</f>
        <v>0</v>
      </c>
      <c r="G104" s="1082">
        <f>IF(ca_3=0,0,G82+G84+G85+G86+G87-G88-G98-G101+G102-G103)</f>
        <v>0</v>
      </c>
      <c r="H104" s="1082">
        <f>IF(ca_4=0,0,H82+H84+H85+H86+H87-H88-H98-H101+H102-H103)</f>
        <v>0</v>
      </c>
      <c r="I104" s="1083">
        <f>IF(ca_5=0,0,I82+I84+I85+I86+I87-I88-I98-I101+I102-I103)</f>
        <v>0</v>
      </c>
      <c r="K104" s="1084">
        <f>IF(K29=0,0,K82+K84+K85+K86+K87-K88-K98-K101+K102-K103)</f>
        <v>0</v>
      </c>
      <c r="L104" s="1082">
        <f t="shared" ref="L104:O104" si="9">IF(L29=0,0,L82+L84+L85+L86+L87-L88-L98-L101+L102-L103)</f>
        <v>0</v>
      </c>
      <c r="M104" s="1082">
        <f t="shared" si="9"/>
        <v>0</v>
      </c>
      <c r="N104" s="1082">
        <f t="shared" si="9"/>
        <v>0</v>
      </c>
      <c r="O104" s="1083">
        <f t="shared" si="9"/>
        <v>0</v>
      </c>
    </row>
    <row r="105" spans="1:15" s="266" customFormat="1" ht="18" customHeight="1">
      <c r="A105" s="1204"/>
      <c r="B105" s="1926"/>
      <c r="C105" s="1923" t="s">
        <v>532</v>
      </c>
      <c r="D105" s="1924"/>
      <c r="E105" s="1514" t="str">
        <f t="shared" ref="E105:I105" si="10">IF(OR(E29=0,E104=0)," ",E104/E45)</f>
        <v xml:space="preserve"> </v>
      </c>
      <c r="F105" s="444" t="str">
        <f t="shared" si="10"/>
        <v xml:space="preserve"> </v>
      </c>
      <c r="G105" s="444" t="str">
        <f t="shared" si="10"/>
        <v xml:space="preserve"> </v>
      </c>
      <c r="H105" s="444" t="str">
        <f t="shared" si="10"/>
        <v xml:space="preserve"> </v>
      </c>
      <c r="I105" s="795" t="str">
        <f t="shared" si="10"/>
        <v xml:space="preserve"> </v>
      </c>
      <c r="K105" s="813" t="str">
        <f>IF(OR(K29=0,K104=0)," ",K104/K45)</f>
        <v xml:space="preserve"> </v>
      </c>
      <c r="L105" s="444" t="str">
        <f t="shared" ref="L105:O105" si="11">IF(OR(L29=0,L104=0)," ",L104/L45)</f>
        <v xml:space="preserve"> </v>
      </c>
      <c r="M105" s="444" t="str">
        <f t="shared" si="11"/>
        <v xml:space="preserve"> </v>
      </c>
      <c r="N105" s="444" t="str">
        <f t="shared" si="11"/>
        <v xml:space="preserve"> </v>
      </c>
      <c r="O105" s="795" t="str">
        <f t="shared" si="11"/>
        <v xml:space="preserve"> </v>
      </c>
    </row>
    <row r="106" spans="1:15" s="266" customFormat="1" ht="21.9" customHeight="1">
      <c r="A106" s="1204"/>
      <c r="B106" s="1927"/>
      <c r="C106" s="2020" t="s">
        <v>606</v>
      </c>
      <c r="D106" s="2019"/>
      <c r="E106" s="1515" t="str">
        <f>IF(ca_1=0," ",IF(E104=" "," ",E104/va_1))</f>
        <v xml:space="preserve"> </v>
      </c>
      <c r="F106" s="445" t="str">
        <f>IF(ca_2=0," ",IF(F104=" "," ",F104/va_2))</f>
        <v xml:space="preserve"> </v>
      </c>
      <c r="G106" s="445" t="str">
        <f>IF(ca_3=0," ",IF(G104=" "," ",G998/va_3))</f>
        <v xml:space="preserve"> </v>
      </c>
      <c r="H106" s="445" t="str">
        <f>IF(ca_4=0," ",IF(H104=" "," ",H104/va_4))</f>
        <v xml:space="preserve"> </v>
      </c>
      <c r="I106" s="796" t="str">
        <f>IF(ca_5=0," ",IF(I104=" "," ",I104/va_5))</f>
        <v xml:space="preserve"> </v>
      </c>
      <c r="K106" s="814" t="str">
        <f>IF(K29=0," ",IF(K104=" "," ",K104/K82))</f>
        <v xml:space="preserve"> </v>
      </c>
      <c r="L106" s="445" t="str">
        <f>IF(L29=0," ",IF(L104=" "," ",L104/L82))</f>
        <v xml:space="preserve"> </v>
      </c>
      <c r="M106" s="445" t="str">
        <f>IF(M29=0," ",IF(M104=" "," ",M104/M82))</f>
        <v xml:space="preserve"> </v>
      </c>
      <c r="N106" s="445" t="str">
        <f>IF(N29=0," ",IF(N104=" "," ",N104/N82))</f>
        <v xml:space="preserve"> </v>
      </c>
      <c r="O106" s="796" t="str">
        <f>IF(O29=0," ",IF(O104=" "," ",O104/O82))</f>
        <v xml:space="preserve"> </v>
      </c>
    </row>
    <row r="107" spans="1:15" s="15" customFormat="1" ht="18" customHeight="1">
      <c r="A107" s="1200"/>
      <c r="B107" s="2013" t="s">
        <v>29</v>
      </c>
      <c r="C107" s="1520" t="s">
        <v>219</v>
      </c>
      <c r="D107" s="1085" t="str">
        <f>IF(ISBLANK(u)," ",u)</f>
        <v xml:space="preserve"> </v>
      </c>
      <c r="E107" s="1516">
        <f>E104-E85-E86-E87+E101-E102+E103</f>
        <v>0</v>
      </c>
      <c r="F107" s="1086">
        <f>F104-F85-F86-F87+F101-F102+F103</f>
        <v>0</v>
      </c>
      <c r="G107" s="1086">
        <f>G104-G85-G86-G87+G101-G102+G103</f>
        <v>0</v>
      </c>
      <c r="H107" s="1086">
        <f>H104-H85-H86-H87+H101-H102+H103</f>
        <v>0</v>
      </c>
      <c r="I107" s="1087">
        <f>I104-I85-I86-I87+I101-I102+I103</f>
        <v>0</v>
      </c>
      <c r="K107" s="1088">
        <f>K104-K85-K86-K87+K101-K102+K103</f>
        <v>0</v>
      </c>
      <c r="L107" s="1086">
        <f>L104-L85-L86-L87+L101-L102+L103</f>
        <v>0</v>
      </c>
      <c r="M107" s="1086">
        <f>M104-M85-M86-M87+M101-M102+M103</f>
        <v>0</v>
      </c>
      <c r="N107" s="1086">
        <f>N104-N85-N86-N87+N101-N102+N103</f>
        <v>0</v>
      </c>
      <c r="O107" s="1087">
        <f>O104-O85-O86-O87+O101-O102+O103</f>
        <v>0</v>
      </c>
    </row>
    <row r="108" spans="1:15" s="266" customFormat="1" ht="18" customHeight="1">
      <c r="A108" s="1204"/>
      <c r="B108" s="2014"/>
      <c r="C108" s="2016" t="s">
        <v>532</v>
      </c>
      <c r="D108" s="2017"/>
      <c r="E108" s="1517" t="str">
        <f>IF(OR(E29=0,E104=0)," ",E107/E45)</f>
        <v xml:space="preserve"> </v>
      </c>
      <c r="F108" s="383" t="str">
        <f t="shared" ref="F108:I108" si="12">IF(OR(F29=0,F104=0)," ",F107/F45)</f>
        <v xml:space="preserve"> </v>
      </c>
      <c r="G108" s="383" t="str">
        <f t="shared" si="12"/>
        <v xml:space="preserve"> </v>
      </c>
      <c r="H108" s="383" t="str">
        <f t="shared" si="12"/>
        <v xml:space="preserve"> </v>
      </c>
      <c r="I108" s="797" t="str">
        <f t="shared" si="12"/>
        <v xml:space="preserve"> </v>
      </c>
      <c r="K108" s="815" t="str">
        <f t="shared" ref="K108:O108" si="13">IF(OR(K29=0,K104=0)," ",K107/K45)</f>
        <v xml:space="preserve"> </v>
      </c>
      <c r="L108" s="383" t="str">
        <f t="shared" si="13"/>
        <v xml:space="preserve"> </v>
      </c>
      <c r="M108" s="383" t="str">
        <f t="shared" si="13"/>
        <v xml:space="preserve"> </v>
      </c>
      <c r="N108" s="383" t="str">
        <f t="shared" si="13"/>
        <v xml:space="preserve"> </v>
      </c>
      <c r="O108" s="797" t="str">
        <f t="shared" si="13"/>
        <v xml:space="preserve"> </v>
      </c>
    </row>
    <row r="109" spans="1:15" s="266" customFormat="1" ht="21.9" customHeight="1">
      <c r="A109" s="1204"/>
      <c r="B109" s="2015"/>
      <c r="C109" s="2018" t="s">
        <v>606</v>
      </c>
      <c r="D109" s="2019"/>
      <c r="E109" s="1518" t="str">
        <f t="shared" ref="E109:I109" si="14">IF(E29=0," ",IF(E107=" "," ",E107/E82))</f>
        <v xml:space="preserve"> </v>
      </c>
      <c r="F109" s="384" t="str">
        <f t="shared" si="14"/>
        <v xml:space="preserve"> </v>
      </c>
      <c r="G109" s="384" t="str">
        <f t="shared" si="14"/>
        <v xml:space="preserve"> </v>
      </c>
      <c r="H109" s="384" t="str">
        <f t="shared" si="14"/>
        <v xml:space="preserve"> </v>
      </c>
      <c r="I109" s="798" t="str">
        <f t="shared" si="14"/>
        <v xml:space="preserve"> </v>
      </c>
      <c r="K109" s="816" t="str">
        <f>IF(K29=0," ",IF(K107=" "," ",K107/K82))</f>
        <v xml:space="preserve"> </v>
      </c>
      <c r="L109" s="384" t="str">
        <f t="shared" ref="L109:O109" si="15">IF(L29=0," ",IF(L107=" "," ",L107/L82))</f>
        <v xml:space="preserve"> </v>
      </c>
      <c r="M109" s="384" t="str">
        <f t="shared" si="15"/>
        <v xml:space="preserve"> </v>
      </c>
      <c r="N109" s="384" t="str">
        <f t="shared" si="15"/>
        <v xml:space="preserve"> </v>
      </c>
      <c r="O109" s="798" t="str">
        <f t="shared" si="15"/>
        <v xml:space="preserve"> </v>
      </c>
    </row>
    <row r="110" spans="1:15" ht="20.100000000000001" customHeight="1">
      <c r="B110" s="1252" t="s">
        <v>132</v>
      </c>
      <c r="C110" s="1255">
        <v>2052</v>
      </c>
      <c r="D110" s="455" t="s">
        <v>30</v>
      </c>
      <c r="E110" s="1476"/>
      <c r="F110" s="1476"/>
      <c r="G110" s="1476"/>
      <c r="H110" s="1476"/>
      <c r="I110" s="778"/>
      <c r="K110" s="733"/>
      <c r="L110" s="1407"/>
      <c r="M110" s="1407"/>
      <c r="N110" s="1407"/>
      <c r="O110" s="778"/>
    </row>
    <row r="111" spans="1:15" ht="20.100000000000001" customHeight="1">
      <c r="B111" s="1452" t="s">
        <v>31</v>
      </c>
      <c r="C111" s="1434"/>
      <c r="D111" s="460"/>
      <c r="E111" s="1473">
        <f>IF(ca_1=0,0,(hp_1*E184)+(hq_1*E194))</f>
        <v>0</v>
      </c>
      <c r="F111" s="1473">
        <f>IF(ca_2=0,0,(hp_2*F184)+(hq_2*F194))</f>
        <v>0</v>
      </c>
      <c r="G111" s="1473">
        <f>IF(ca_1=0,0,(hp_3*G184)+(hq_3*G194))</f>
        <v>0</v>
      </c>
      <c r="H111" s="1473">
        <f>IF(ca_4=0,0,(hp_4*H184)+(hq_4*H194))</f>
        <v>0</v>
      </c>
      <c r="I111" s="799">
        <f>IF(ca_5=0,0,(hp_5*I184)+(hq_5*I194))</f>
        <v>0</v>
      </c>
      <c r="K111" s="817">
        <f>IF(K29=0,0,(K74*K184)+(K76*K194))</f>
        <v>0</v>
      </c>
      <c r="L111" s="1473">
        <f>IF(L29=0,0,(L74*L184)+(L76*L194))</f>
        <v>0</v>
      </c>
      <c r="M111" s="1473">
        <f>IF(M29=0,0,(M74*M184)+(M76*M194))</f>
        <v>0</v>
      </c>
      <c r="N111" s="1473">
        <f>IF(N29=0,0,(N74*N184)+(N76*N194))</f>
        <v>0</v>
      </c>
      <c r="O111" s="799">
        <f>IF(O29=0,0,(O74*O184)+(O76*O194))</f>
        <v>0</v>
      </c>
    </row>
    <row r="112" spans="1:15" ht="20.100000000000001" customHeight="1">
      <c r="B112" s="1453" t="s">
        <v>627</v>
      </c>
      <c r="C112" s="1459"/>
      <c r="D112" s="1460"/>
      <c r="E112" s="1477">
        <f>E102</f>
        <v>0</v>
      </c>
      <c r="F112" s="1477">
        <f>F102</f>
        <v>0</v>
      </c>
      <c r="G112" s="1477">
        <f>G102</f>
        <v>0</v>
      </c>
      <c r="H112" s="1477">
        <f>H102</f>
        <v>0</v>
      </c>
      <c r="I112" s="800">
        <f>I102</f>
        <v>0</v>
      </c>
      <c r="K112" s="818">
        <f>K102</f>
        <v>0</v>
      </c>
      <c r="L112" s="1543">
        <f>L102</f>
        <v>0</v>
      </c>
      <c r="M112" s="1543">
        <f>M102</f>
        <v>0</v>
      </c>
      <c r="N112" s="1543">
        <f>N102</f>
        <v>0</v>
      </c>
      <c r="O112" s="800">
        <f>O102</f>
        <v>0</v>
      </c>
    </row>
    <row r="113" spans="1:15" s="15" customFormat="1" ht="18" customHeight="1">
      <c r="A113" s="1200"/>
      <c r="B113" s="1938" t="s">
        <v>36</v>
      </c>
      <c r="C113" s="1520" t="s">
        <v>219</v>
      </c>
      <c r="D113" s="1085" t="str">
        <f>IF(ISBLANK(u)," ",u)</f>
        <v xml:space="preserve"> </v>
      </c>
      <c r="E113" s="1086">
        <f>IF(ca_1=0,0,E104-E110-E111-E112)</f>
        <v>0</v>
      </c>
      <c r="F113" s="1086">
        <f>IF(ca_2=0,0,F104-F110-F111-F112)</f>
        <v>0</v>
      </c>
      <c r="G113" s="1086">
        <f>IF(ca_3=0,0,G104-G110-G111-G112)</f>
        <v>0</v>
      </c>
      <c r="H113" s="1086">
        <f>IF(ca_4=0,0,H104-H110-H111-H112)</f>
        <v>0</v>
      </c>
      <c r="I113" s="1087">
        <f>IF(ca_5=0,0,I104-I110-I111-I112)</f>
        <v>0</v>
      </c>
      <c r="K113" s="1088">
        <f>IF(K29=0,0,K104-K110-K111-K112)</f>
        <v>0</v>
      </c>
      <c r="L113" s="1086">
        <f>IF(L29=0,0,L104-L110-L111-L112)</f>
        <v>0</v>
      </c>
      <c r="M113" s="1086">
        <f>IF(M29=0,0,M104-M110-M111-M112)</f>
        <v>0</v>
      </c>
      <c r="N113" s="1086">
        <f>IF(N29=0,0,N104-N110-N111-N112)</f>
        <v>0</v>
      </c>
      <c r="O113" s="1087">
        <f>IF(O29=0,0,O104-O110-O111-O112)</f>
        <v>0</v>
      </c>
    </row>
    <row r="114" spans="1:15" s="266" customFormat="1" ht="18" customHeight="1">
      <c r="A114" s="1204"/>
      <c r="B114" s="1920"/>
      <c r="C114" s="1921" t="s">
        <v>532</v>
      </c>
      <c r="D114" s="1922"/>
      <c r="E114" s="356" t="str">
        <f>IF(ca_1=0," ",IF(re_1=" "," ",re_1/pr_1))</f>
        <v xml:space="preserve"> </v>
      </c>
      <c r="F114" s="356" t="str">
        <f>IF(ca_2=0," ",IF(re_2=" "," ",re_2/pr_2))</f>
        <v xml:space="preserve"> </v>
      </c>
      <c r="G114" s="356" t="str">
        <f>IF(ca_3=0," ",IF(re_3=" "," ",re_3/pr_3))</f>
        <v xml:space="preserve"> </v>
      </c>
      <c r="H114" s="356" t="str">
        <f>IF(ca_4=0," ",IF(re_4=" "," ",re_4/pr_4))</f>
        <v xml:space="preserve"> </v>
      </c>
      <c r="I114" s="783" t="str">
        <f>IF(ca_5=0," ",IF(re_5=" "," ",re_5/pr_5))</f>
        <v xml:space="preserve"> </v>
      </c>
      <c r="K114" s="819" t="str">
        <f>IF(K29=0," ",IF(K113=" "," ",K113/K45))</f>
        <v xml:space="preserve"> </v>
      </c>
      <c r="L114" s="356" t="str">
        <f>IF(L29=0," ",IF(L113=" "," ",L113/L45))</f>
        <v xml:space="preserve"> </v>
      </c>
      <c r="M114" s="356" t="str">
        <f>IF(M29=0," ",IF(M113=" "," ",M113/M45))</f>
        <v xml:space="preserve"> </v>
      </c>
      <c r="N114" s="356" t="str">
        <f>IF(N29=0," ",IF(N113=" "," ",N113/N45))</f>
        <v xml:space="preserve"> </v>
      </c>
      <c r="O114" s="783" t="str">
        <f>IF(O29=0," ",IF(O113=" "," ",O113/O45))</f>
        <v xml:space="preserve"> </v>
      </c>
    </row>
    <row r="115" spans="1:15" s="412" customFormat="1" ht="3" customHeight="1">
      <c r="A115" s="446" t="s">
        <v>540</v>
      </c>
      <c r="C115" s="447"/>
      <c r="D115" s="448"/>
      <c r="E115" s="449">
        <f>-E85-E86-E87+E88+E98-E97+E101+E103+E110+E111</f>
        <v>0</v>
      </c>
      <c r="F115" s="449">
        <f>-F85-F86-F87+F88+F98-F97+F101+F103+F110+F111</f>
        <v>0</v>
      </c>
      <c r="G115" s="449">
        <f>-G85-G86-G87+G88+G98-G97+G101+G103+G110+G111</f>
        <v>0</v>
      </c>
      <c r="H115" s="449">
        <f>-H85-H86-H87+H88+H98-H97+H101+H103+H110+H111</f>
        <v>0</v>
      </c>
      <c r="I115" s="449">
        <f>-I85-I86-I87+I88+I98-I97+I101+I103+I110+I111</f>
        <v>0</v>
      </c>
      <c r="K115" s="449">
        <f>-K85-K86-K87+K88+K98-K97+K101+K103+K110+K111</f>
        <v>0</v>
      </c>
      <c r="L115" s="449">
        <f>-L85-L86-L87+L88+L98-L97+L101+L103+L110+L111</f>
        <v>0</v>
      </c>
      <c r="M115" s="449">
        <f>-M85-M86-M87+M88+M98-M97+M101+M103+M110+M111</f>
        <v>0</v>
      </c>
      <c r="N115" s="449">
        <f>-N85-N86-N87+N88+N98-N97+N101+N103+N110+N111</f>
        <v>0</v>
      </c>
      <c r="O115" s="449">
        <f>-O85-O86-O87+O88+O98-O97+O101+O103+O110+O111</f>
        <v>0</v>
      </c>
    </row>
    <row r="116" spans="1:15" ht="20.100000000000001" customHeight="1">
      <c r="B116" s="1253" t="s">
        <v>37</v>
      </c>
      <c r="C116" s="1254">
        <v>2052</v>
      </c>
      <c r="D116" s="779" t="s">
        <v>38</v>
      </c>
      <c r="E116" s="1406"/>
      <c r="F116" s="1406"/>
      <c r="G116" s="1406"/>
      <c r="H116" s="1406"/>
      <c r="I116" s="777"/>
      <c r="K116" s="753"/>
      <c r="L116" s="1406"/>
      <c r="M116" s="1406"/>
      <c r="N116" s="1406"/>
      <c r="O116" s="777"/>
    </row>
    <row r="117" spans="1:15" ht="20.100000000000001" customHeight="1">
      <c r="B117" s="1429" t="s">
        <v>347</v>
      </c>
      <c r="C117" s="1434">
        <v>2052</v>
      </c>
      <c r="D117" s="454" t="s">
        <v>39</v>
      </c>
      <c r="E117" s="1408"/>
      <c r="F117" s="1408"/>
      <c r="G117" s="1408"/>
      <c r="H117" s="1408"/>
      <c r="I117" s="780"/>
      <c r="K117" s="801"/>
      <c r="L117" s="1408"/>
      <c r="M117" s="1408"/>
      <c r="N117" s="1408"/>
      <c r="O117" s="780"/>
    </row>
    <row r="118" spans="1:15" ht="20.100000000000001" customHeight="1">
      <c r="B118" s="1429" t="s">
        <v>211</v>
      </c>
      <c r="C118" s="1434">
        <v>2052</v>
      </c>
      <c r="D118" s="454" t="s">
        <v>135</v>
      </c>
      <c r="E118" s="1408"/>
      <c r="F118" s="1408"/>
      <c r="G118" s="1408"/>
      <c r="H118" s="1408"/>
      <c r="I118" s="780"/>
      <c r="K118" s="801"/>
      <c r="L118" s="1408"/>
      <c r="M118" s="1408"/>
      <c r="N118" s="1408"/>
      <c r="O118" s="780"/>
    </row>
    <row r="119" spans="1:15" ht="20.100000000000001" customHeight="1">
      <c r="B119" s="1429" t="s">
        <v>547</v>
      </c>
      <c r="C119" s="1434">
        <v>2056</v>
      </c>
      <c r="D119" s="454" t="s">
        <v>153</v>
      </c>
      <c r="E119" s="1408"/>
      <c r="F119" s="1408"/>
      <c r="G119" s="1420"/>
      <c r="H119" s="1420"/>
      <c r="I119" s="780"/>
      <c r="K119" s="801"/>
      <c r="L119" s="1408"/>
      <c r="M119" s="1408"/>
      <c r="N119" s="1408"/>
      <c r="O119" s="780"/>
    </row>
    <row r="120" spans="1:15" ht="20.100000000000001" customHeight="1">
      <c r="B120" s="1429" t="s">
        <v>575</v>
      </c>
      <c r="C120" s="1445" t="s">
        <v>166</v>
      </c>
      <c r="D120" s="456" t="s">
        <v>40</v>
      </c>
      <c r="E120" s="1408"/>
      <c r="F120" s="1408"/>
      <c r="G120" s="1408"/>
      <c r="H120" s="1408"/>
      <c r="I120" s="780"/>
      <c r="K120" s="801"/>
      <c r="L120" s="1408"/>
      <c r="M120" s="1408"/>
      <c r="N120" s="1408"/>
      <c r="O120" s="780"/>
    </row>
    <row r="121" spans="1:15" ht="20.100000000000001" customHeight="1">
      <c r="B121" s="1252" t="s">
        <v>409</v>
      </c>
      <c r="C121" s="1049">
        <v>2052</v>
      </c>
      <c r="D121" s="455" t="s">
        <v>133</v>
      </c>
      <c r="E121" s="1407"/>
      <c r="F121" s="1407"/>
      <c r="G121" s="1407"/>
      <c r="H121" s="1407"/>
      <c r="I121" s="778"/>
      <c r="K121" s="733"/>
      <c r="L121" s="1407"/>
      <c r="M121" s="1407"/>
      <c r="N121" s="1407"/>
      <c r="O121" s="778"/>
    </row>
    <row r="122" spans="1:15" s="254" customFormat="1" ht="21.9" customHeight="1">
      <c r="A122" s="1205"/>
      <c r="B122" s="1952" t="s">
        <v>509</v>
      </c>
      <c r="C122" s="1953"/>
      <c r="D122" s="1953"/>
      <c r="E122" s="1478" t="str">
        <f>IF(ca_1=0," ",SUM(E116:E121))</f>
        <v xml:space="preserve"> </v>
      </c>
      <c r="F122" s="1478" t="str">
        <f>IF(ca_2=0," ",SUM(F116:F121))</f>
        <v xml:space="preserve"> </v>
      </c>
      <c r="G122" s="1478" t="str">
        <f>IF(ca_3=0," ",SUM(G116:G121))</f>
        <v xml:space="preserve"> </v>
      </c>
      <c r="H122" s="1478" t="str">
        <f>IF(ca_4=0," ",SUM(H116:H121))</f>
        <v xml:space="preserve"> </v>
      </c>
      <c r="I122" s="879" t="str">
        <f>IF(ca_5=0," ",SUM(I116:I121))</f>
        <v xml:space="preserve"> </v>
      </c>
      <c r="K122" s="880" t="str">
        <f>IF(K29=0," ",SUM(K116:K121))</f>
        <v xml:space="preserve"> </v>
      </c>
      <c r="L122" s="1478" t="str">
        <f>IF(L29=0," ",SUM(L116:L121))</f>
        <v xml:space="preserve"> </v>
      </c>
      <c r="M122" s="1478" t="str">
        <f>IF(M29=0," ",SUM(M116:M121))</f>
        <v xml:space="preserve"> </v>
      </c>
      <c r="N122" s="1478" t="str">
        <f>IF(N29=0," ",SUM(N116:N121))</f>
        <v xml:space="preserve"> </v>
      </c>
      <c r="O122" s="879" t="str">
        <f>IF(O29=0," ",SUM(O116:O121))</f>
        <v xml:space="preserve"> </v>
      </c>
    </row>
    <row r="123" spans="1:15" ht="20.100000000000001" customHeight="1">
      <c r="B123" s="1461" t="s">
        <v>151</v>
      </c>
      <c r="C123" s="1457">
        <v>2056</v>
      </c>
      <c r="D123" s="453" t="s">
        <v>152</v>
      </c>
      <c r="E123" s="1407"/>
      <c r="F123" s="1407"/>
      <c r="G123" s="1407"/>
      <c r="H123" s="1407"/>
      <c r="I123" s="778"/>
      <c r="K123" s="733"/>
      <c r="L123" s="1407"/>
      <c r="M123" s="1407"/>
      <c r="N123" s="1407"/>
      <c r="O123" s="778"/>
    </row>
    <row r="124" spans="1:15" ht="20.100000000000001" customHeight="1">
      <c r="B124" s="1429" t="s">
        <v>41</v>
      </c>
      <c r="C124" s="1434">
        <v>2052</v>
      </c>
      <c r="D124" s="454" t="s">
        <v>42</v>
      </c>
      <c r="E124" s="1408"/>
      <c r="F124" s="1408"/>
      <c r="G124" s="1408"/>
      <c r="H124" s="1408"/>
      <c r="I124" s="780"/>
      <c r="K124" s="801"/>
      <c r="L124" s="1408"/>
      <c r="M124" s="1408"/>
      <c r="N124" s="1408"/>
      <c r="O124" s="780"/>
    </row>
    <row r="125" spans="1:15" ht="20.100000000000001" customHeight="1">
      <c r="B125" s="1251" t="s">
        <v>31</v>
      </c>
      <c r="C125" s="1255"/>
      <c r="D125" s="461"/>
      <c r="E125" s="1423" t="str">
        <f>IF(ca_1=0," ",E74+E76-E111)</f>
        <v xml:space="preserve"> </v>
      </c>
      <c r="F125" s="1423" t="str">
        <f>IF(ca_2=0," ",F74+F76-F111)</f>
        <v xml:space="preserve"> </v>
      </c>
      <c r="G125" s="1423" t="str">
        <f>IF(ca_3=0," ",G74+G76-G111)</f>
        <v xml:space="preserve"> </v>
      </c>
      <c r="H125" s="1423" t="str">
        <f>IF(ca_4=0," ",H74+H76-H111)</f>
        <v xml:space="preserve"> </v>
      </c>
      <c r="I125" s="793" t="str">
        <f>IF(ca_5=0," ",I74+I76-I111)</f>
        <v xml:space="preserve"> </v>
      </c>
      <c r="K125" s="811" t="str">
        <f>IF(K29=0," ",K74+K76-K111)</f>
        <v xml:space="preserve"> </v>
      </c>
      <c r="L125" s="1423" t="str">
        <f>IF(L29=0," ",L74+L76-L111)</f>
        <v xml:space="preserve"> </v>
      </c>
      <c r="M125" s="1423" t="str">
        <f>IF(M29=0," ",M74+M76-M111)</f>
        <v xml:space="preserve"> </v>
      </c>
      <c r="N125" s="1423" t="str">
        <f>IF(N29=0," ",N74+N76-N111)</f>
        <v xml:space="preserve"> </v>
      </c>
      <c r="O125" s="793" t="str">
        <f>IF(O29=0," ",O74+O76-O111)</f>
        <v xml:space="preserve"> </v>
      </c>
    </row>
    <row r="126" spans="1:15" s="254" customFormat="1" ht="18" customHeight="1">
      <c r="A126" s="1205"/>
      <c r="B126" s="1946" t="s">
        <v>200</v>
      </c>
      <c r="C126" s="1521" t="s">
        <v>219</v>
      </c>
      <c r="D126" s="1089" t="str">
        <f>IF(ISBLANK(u)," ",u)</f>
        <v xml:space="preserve"> </v>
      </c>
      <c r="E126" s="1479" t="str">
        <f>IF(ca_1=0," ",IF((E124+E125-E118-E121)&lt;0,0,E124+E125-E118-E121))</f>
        <v xml:space="preserve"> </v>
      </c>
      <c r="F126" s="1479" t="str">
        <f>IF(ca_2=0," ",IF((F124+F125-F118-F121)&lt;0,0,F124+F125-F118-F121))</f>
        <v xml:space="preserve"> </v>
      </c>
      <c r="G126" s="1479" t="str">
        <f>IF(ca_3=0," ",IF((G124+G125-G118-G121)&lt;0,0,G124+G125-G118-G121))</f>
        <v xml:space="preserve"> </v>
      </c>
      <c r="H126" s="1479" t="str">
        <f>IF(ca_4=0," ",IF((H124+H125-H118-H121)&lt;0,0,H124+H125-H118-H121))</f>
        <v xml:space="preserve"> </v>
      </c>
      <c r="I126" s="1090" t="str">
        <f>IF(ca_5=0," ",IF((I124+I125-I118-I121)&lt;0,0,I124+I125-I118-I121))</f>
        <v xml:space="preserve"> </v>
      </c>
      <c r="K126" s="1091" t="str">
        <f>IF(K29=0," ",IF((K124+K125-K118-K121)&lt;0,0,K124+K125-K118-K121))</f>
        <v xml:space="preserve"> </v>
      </c>
      <c r="L126" s="1479" t="str">
        <f>IF(L29=0," ",IF((L124+L125-L118-L121)&lt;0,0,L124+L125-L118-L121))</f>
        <v xml:space="preserve"> </v>
      </c>
      <c r="M126" s="1479" t="str">
        <f>IF(M29=0," ",IF((M124+M125-M118-M121)&lt;0,0,M124+M125-M118-M121))</f>
        <v xml:space="preserve"> </v>
      </c>
      <c r="N126" s="1479" t="str">
        <f>IF(N29=0," ",IF((N124+N125-N118-N121)&lt;0,0,N124+N125-N118-N121))</f>
        <v xml:space="preserve"> </v>
      </c>
      <c r="O126" s="1090" t="str">
        <f>IF(O29=0," ",IF((O124+O125-O118-O121)&lt;0,0,O124+O125-O118-O121))</f>
        <v xml:space="preserve"> </v>
      </c>
    </row>
    <row r="127" spans="1:15" ht="18" customHeight="1">
      <c r="B127" s="1947"/>
      <c r="C127" s="2021" t="s">
        <v>519</v>
      </c>
      <c r="D127" s="2022"/>
      <c r="E127" s="1480" t="str">
        <f>IF(I_1=" "," ",I_1/ebe_1)</f>
        <v xml:space="preserve"> </v>
      </c>
      <c r="F127" s="1480" t="str">
        <f>IF(I_2=" "," ",I_2/ebe_2)</f>
        <v xml:space="preserve"> </v>
      </c>
      <c r="G127" s="1480" t="str">
        <f>IF(I_3=" "," ",I_3/ebe_3)</f>
        <v xml:space="preserve"> </v>
      </c>
      <c r="H127" s="1480" t="str">
        <f>IF(I_4=" "," ",I_4/ebe_4)</f>
        <v xml:space="preserve"> </v>
      </c>
      <c r="I127" s="1092" t="str">
        <f>IF(I_5=" "," ",I_5/ebe_5)</f>
        <v xml:space="preserve"> </v>
      </c>
      <c r="K127" s="1093" t="str">
        <f>IF(K126=" "," ",K126/K104)</f>
        <v xml:space="preserve"> </v>
      </c>
      <c r="L127" s="1480" t="str">
        <f>IF(L126=" "," ",L126/L104)</f>
        <v xml:space="preserve"> </v>
      </c>
      <c r="M127" s="1480" t="str">
        <f>IF(M126=" "," ",M126/M104)</f>
        <v xml:space="preserve"> </v>
      </c>
      <c r="N127" s="1480" t="str">
        <f>IF(N126=" "," ",N126/N104)</f>
        <v xml:space="preserve"> </v>
      </c>
      <c r="O127" s="1092" t="str">
        <f>IF(O126=" "," ",O126/O104)</f>
        <v xml:space="preserve"> </v>
      </c>
    </row>
    <row r="128" spans="1:15" ht="20.100000000000001" customHeight="1">
      <c r="B128" s="1462" t="s">
        <v>322</v>
      </c>
      <c r="C128" s="1049">
        <v>2052</v>
      </c>
      <c r="D128" s="1463" t="s">
        <v>134</v>
      </c>
      <c r="E128" s="1481"/>
      <c r="F128" s="1481"/>
      <c r="G128" s="1407"/>
      <c r="H128" s="1407"/>
      <c r="I128" s="778"/>
      <c r="K128" s="733"/>
      <c r="L128" s="1407"/>
      <c r="M128" s="1407"/>
      <c r="N128" s="1407"/>
      <c r="O128" s="778"/>
    </row>
    <row r="129" spans="1:15" s="254" customFormat="1" ht="21.9" customHeight="1">
      <c r="A129" s="1205"/>
      <c r="B129" s="1952" t="s">
        <v>510</v>
      </c>
      <c r="C129" s="1953"/>
      <c r="D129" s="1953"/>
      <c r="E129" s="1478" t="str">
        <f>IF(ca_1=0," ",SUM(E123:E125)+E128)</f>
        <v xml:space="preserve"> </v>
      </c>
      <c r="F129" s="1478" t="str">
        <f>IF(ca_2=0," ",SUM(F123:F125)+F128)</f>
        <v xml:space="preserve"> </v>
      </c>
      <c r="G129" s="1478" t="str">
        <f>IF(ca_3=0," ",SUM(G123:G125)+G128)</f>
        <v xml:space="preserve"> </v>
      </c>
      <c r="H129" s="1478" t="str">
        <f>IF(ca_4=0," ",SUM(H123:H125)+H128)</f>
        <v xml:space="preserve"> </v>
      </c>
      <c r="I129" s="879" t="str">
        <f>IF(ca_5=0," ",SUM(I123:I125)+I128)</f>
        <v xml:space="preserve"> </v>
      </c>
      <c r="K129" s="880" t="str">
        <f>IF(K29=0," ",SUM(K123:K125)+K128)</f>
        <v xml:space="preserve"> </v>
      </c>
      <c r="L129" s="1478" t="str">
        <f>IF(L29=0," ",SUM(L123:L125)+L128)</f>
        <v xml:space="preserve"> </v>
      </c>
      <c r="M129" s="1478" t="str">
        <f>IF(M29=0," ",SUM(M123:M125)+M128)</f>
        <v xml:space="preserve"> </v>
      </c>
      <c r="N129" s="1478" t="str">
        <f>IF(N29=0," ",SUM(N123:N125)+N128)</f>
        <v xml:space="preserve"> </v>
      </c>
      <c r="O129" s="879" t="str">
        <f>IF(O29=0," ",SUM(O123:O125)+O128)</f>
        <v xml:space="preserve"> </v>
      </c>
    </row>
    <row r="130" spans="1:15" ht="21.9" customHeight="1">
      <c r="B130" s="1961" t="s">
        <v>195</v>
      </c>
      <c r="C130" s="1962"/>
      <c r="D130" s="1962"/>
      <c r="E130" s="1508" t="str">
        <f>IF(ca_1=0," ",E122-E129)</f>
        <v xml:space="preserve"> </v>
      </c>
      <c r="F130" s="1508" t="str">
        <f>IF(ca_2=0," ",F122-F129)</f>
        <v xml:space="preserve"> </v>
      </c>
      <c r="G130" s="1508" t="str">
        <f>IF(ca_3=0," ",G122-G129)</f>
        <v xml:space="preserve"> </v>
      </c>
      <c r="H130" s="1508" t="str">
        <f>IF(ca_4=0," ",H122-H129)</f>
        <v xml:space="preserve"> </v>
      </c>
      <c r="I130" s="1509" t="str">
        <f>IF(ca_5=0," ",I122-I129)</f>
        <v xml:space="preserve"> </v>
      </c>
      <c r="K130" s="1510" t="str">
        <f>IF(K29=0," ",K122-K129)</f>
        <v xml:space="preserve"> </v>
      </c>
      <c r="L130" s="1508" t="str">
        <f>IF(L29=0," ",L122-L129)</f>
        <v xml:space="preserve"> </v>
      </c>
      <c r="M130" s="1508" t="str">
        <f>IF(M29=0," ",M122-M129)</f>
        <v xml:space="preserve"> </v>
      </c>
      <c r="N130" s="1508" t="str">
        <f>IF(N29=0," ",N122-N129)</f>
        <v xml:space="preserve"> </v>
      </c>
      <c r="O130" s="1509" t="str">
        <f>IF(O29=0," ",O122-O129)</f>
        <v xml:space="preserve"> </v>
      </c>
    </row>
    <row r="131" spans="1:15" s="412" customFormat="1" ht="3" customHeight="1">
      <c r="A131" s="446" t="s">
        <v>540</v>
      </c>
      <c r="B131" s="1511"/>
      <c r="C131" s="450"/>
      <c r="D131" s="451"/>
      <c r="E131" s="449">
        <f>IF(ISERROR(E130/-1),0,E130/-1)</f>
        <v>0</v>
      </c>
      <c r="F131" s="449">
        <f>IF(ISERROR(F130/-1),0,F130/-1)</f>
        <v>0</v>
      </c>
      <c r="G131" s="449">
        <f>IF(ISERROR(G130/-1),0,G130/-1)</f>
        <v>0</v>
      </c>
      <c r="H131" s="449">
        <f>IF(ISERROR(H130/-1),0,H130/-1)</f>
        <v>0</v>
      </c>
      <c r="I131" s="1507">
        <f>IF(ISERROR(I130/-1),0,I130/-1)</f>
        <v>0</v>
      </c>
      <c r="J131" s="452"/>
      <c r="K131" s="821">
        <f t="shared" ref="K131:L131" si="16">IF(ISERROR(K130/-1),0,K130/-1)</f>
        <v>0</v>
      </c>
      <c r="L131" s="449">
        <f t="shared" si="16"/>
        <v>0</v>
      </c>
      <c r="M131" s="449">
        <f t="shared" ref="M131:O131" si="17">IF(ISERROR(M130/-1),0,M130/-1)</f>
        <v>0</v>
      </c>
      <c r="N131" s="449">
        <f t="shared" si="17"/>
        <v>0</v>
      </c>
      <c r="O131" s="820">
        <f t="shared" si="17"/>
        <v>0</v>
      </c>
    </row>
    <row r="132" spans="1:15" s="15" customFormat="1" ht="18" customHeight="1">
      <c r="A132" s="1200"/>
      <c r="B132" s="2049" t="s">
        <v>631</v>
      </c>
      <c r="C132" s="1522" t="s">
        <v>219</v>
      </c>
      <c r="D132" s="1065" t="str">
        <f>IF(ISBLANK(u)," ",u)</f>
        <v xml:space="preserve"> </v>
      </c>
      <c r="E132" s="1066">
        <f>IF(ca_1=0,0,re_1+E130)</f>
        <v>0</v>
      </c>
      <c r="F132" s="1066">
        <f>IF(ca_2=0,0,re_2+F130)</f>
        <v>0</v>
      </c>
      <c r="G132" s="1066">
        <f>IF(ca_3=0,0,re_3+G130)</f>
        <v>0</v>
      </c>
      <c r="H132" s="1066">
        <f>IF(ca_4=0,0,re_4+H130)</f>
        <v>0</v>
      </c>
      <c r="I132" s="1067">
        <f>IF(ca_5=0,0,re_5+I130)</f>
        <v>0</v>
      </c>
      <c r="K132" s="1070">
        <f>IF(K29=0,0,K113+K130)</f>
        <v>0</v>
      </c>
      <c r="L132" s="1094">
        <f>IF(L29=0,0,L113+L130)</f>
        <v>0</v>
      </c>
      <c r="M132" s="1094">
        <f>IF(M29=0,0,M113+M130)</f>
        <v>0</v>
      </c>
      <c r="N132" s="1094">
        <f>IF(N29=0,0,N113+N130)</f>
        <v>0</v>
      </c>
      <c r="O132" s="1095">
        <f>IF(O29=0,0,O113+O130)</f>
        <v>0</v>
      </c>
    </row>
    <row r="133" spans="1:15" s="266" customFormat="1" ht="18" customHeight="1">
      <c r="A133" s="1204"/>
      <c r="B133" s="2050"/>
      <c r="C133" s="1921" t="s">
        <v>532</v>
      </c>
      <c r="D133" s="1922"/>
      <c r="E133" s="356" t="str">
        <f>IF(ca_1=0," ",IF(rc_1=" "," ",rc_1/pr_1))</f>
        <v xml:space="preserve"> </v>
      </c>
      <c r="F133" s="356" t="str">
        <f>IF(ca_2=0," ",IF(rc_2=" "," ",rc_2/pr_2))</f>
        <v xml:space="preserve"> </v>
      </c>
      <c r="G133" s="356" t="str">
        <f>IF(ca_3=0," ",IF(rc_3=" "," ",rc_3/pr_3))</f>
        <v xml:space="preserve"> </v>
      </c>
      <c r="H133" s="356" t="str">
        <f>IF(ca_4=0," ",IF(rc_4=" "," ",rc_4/pr_4))</f>
        <v xml:space="preserve"> </v>
      </c>
      <c r="I133" s="783" t="str">
        <f>IF(ca_5=0," ",IF(rc_5=" "," ",rc_5/pr_5))</f>
        <v xml:space="preserve"> </v>
      </c>
      <c r="K133" s="819" t="str">
        <f>IF(K29=0," ",IF(K132=" "," ",K132/K45))</f>
        <v xml:space="preserve"> </v>
      </c>
      <c r="L133" s="356" t="str">
        <f>IF(L29=0," ",IF(L132=" "," ",L132/L45))</f>
        <v xml:space="preserve"> </v>
      </c>
      <c r="M133" s="356" t="str">
        <f>IF(M29=0," ",IF(M132=" "," ",M132/M45))</f>
        <v xml:space="preserve"> </v>
      </c>
      <c r="N133" s="356" t="str">
        <f>IF(N29=0," ",IF(N132=" "," ",N132/N45))</f>
        <v xml:space="preserve"> </v>
      </c>
      <c r="O133" s="783" t="str">
        <f>IF(O29=0," ",IF(O132=" "," ",O132/O45))</f>
        <v xml:space="preserve"> </v>
      </c>
    </row>
    <row r="134" spans="1:15" s="8" customFormat="1" ht="6" customHeight="1">
      <c r="A134" s="446"/>
      <c r="C134" s="339"/>
      <c r="D134" s="346"/>
      <c r="E134" s="41"/>
      <c r="F134" s="41"/>
      <c r="G134" s="41"/>
      <c r="H134" s="41"/>
      <c r="I134" s="41"/>
      <c r="J134" s="15"/>
      <c r="K134" s="41"/>
      <c r="L134" s="41"/>
      <c r="M134" s="41"/>
      <c r="N134" s="41"/>
      <c r="O134" s="41"/>
    </row>
    <row r="135" spans="1:15" ht="20.100000000000001" customHeight="1">
      <c r="B135" s="1253" t="s">
        <v>214</v>
      </c>
      <c r="C135" s="1254">
        <v>2053</v>
      </c>
      <c r="D135" s="779" t="s">
        <v>155</v>
      </c>
      <c r="E135" s="1406"/>
      <c r="F135" s="1406"/>
      <c r="G135" s="1406"/>
      <c r="H135" s="1406">
        <v>5000</v>
      </c>
      <c r="I135" s="777"/>
      <c r="J135" s="8"/>
      <c r="K135" s="753"/>
      <c r="L135" s="1406"/>
      <c r="M135" s="1406"/>
      <c r="N135" s="1406"/>
      <c r="O135" s="777"/>
    </row>
    <row r="136" spans="1:15" ht="20.100000000000001" customHeight="1">
      <c r="B136" s="1429" t="s">
        <v>212</v>
      </c>
      <c r="C136" s="1434">
        <v>2053</v>
      </c>
      <c r="D136" s="454" t="s">
        <v>156</v>
      </c>
      <c r="E136" s="1408"/>
      <c r="F136" s="1408"/>
      <c r="G136" s="1408"/>
      <c r="H136" s="1408">
        <v>20000</v>
      </c>
      <c r="I136" s="780"/>
      <c r="K136" s="801"/>
      <c r="L136" s="1408"/>
      <c r="M136" s="1408"/>
      <c r="N136" s="1408"/>
      <c r="O136" s="780"/>
    </row>
    <row r="137" spans="1:15" ht="20.100000000000001" customHeight="1">
      <c r="B137" s="1429" t="s">
        <v>154</v>
      </c>
      <c r="C137" s="1445">
        <v>2056</v>
      </c>
      <c r="D137" s="456" t="s">
        <v>159</v>
      </c>
      <c r="E137" s="1408"/>
      <c r="F137" s="1408"/>
      <c r="G137" s="1408"/>
      <c r="H137" s="1420">
        <v>5000</v>
      </c>
      <c r="I137" s="780"/>
      <c r="K137" s="801"/>
      <c r="L137" s="1408"/>
      <c r="M137" s="1408"/>
      <c r="N137" s="1408"/>
      <c r="O137" s="780"/>
    </row>
    <row r="138" spans="1:15" ht="20.100000000000001" customHeight="1">
      <c r="B138" s="1464" t="s">
        <v>480</v>
      </c>
      <c r="C138" s="1445">
        <v>2056</v>
      </c>
      <c r="D138" s="456" t="s">
        <v>427</v>
      </c>
      <c r="E138" s="1413"/>
      <c r="F138" s="1413"/>
      <c r="G138" s="1413"/>
      <c r="H138" s="1413"/>
      <c r="I138" s="785"/>
      <c r="K138" s="804"/>
      <c r="L138" s="1413"/>
      <c r="M138" s="1413"/>
      <c r="N138" s="1413"/>
      <c r="O138" s="785"/>
    </row>
    <row r="139" spans="1:15" ht="20.100000000000001" customHeight="1">
      <c r="B139" s="1252" t="s">
        <v>575</v>
      </c>
      <c r="C139" s="1457" t="s">
        <v>167</v>
      </c>
      <c r="D139" s="453" t="s">
        <v>161</v>
      </c>
      <c r="E139" s="1407"/>
      <c r="F139" s="1407"/>
      <c r="G139" s="1407"/>
      <c r="H139" s="1407">
        <v>1000</v>
      </c>
      <c r="I139" s="778"/>
      <c r="K139" s="733"/>
      <c r="L139" s="1407"/>
      <c r="M139" s="1407"/>
      <c r="N139" s="1407"/>
      <c r="O139" s="778"/>
    </row>
    <row r="140" spans="1:15" ht="20.100000000000001" customHeight="1">
      <c r="B140" s="1465" t="s">
        <v>213</v>
      </c>
      <c r="C140" s="1469">
        <v>2053</v>
      </c>
      <c r="D140" s="462" t="s">
        <v>157</v>
      </c>
      <c r="E140" s="1471"/>
      <c r="F140" s="1471"/>
      <c r="G140" s="1471"/>
      <c r="H140" s="1471">
        <v>1000</v>
      </c>
      <c r="I140" s="822"/>
      <c r="K140" s="825"/>
      <c r="L140" s="1471"/>
      <c r="M140" s="1471"/>
      <c r="N140" s="1471"/>
      <c r="O140" s="822"/>
    </row>
    <row r="141" spans="1:15" ht="20.100000000000001" customHeight="1">
      <c r="B141" s="1429" t="s">
        <v>215</v>
      </c>
      <c r="C141" s="1434">
        <v>2053</v>
      </c>
      <c r="D141" s="454" t="s">
        <v>158</v>
      </c>
      <c r="E141" s="1408"/>
      <c r="F141" s="1408"/>
      <c r="G141" s="1408"/>
      <c r="H141" s="1408">
        <v>15000</v>
      </c>
      <c r="I141" s="780"/>
      <c r="K141" s="801"/>
      <c r="L141" s="1408"/>
      <c r="M141" s="1408"/>
      <c r="N141" s="1408"/>
      <c r="O141" s="780"/>
    </row>
    <row r="142" spans="1:15" ht="20.100000000000001" customHeight="1">
      <c r="B142" s="1429" t="s">
        <v>216</v>
      </c>
      <c r="C142" s="1445">
        <v>2056</v>
      </c>
      <c r="D142" s="456" t="s">
        <v>160</v>
      </c>
      <c r="E142" s="1408"/>
      <c r="F142" s="1408"/>
      <c r="G142" s="1408"/>
      <c r="H142" s="1408">
        <v>10000</v>
      </c>
      <c r="I142" s="780"/>
      <c r="K142" s="801"/>
      <c r="L142" s="1408"/>
      <c r="M142" s="1408"/>
      <c r="N142" s="1408"/>
      <c r="O142" s="780"/>
    </row>
    <row r="143" spans="1:15" ht="20.100000000000001" customHeight="1">
      <c r="B143" s="1466" t="s">
        <v>482</v>
      </c>
      <c r="C143" s="1457">
        <v>2056</v>
      </c>
      <c r="D143" s="453" t="s">
        <v>481</v>
      </c>
      <c r="E143" s="1416"/>
      <c r="F143" s="1416"/>
      <c r="G143" s="1416"/>
      <c r="H143" s="1416"/>
      <c r="I143" s="787"/>
      <c r="K143" s="734"/>
      <c r="L143" s="1416"/>
      <c r="M143" s="1416"/>
      <c r="N143" s="1416"/>
      <c r="O143" s="787"/>
    </row>
    <row r="144" spans="1:15" ht="21.9" customHeight="1">
      <c r="B144" s="1974" t="s">
        <v>193</v>
      </c>
      <c r="C144" s="2051">
        <v>2053</v>
      </c>
      <c r="D144" s="2051" t="s">
        <v>194</v>
      </c>
      <c r="E144" s="1472" t="str">
        <f>IF(ca_1=0," ",E135+E136+E137+E139-E140-E141-E142)</f>
        <v xml:space="preserve"> </v>
      </c>
      <c r="F144" s="1472" t="str">
        <f>IF(ca_2=0," ",F135+F136+F137+F139-F140-F141-F142)</f>
        <v xml:space="preserve"> </v>
      </c>
      <c r="G144" s="1472" t="str">
        <f>IF(ca_3=0," ",G135+G136+G137+G139-G140-G141-G142)</f>
        <v xml:space="preserve"> </v>
      </c>
      <c r="H144" s="1472" t="str">
        <f>IF(ca_4=0," ",H135+H136+H137+H139-H140-H141-H142)</f>
        <v xml:space="preserve"> </v>
      </c>
      <c r="I144" s="877" t="str">
        <f>IF(ca_5=0," ",I135+I136+I137+I139-I140-I141-I142)</f>
        <v xml:space="preserve"> </v>
      </c>
      <c r="K144" s="878" t="str">
        <f>IF(K29=0," ",K135+K136+K137+K139-K140-K141-K142)</f>
        <v xml:space="preserve"> </v>
      </c>
      <c r="L144" s="1472" t="str">
        <f>IF(L29=0," ",L135+L136+L137+L139-L140-L141-L142)</f>
        <v xml:space="preserve"> </v>
      </c>
      <c r="M144" s="1472" t="str">
        <f>IF(M29=0," ",M135+M136+M137+M139-M140-M141-M142)</f>
        <v xml:space="preserve"> </v>
      </c>
      <c r="N144" s="1472" t="str">
        <f>IF(N29=0," ",N135+N136+N137+N139-N140-N141-N142)</f>
        <v xml:space="preserve"> </v>
      </c>
      <c r="O144" s="877" t="str">
        <f>IF(O29=0," ",O135+O136+O137+O139-O140-O141-O142)</f>
        <v xml:space="preserve"> </v>
      </c>
    </row>
    <row r="145" spans="1:15" ht="20.100000000000001" customHeight="1">
      <c r="B145" s="1461" t="s">
        <v>162</v>
      </c>
      <c r="C145" s="1255">
        <v>2053</v>
      </c>
      <c r="D145" s="455" t="s">
        <v>43</v>
      </c>
      <c r="E145" s="1407"/>
      <c r="F145" s="1407"/>
      <c r="G145" s="1407"/>
      <c r="H145" s="1407"/>
      <c r="I145" s="778"/>
      <c r="K145" s="733"/>
      <c r="L145" s="1407"/>
      <c r="M145" s="1407"/>
      <c r="N145" s="1407"/>
      <c r="O145" s="778"/>
    </row>
    <row r="146" spans="1:15" ht="20.100000000000001" customHeight="1">
      <c r="B146" s="1431" t="s">
        <v>527</v>
      </c>
      <c r="C146" s="1434"/>
      <c r="D146" s="454"/>
      <c r="E146" s="1473" t="str">
        <f>IF(ca_1=0," ",E90)</f>
        <v xml:space="preserve"> </v>
      </c>
      <c r="F146" s="1473" t="str">
        <f>IF(ca_2=0," ",F90)</f>
        <v xml:space="preserve"> </v>
      </c>
      <c r="G146" s="1473" t="str">
        <f>IF(ca_3=0," ",G90)</f>
        <v xml:space="preserve"> </v>
      </c>
      <c r="H146" s="1473" t="str">
        <f>IF(ca_4=0," ",H90)</f>
        <v xml:space="preserve"> </v>
      </c>
      <c r="I146" s="799" t="str">
        <f>IF(ca_5=0," ",I90)</f>
        <v xml:space="preserve"> </v>
      </c>
      <c r="K146" s="817" t="str">
        <f>IF(K29=0," ",K90)</f>
        <v xml:space="preserve"> </v>
      </c>
      <c r="L146" s="1473" t="str">
        <f t="shared" ref="L146:O146" si="18">IF(L29=0," ",L90)</f>
        <v xml:space="preserve"> </v>
      </c>
      <c r="M146" s="1473" t="str">
        <f t="shared" si="18"/>
        <v xml:space="preserve"> </v>
      </c>
      <c r="N146" s="1473" t="str">
        <f t="shared" si="18"/>
        <v xml:space="preserve"> </v>
      </c>
      <c r="O146" s="799" t="str">
        <f t="shared" si="18"/>
        <v xml:space="preserve"> </v>
      </c>
    </row>
    <row r="147" spans="1:15" ht="20.100000000000001" customHeight="1">
      <c r="B147" s="1251" t="s">
        <v>528</v>
      </c>
      <c r="C147" s="1255"/>
      <c r="D147" s="455"/>
      <c r="E147" s="1423" t="str">
        <f>IF(ca_1=0," ",E92)</f>
        <v xml:space="preserve"> </v>
      </c>
      <c r="F147" s="1423" t="str">
        <f>IF(ca_2=0," ",F92)</f>
        <v xml:space="preserve"> </v>
      </c>
      <c r="G147" s="1423" t="str">
        <f>IF(ca_3=0," ",G92)</f>
        <v xml:space="preserve"> </v>
      </c>
      <c r="H147" s="1423" t="str">
        <f>IF(ca_4=0," ",H92)</f>
        <v xml:space="preserve"> </v>
      </c>
      <c r="I147" s="793" t="str">
        <f>IF(ca_5=0," ",I92)</f>
        <v xml:space="preserve"> </v>
      </c>
      <c r="K147" s="811" t="str">
        <f>IF(K29=0," ",K92)</f>
        <v xml:space="preserve"> </v>
      </c>
      <c r="L147" s="1423" t="str">
        <f t="shared" ref="L147:O147" si="19">IF(L29=0," ",L92)</f>
        <v xml:space="preserve"> </v>
      </c>
      <c r="M147" s="1423" t="str">
        <f t="shared" si="19"/>
        <v xml:space="preserve"> </v>
      </c>
      <c r="N147" s="1423" t="str">
        <f t="shared" si="19"/>
        <v xml:space="preserve"> </v>
      </c>
      <c r="O147" s="793" t="str">
        <f t="shared" si="19"/>
        <v xml:space="preserve"> </v>
      </c>
    </row>
    <row r="148" spans="1:15" s="254" customFormat="1" ht="20.100000000000001" customHeight="1">
      <c r="A148" s="1205"/>
      <c r="B148" s="1467" t="s">
        <v>548</v>
      </c>
      <c r="C148" s="1470"/>
      <c r="D148" s="874"/>
      <c r="E148" s="1474" t="str">
        <f>IF(ca_1=0," ",SUM(E145:E147))</f>
        <v xml:space="preserve"> </v>
      </c>
      <c r="F148" s="1474" t="str">
        <f>IF(ca_2=0," ",SUM(F145:F147))</f>
        <v xml:space="preserve"> </v>
      </c>
      <c r="G148" s="1474" t="str">
        <f>IF(ca_3=0," ",SUM(G145:G147))</f>
        <v xml:space="preserve"> </v>
      </c>
      <c r="H148" s="1474" t="str">
        <f>IF(ca_4=0," ",SUM(H145:H147))</f>
        <v xml:space="preserve"> </v>
      </c>
      <c r="I148" s="875" t="str">
        <f>IF(ca_5=0," ",SUM(I145:I147))</f>
        <v xml:space="preserve"> </v>
      </c>
      <c r="K148" s="876" t="str">
        <f>IF(ca_5=0," ",SUM(K145:K147))</f>
        <v xml:space="preserve"> </v>
      </c>
      <c r="L148" s="1474" t="str">
        <f>IF(ca_5=0," ",SUM(L145:L147))</f>
        <v xml:space="preserve"> </v>
      </c>
      <c r="M148" s="1474" t="str">
        <f>IF(ca_5=0," ",SUM(M145:M147))</f>
        <v xml:space="preserve"> </v>
      </c>
      <c r="N148" s="1474" t="str">
        <f>IF(ca_5=0," ",SUM(N145:N147))</f>
        <v xml:space="preserve"> </v>
      </c>
      <c r="O148" s="875" t="str">
        <f>IF(ca_5=0," ",SUM(O145:O147))</f>
        <v xml:space="preserve"> </v>
      </c>
    </row>
    <row r="149" spans="1:15" ht="20.100000000000001" customHeight="1">
      <c r="B149" s="1251" t="s">
        <v>530</v>
      </c>
      <c r="C149" s="1255"/>
      <c r="D149" s="455"/>
      <c r="E149" s="1423" t="str">
        <f>IF(ca_1=0," ",E93)</f>
        <v xml:space="preserve"> </v>
      </c>
      <c r="F149" s="1423" t="str">
        <f>IF(ca_2=0," ",F93)</f>
        <v xml:space="preserve"> </v>
      </c>
      <c r="G149" s="1423" t="str">
        <f>IF(ca_3=0," ",G93)</f>
        <v xml:space="preserve"> </v>
      </c>
      <c r="H149" s="1423" t="str">
        <f>IF(ca_4=0," ",H93)</f>
        <v xml:space="preserve"> </v>
      </c>
      <c r="I149" s="793" t="str">
        <f>IF(ca_5=0," ",I93)</f>
        <v xml:space="preserve"> </v>
      </c>
      <c r="K149" s="811" t="str">
        <f>IF(K29=0," ",K93)</f>
        <v xml:space="preserve"> </v>
      </c>
      <c r="L149" s="1423" t="s">
        <v>478</v>
      </c>
      <c r="M149" s="1423" t="s">
        <v>478</v>
      </c>
      <c r="N149" s="1423" t="s">
        <v>478</v>
      </c>
      <c r="O149" s="793" t="s">
        <v>478</v>
      </c>
    </row>
    <row r="150" spans="1:15" ht="20.100000000000001" customHeight="1">
      <c r="B150" s="1468" t="s">
        <v>44</v>
      </c>
      <c r="C150" s="1047">
        <v>2053</v>
      </c>
      <c r="D150" s="519" t="s">
        <v>45</v>
      </c>
      <c r="E150" s="1475"/>
      <c r="F150" s="1475"/>
      <c r="G150" s="1475"/>
      <c r="H150" s="1475"/>
      <c r="I150" s="823"/>
      <c r="K150" s="1196"/>
      <c r="L150" s="1475"/>
      <c r="M150" s="1475"/>
      <c r="N150" s="1475"/>
      <c r="O150" s="1197"/>
    </row>
    <row r="151" spans="1:15" s="15" customFormat="1" ht="18" customHeight="1">
      <c r="A151" s="1200"/>
      <c r="B151" s="2033" t="s">
        <v>46</v>
      </c>
      <c r="C151" s="1523" t="s">
        <v>219</v>
      </c>
      <c r="D151" s="1096" t="str">
        <f>IF(ISBLANK(u)," ",u)</f>
        <v xml:space="preserve"> </v>
      </c>
      <c r="E151" s="1098" t="str">
        <f>IF(ca_1=0," ",E132+E144-E145-E146-E147-E149-E150)</f>
        <v xml:space="preserve"> </v>
      </c>
      <c r="F151" s="1099" t="str">
        <f>IF(ca_2=0," ",F132+F144-F145-F146-F147-F149-F150)</f>
        <v xml:space="preserve"> </v>
      </c>
      <c r="G151" s="1099" t="str">
        <f>IF(ca_3=0," ",G132+G144-G145-G146-G147-G149-G150)</f>
        <v xml:space="preserve"> </v>
      </c>
      <c r="H151" s="1099" t="str">
        <f>IF(ca_4=0," ",H132+H144-H145-H146-H147-H149-H150)</f>
        <v xml:space="preserve"> </v>
      </c>
      <c r="I151" s="1100" t="str">
        <f>IF(ca_5=0," ",I132+I144-I145-I146-I147-I149-I150)</f>
        <v xml:space="preserve"> </v>
      </c>
      <c r="K151" s="1101" t="str">
        <f>IF(K29=0," ",K132+K144-K145-K146-K147-K149-K150)</f>
        <v xml:space="preserve"> </v>
      </c>
      <c r="L151" s="1099" t="str">
        <f>IF(L29=0," ",L132+L144-L145-L146-L147-L149-L150)</f>
        <v xml:space="preserve"> </v>
      </c>
      <c r="M151" s="1099" t="str">
        <f>IF(M29=0," ",M132+M144-M145-M146-M147-M149-M150)</f>
        <v xml:space="preserve"> </v>
      </c>
      <c r="N151" s="1099" t="str">
        <f>IF(N29=0," ",N132+N144-N145-N146-N147-N149-N150)</f>
        <v xml:space="preserve"> </v>
      </c>
      <c r="O151" s="1100" t="str">
        <f>IF(O29=0," ",O132+O144-O145-O146-O147-O149-O150)</f>
        <v xml:space="preserve"> </v>
      </c>
    </row>
    <row r="152" spans="1:15" s="266" customFormat="1" ht="18" customHeight="1">
      <c r="A152" s="1204"/>
      <c r="B152" s="2034"/>
      <c r="C152" s="2043" t="s">
        <v>532</v>
      </c>
      <c r="D152" s="2044"/>
      <c r="E152" s="355" t="str">
        <f>IF(ca_1=0," ",IF(r_1=" "," ",r_1/pr_1))</f>
        <v xml:space="preserve"> </v>
      </c>
      <c r="F152" s="355" t="str">
        <f>IF(ca_2=0," ",IF(r_2=" "," ",r_2/pr_2))</f>
        <v xml:space="preserve"> </v>
      </c>
      <c r="G152" s="355" t="str">
        <f>IF(ca_3=0," ",IF(r_3=" "," ",r_3/pr_3))</f>
        <v xml:space="preserve"> </v>
      </c>
      <c r="H152" s="355" t="str">
        <f>IF(ca_4=0," ",IF(r_4=" "," ",r_4/pr_4))</f>
        <v xml:space="preserve"> </v>
      </c>
      <c r="I152" s="824" t="str">
        <f>IF(ca_5=0," ",IF(r_5=" "," ",r_5/pr_5))</f>
        <v xml:space="preserve"> </v>
      </c>
      <c r="K152" s="826" t="str">
        <f>IF(K29=0," ",IF(K151=" "," ",K151/K45))</f>
        <v xml:space="preserve"> </v>
      </c>
      <c r="L152" s="355" t="str">
        <f>IF(L29=0," ",IF(L151=" "," ",L151/L45))</f>
        <v xml:space="preserve"> </v>
      </c>
      <c r="M152" s="355" t="str">
        <f>IF(M29=0," ",IF(M151=" "," ",M151/M45))</f>
        <v xml:space="preserve"> </v>
      </c>
      <c r="N152" s="355" t="str">
        <f>IF(N29=0," ",IF(N151=" "," ",N151/N45))</f>
        <v xml:space="preserve"> </v>
      </c>
      <c r="O152" s="824" t="str">
        <f>IF(O29=0," ",IF(O151=" "," ",O151/O45))</f>
        <v xml:space="preserve"> </v>
      </c>
    </row>
    <row r="153" spans="1:15" s="15" customFormat="1" ht="18" customHeight="1">
      <c r="A153" s="1200"/>
      <c r="B153" s="2035" t="s">
        <v>47</v>
      </c>
      <c r="C153" s="1524" t="s">
        <v>219</v>
      </c>
      <c r="D153" s="1097" t="str">
        <f>IF(ISBLANK(u)," ",u)</f>
        <v xml:space="preserve"> </v>
      </c>
      <c r="E153" s="1103" t="str">
        <f>IF(ca_1=0," ",E151+E110+E101-E85+E123-E119-E136-E137+E141+E142)</f>
        <v xml:space="preserve"> </v>
      </c>
      <c r="F153" s="1103" t="str">
        <f>IF(ca_2=0," ",F151+F110+F101-F85+F123-F119-F136-F137+F141+F142)</f>
        <v xml:space="preserve"> </v>
      </c>
      <c r="G153" s="1103" t="str">
        <f>IF(ca_3=0," ",G151+G110+G101-G85+G123-G119-G136-G137+G141+G142)</f>
        <v xml:space="preserve"> </v>
      </c>
      <c r="H153" s="1103" t="str">
        <f>IF(ca_4=0," ",H151+H110+H101-H85+H123-H119-H136-H137+H141+H142)</f>
        <v xml:space="preserve"> </v>
      </c>
      <c r="I153" s="1104" t="str">
        <f>IF(ca_5=0," ",I151+I110+I101-I85+I123-I119-I136-I137+I141+I142)</f>
        <v xml:space="preserve"> </v>
      </c>
      <c r="K153" s="1102" t="str">
        <f>IF(K29=0," ",K151+K110+K101-K85+K123-K119-K136-K137+K141+K142)</f>
        <v xml:space="preserve"> </v>
      </c>
      <c r="L153" s="1103" t="str">
        <f>IF(L29=0," ",L151+L110+L101-L85+L123-L119-L136-L137+L141+L142)</f>
        <v xml:space="preserve"> </v>
      </c>
      <c r="M153" s="1103" t="str">
        <f>IF(M29=0," ",M151+M110+M101-M85+M123-M119-M136-M137+M141+M142)</f>
        <v xml:space="preserve"> </v>
      </c>
      <c r="N153" s="1103" t="str">
        <f>IF(N29=0," ",N151+N110+N101-N85+N123-N119-N136-N137+N141+N142)</f>
        <v xml:space="preserve"> </v>
      </c>
      <c r="O153" s="1104" t="str">
        <f>IF(O29=0," ",O151+O110+O101-O85+O123-O119-O136-O137+O141+O142)</f>
        <v xml:space="preserve"> </v>
      </c>
    </row>
    <row r="154" spans="1:15" s="266" customFormat="1" ht="18" customHeight="1">
      <c r="A154" s="1204"/>
      <c r="B154" s="2036"/>
      <c r="C154" s="2041" t="s">
        <v>532</v>
      </c>
      <c r="D154" s="2042"/>
      <c r="E154" s="868" t="str">
        <f>IF(ca_1=0," ",IF(caf_1=" "," ",caf_1/pr_1))</f>
        <v xml:space="preserve"> </v>
      </c>
      <c r="F154" s="868" t="str">
        <f>IF(ca_2=0," ",IF(caf_2=" "," ",caf_2/pr_2))</f>
        <v xml:space="preserve"> </v>
      </c>
      <c r="G154" s="868" t="str">
        <f>IF(ca_3=0," ",IF(caf_3=" "," ",caf_3/pr_3))</f>
        <v xml:space="preserve"> </v>
      </c>
      <c r="H154" s="868" t="str">
        <f>IF(ca_4=0," ",IF(caf_4=" "," ",caf_4/pr_4))</f>
        <v xml:space="preserve"> </v>
      </c>
      <c r="I154" s="869" t="str">
        <f>IF(ca_5=0," ",IF(caf_5=" "," ",caf_5/pr_5))</f>
        <v xml:space="preserve"> </v>
      </c>
      <c r="K154" s="870" t="str">
        <f>IF(K29=0," ",IF(K153=" "," ",K153/K45))</f>
        <v xml:space="preserve"> </v>
      </c>
      <c r="L154" s="868" t="str">
        <f>IF(L29=0," ",IF(L153=" "," ",L153/L45))</f>
        <v xml:space="preserve"> </v>
      </c>
      <c r="M154" s="868" t="str">
        <f>IF(M29=0," ",IF(M153=" "," ",M153/M45))</f>
        <v xml:space="preserve"> </v>
      </c>
      <c r="N154" s="868" t="str">
        <f>IF(N29=0," ",IF(N153=" "," ",N153/N45))</f>
        <v xml:space="preserve"> </v>
      </c>
      <c r="O154" s="869" t="str">
        <f>IF(O29=0," ",IF(O153=" "," ",O153/O45))</f>
        <v xml:space="preserve"> </v>
      </c>
    </row>
    <row r="155" spans="1:15" s="15" customFormat="1" ht="24.9" customHeight="1">
      <c r="A155" s="1200"/>
      <c r="B155" s="871" t="s">
        <v>176</v>
      </c>
      <c r="C155" s="1525" t="s">
        <v>219</v>
      </c>
      <c r="D155" s="872" t="str">
        <f>IF(ISBLANK(u)," ",u)</f>
        <v xml:space="preserve"> </v>
      </c>
      <c r="E155" s="1482" t="str">
        <f>IF(ca_1=0," ",E153+E111)</f>
        <v xml:space="preserve"> </v>
      </c>
      <c r="F155" s="1482" t="str">
        <f>IF(ca_2=0," ",F153+F111)</f>
        <v xml:space="preserve"> </v>
      </c>
      <c r="G155" s="1482" t="str">
        <f>IF(ca_3=0," ",G153+G111)</f>
        <v xml:space="preserve"> </v>
      </c>
      <c r="H155" s="1482" t="str">
        <f>IF(ca_4=0," ",H153+H111)</f>
        <v xml:space="preserve"> </v>
      </c>
      <c r="I155" s="873" t="str">
        <f>IF(ca_5=0," ",I153+I111)</f>
        <v xml:space="preserve"> </v>
      </c>
      <c r="J155" s="8"/>
      <c r="K155" s="730" t="str">
        <f>IF(K29=0," ",K153+K111)</f>
        <v xml:space="preserve"> </v>
      </c>
      <c r="L155" s="1482" t="str">
        <f>IF(L29=0," ",L153+L111)</f>
        <v xml:space="preserve"> </v>
      </c>
      <c r="M155" s="1482" t="str">
        <f>IF(M29=0," ",M153+M111)</f>
        <v xml:space="preserve"> </v>
      </c>
      <c r="N155" s="1482" t="str">
        <f>IF(N29=0," ",N153+N111)</f>
        <v xml:space="preserve"> </v>
      </c>
      <c r="O155" s="873" t="str">
        <f>IF(O29=0," ",O153+O111)</f>
        <v xml:space="preserve"> </v>
      </c>
    </row>
    <row r="156" spans="1:15" ht="12.75" customHeight="1">
      <c r="B156" s="8"/>
      <c r="C156" s="339"/>
      <c r="E156" s="47"/>
      <c r="F156" s="47"/>
      <c r="G156" s="47"/>
      <c r="I156" s="47"/>
      <c r="J156" s="8"/>
      <c r="K156" s="47"/>
      <c r="L156" s="47"/>
      <c r="M156" s="47"/>
      <c r="N156" s="47"/>
      <c r="O156" s="47"/>
    </row>
    <row r="157" spans="1:15" ht="18" customHeight="1">
      <c r="A157" s="1200" t="s">
        <v>540</v>
      </c>
      <c r="B157" s="2037" t="s">
        <v>541</v>
      </c>
      <c r="C157" s="1526" t="s">
        <v>219</v>
      </c>
      <c r="D157" s="1105" t="s">
        <v>210</v>
      </c>
      <c r="E157" s="1483">
        <f>SUMIF($A$55:$A$131,"="&amp;A157,E55:E131)</f>
        <v>0</v>
      </c>
      <c r="F157" s="1483">
        <f>SUMIF($A$55:$A$131,"="&amp;A157,F55:F131)</f>
        <v>0</v>
      </c>
      <c r="G157" s="1483">
        <f>SUMIF($A$55:$A$131,"="&amp;A157,G55:G131)</f>
        <v>0</v>
      </c>
      <c r="H157" s="1483">
        <f>SUMIF($A$55:$A$131,"="&amp;A157,H55:H131)</f>
        <v>0</v>
      </c>
      <c r="I157" s="1106">
        <f>SUMIF($A$55:$A$131,"="&amp;A157,I55:I131)</f>
        <v>0</v>
      </c>
      <c r="J157" s="266"/>
      <c r="K157" s="1107">
        <f>SUMIF($A$55:$A$131,"="&amp;A157,K55:K131)</f>
        <v>0</v>
      </c>
      <c r="L157" s="1483">
        <f>SUMIF($A$55:$A$131,"="&amp;A157,L55:L131)</f>
        <v>0</v>
      </c>
      <c r="M157" s="1483">
        <f>SUMIF($A$55:$A$131,"="&amp;A157,M55:M131)</f>
        <v>0</v>
      </c>
      <c r="N157" s="1483">
        <f>SUMIF($A$55:$A$131,"="&amp;A157,N55:N131)</f>
        <v>0</v>
      </c>
      <c r="O157" s="1106">
        <f>SUMIF($A$55:$A$131,"="&amp;A157,O55:O131)</f>
        <v>0</v>
      </c>
    </row>
    <row r="158" spans="1:15" ht="18" customHeight="1">
      <c r="B158" s="2038"/>
      <c r="C158" s="2045" t="s">
        <v>532</v>
      </c>
      <c r="D158" s="2046"/>
      <c r="E158" s="1484" t="str">
        <f>IF(ISERROR(E157/pr_1)," ",E157/pr_1)</f>
        <v xml:space="preserve"> </v>
      </c>
      <c r="F158" s="1484" t="str">
        <f>IF(ISERROR(F157/pr_2)," ",F157/pr_2)</f>
        <v xml:space="preserve"> </v>
      </c>
      <c r="G158" s="1484" t="str">
        <f>IF(ISERROR(G157/pr_3)," ",G157/pr_3)</f>
        <v xml:space="preserve"> </v>
      </c>
      <c r="H158" s="1484" t="str">
        <f>IF(ISERROR(H157/pr_4)," ",H157/pr_4)</f>
        <v xml:space="preserve"> </v>
      </c>
      <c r="I158" s="827" t="str">
        <f>IF(ISERROR(I157/pr_5)," ",I157/pr_5)</f>
        <v xml:space="preserve"> </v>
      </c>
      <c r="J158" s="263"/>
      <c r="K158" s="829" t="str">
        <f>IF(ISERROR(K157/K45)," ",K157/K45)</f>
        <v xml:space="preserve"> </v>
      </c>
      <c r="L158" s="1484" t="str">
        <f>IF(ISERROR(L157/L45)," ",L157/L45)</f>
        <v xml:space="preserve"> </v>
      </c>
      <c r="M158" s="1484" t="str">
        <f>IF(ISERROR(M157/M45)," ",M157/M45)</f>
        <v xml:space="preserve"> </v>
      </c>
      <c r="N158" s="1484" t="str">
        <f>IF(ISERROR(N157/N45)," ",N157/N45)</f>
        <v xml:space="preserve"> </v>
      </c>
      <c r="O158" s="827" t="str">
        <f>IF(ISERROR(O157/O45)," ",O157/O45)</f>
        <v xml:space="preserve"> </v>
      </c>
    </row>
    <row r="159" spans="1:15" ht="18" customHeight="1">
      <c r="A159" s="1200" t="s">
        <v>534</v>
      </c>
      <c r="B159" s="2039" t="s">
        <v>542</v>
      </c>
      <c r="C159" s="1526" t="s">
        <v>219</v>
      </c>
      <c r="D159" s="1105" t="s">
        <v>210</v>
      </c>
      <c r="E159" s="1483">
        <f>SUMIF($A$55:$A$131,"="&amp;A159,E55:E131)</f>
        <v>0</v>
      </c>
      <c r="F159" s="1483">
        <f>SUMIF($A$55:$A$131,"="&amp;A159,F55:F131)</f>
        <v>0</v>
      </c>
      <c r="G159" s="1483">
        <f>SUMIF($A$55:$A$131,"="&amp;A159,G55:G131)</f>
        <v>0</v>
      </c>
      <c r="H159" s="1483">
        <f>SUMIF($A$55:$A$131,"="&amp;A159,H55:H131)</f>
        <v>0</v>
      </c>
      <c r="I159" s="1106">
        <f>SUMIF($A$55:$A$131,"="&amp;A159,I55:I131)</f>
        <v>0</v>
      </c>
      <c r="K159" s="1107">
        <f>SUMIF($A$55:$A$131,"="&amp;A159,K55:K131)</f>
        <v>0</v>
      </c>
      <c r="L159" s="1483">
        <f>SUMIF($A$55:$A$131,"="&amp;A159,L55:L131)</f>
        <v>0</v>
      </c>
      <c r="M159" s="1483">
        <f>SUMIF($A$55:$A$131,"="&amp;A159,M55:M131)</f>
        <v>0</v>
      </c>
      <c r="N159" s="1483">
        <f>SUMIF($A$55:$A$131,"="&amp;A159,N55:N131)</f>
        <v>0</v>
      </c>
      <c r="O159" s="1106">
        <f>SUMIF($A$55:$A$131,"="&amp;A159,O55:O131)</f>
        <v>0</v>
      </c>
    </row>
    <row r="160" spans="1:15" ht="18" customHeight="1">
      <c r="B160" s="2040"/>
      <c r="C160" s="2047" t="s">
        <v>532</v>
      </c>
      <c r="D160" s="2048"/>
      <c r="E160" s="1485" t="str">
        <f>IF(ISERROR(E159/pr_1)," ",E159/pr_1)</f>
        <v xml:space="preserve"> </v>
      </c>
      <c r="F160" s="1485" t="str">
        <f>IF(ISERROR(F159/pr_2)," ",F159/pr_2)</f>
        <v xml:space="preserve"> </v>
      </c>
      <c r="G160" s="1485" t="str">
        <f>IF(ISERROR(G159/pr_3)," ",G159/pr_3)</f>
        <v xml:space="preserve"> </v>
      </c>
      <c r="H160" s="1485" t="str">
        <f>IF(ISERROR(H159/pr_4)," ",H159/pr_4)</f>
        <v xml:space="preserve"> </v>
      </c>
      <c r="I160" s="828" t="str">
        <f>IF(ISERROR(I159/pr_5)," ",I159/pr_5)</f>
        <v xml:space="preserve"> </v>
      </c>
      <c r="J160" s="263"/>
      <c r="K160" s="830" t="str">
        <f>IF(ISERROR(K159/K45)," ",K159/K45)</f>
        <v xml:space="preserve"> </v>
      </c>
      <c r="L160" s="1485" t="str">
        <f>IF(ISERROR(L159/L45)," ",L159/L45)</f>
        <v xml:space="preserve"> </v>
      </c>
      <c r="M160" s="1485" t="str">
        <f>IF(ISERROR(M159/M45)," ",M159/M45)</f>
        <v xml:space="preserve"> </v>
      </c>
      <c r="N160" s="1485" t="str">
        <f>IF(ISERROR(N159/N45)," ",N159/N45)</f>
        <v xml:space="preserve"> </v>
      </c>
      <c r="O160" s="828" t="str">
        <f>IF(ISERROR(O159/O45)," ",O159/O45)</f>
        <v xml:space="preserve"> </v>
      </c>
    </row>
    <row r="161" spans="1:15" ht="3" customHeight="1">
      <c r="B161" s="283"/>
      <c r="C161" s="354"/>
      <c r="D161" s="349"/>
      <c r="E161" s="284"/>
      <c r="F161" s="284"/>
      <c r="G161" s="284"/>
      <c r="H161" s="27"/>
      <c r="I161" s="4"/>
      <c r="K161" s="4"/>
      <c r="L161" s="4"/>
      <c r="M161" s="4"/>
      <c r="N161" s="4"/>
      <c r="O161" s="4"/>
    </row>
    <row r="162" spans="1:15" ht="20.100000000000001" customHeight="1">
      <c r="B162" s="2059" t="s">
        <v>543</v>
      </c>
      <c r="C162" s="2060"/>
      <c r="D162" s="2060"/>
      <c r="E162" s="1486">
        <f>pr_1-E157-E159</f>
        <v>0</v>
      </c>
      <c r="F162" s="1486">
        <f>pr_2-F157-F159</f>
        <v>0</v>
      </c>
      <c r="G162" s="1486">
        <f>pr_3-G157-G159</f>
        <v>0</v>
      </c>
      <c r="H162" s="1486">
        <f>pr_4-H157-H159</f>
        <v>0</v>
      </c>
      <c r="I162" s="831">
        <f>pr_5-I157-I159</f>
        <v>0</v>
      </c>
      <c r="K162" s="833">
        <f>K45-K157-K159</f>
        <v>0</v>
      </c>
      <c r="L162" s="1486">
        <f>L45-L157-L159</f>
        <v>0</v>
      </c>
      <c r="M162" s="1486">
        <f>M45-M157-M159</f>
        <v>0</v>
      </c>
      <c r="N162" s="1486">
        <f>N45-N157-N159</f>
        <v>0</v>
      </c>
      <c r="O162" s="831">
        <f>O45-O157-O159</f>
        <v>0</v>
      </c>
    </row>
    <row r="163" spans="1:15" ht="20.100000000000001" customHeight="1">
      <c r="B163" s="2061" t="s">
        <v>25</v>
      </c>
      <c r="C163" s="2062"/>
      <c r="D163" s="2062"/>
      <c r="E163" s="1487">
        <f>E84</f>
        <v>0</v>
      </c>
      <c r="F163" s="1487">
        <f>F84</f>
        <v>0</v>
      </c>
      <c r="G163" s="1487">
        <f>G84</f>
        <v>0</v>
      </c>
      <c r="H163" s="1487">
        <f>H84</f>
        <v>0</v>
      </c>
      <c r="I163" s="832">
        <f>I84</f>
        <v>0</v>
      </c>
      <c r="K163" s="834">
        <f>K84</f>
        <v>0</v>
      </c>
      <c r="L163" s="1487">
        <f>L84</f>
        <v>0</v>
      </c>
      <c r="M163" s="1487">
        <f>M84</f>
        <v>0</v>
      </c>
      <c r="N163" s="1487">
        <f>N84</f>
        <v>0</v>
      </c>
      <c r="O163" s="832">
        <f>O84</f>
        <v>0</v>
      </c>
    </row>
    <row r="164" spans="1:15" ht="24.9" customHeight="1">
      <c r="B164" s="2063" t="s">
        <v>632</v>
      </c>
      <c r="C164" s="2064"/>
      <c r="D164" s="2064"/>
      <c r="E164" s="359">
        <f>SUM(E162:E163)</f>
        <v>0</v>
      </c>
      <c r="F164" s="359">
        <f>SUM(F162:F163)</f>
        <v>0</v>
      </c>
      <c r="G164" s="359">
        <f>SUM(G162:G163)</f>
        <v>0</v>
      </c>
      <c r="H164" s="359">
        <f>SUM(H162:H163)</f>
        <v>0</v>
      </c>
      <c r="I164" s="360">
        <f>SUM(I162:I163)</f>
        <v>0</v>
      </c>
      <c r="K164" s="732">
        <f t="shared" ref="K164:L164" si="20">SUM(K162:K163)</f>
        <v>0</v>
      </c>
      <c r="L164" s="359">
        <f t="shared" si="20"/>
        <v>0</v>
      </c>
      <c r="M164" s="359">
        <f t="shared" ref="M164:O164" si="21">SUM(M162:M163)</f>
        <v>0</v>
      </c>
      <c r="N164" s="359">
        <f t="shared" si="21"/>
        <v>0</v>
      </c>
      <c r="O164" s="360">
        <f t="shared" si="21"/>
        <v>0</v>
      </c>
    </row>
    <row r="165" spans="1:15" s="387" customFormat="1" ht="15" customHeight="1">
      <c r="A165" s="1206"/>
      <c r="B165" s="385"/>
      <c r="C165" s="1958" t="s">
        <v>633</v>
      </c>
      <c r="D165" s="1959"/>
      <c r="E165" s="386" t="str">
        <f>IF(E164=E132,"ok",E164-E132)</f>
        <v>ok</v>
      </c>
      <c r="F165" s="386" t="str">
        <f t="shared" ref="F165:I165" si="22">IF(F164=F132,"ok",F164-F132)</f>
        <v>ok</v>
      </c>
      <c r="G165" s="386" t="str">
        <f t="shared" si="22"/>
        <v>ok</v>
      </c>
      <c r="H165" s="386" t="str">
        <f t="shared" si="22"/>
        <v>ok</v>
      </c>
      <c r="I165" s="386" t="str">
        <f t="shared" si="22"/>
        <v>ok</v>
      </c>
      <c r="J165" s="385"/>
      <c r="K165" s="386" t="str">
        <f t="shared" ref="K165:O165" si="23">IF(K164=K132,"ok",K164-K132)</f>
        <v>ok</v>
      </c>
      <c r="L165" s="386" t="str">
        <f t="shared" si="23"/>
        <v>ok</v>
      </c>
      <c r="M165" s="386" t="str">
        <f t="shared" si="23"/>
        <v>ok</v>
      </c>
      <c r="N165" s="386" t="str">
        <f t="shared" si="23"/>
        <v>ok</v>
      </c>
      <c r="O165" s="386" t="str">
        <f t="shared" si="23"/>
        <v>ok</v>
      </c>
    </row>
    <row r="166" spans="1:15" ht="18" customHeight="1">
      <c r="B166" s="2065" t="s">
        <v>544</v>
      </c>
      <c r="C166" s="1527" t="s">
        <v>219</v>
      </c>
      <c r="D166" s="1108" t="s">
        <v>210</v>
      </c>
      <c r="E166" s="1488">
        <f>pr_1-E159</f>
        <v>0</v>
      </c>
      <c r="F166" s="1488">
        <f>pr_2-F159</f>
        <v>0</v>
      </c>
      <c r="G166" s="1488">
        <f>pr_3-G159</f>
        <v>0</v>
      </c>
      <c r="H166" s="1488">
        <f>pr_4-H159</f>
        <v>0</v>
      </c>
      <c r="I166" s="1109">
        <f>pr_5-I159</f>
        <v>0</v>
      </c>
      <c r="J166" s="8"/>
      <c r="K166" s="1111">
        <f>K45-K159</f>
        <v>0</v>
      </c>
      <c r="L166" s="1488">
        <f>L45-L159</f>
        <v>0</v>
      </c>
      <c r="M166" s="1488">
        <f>M45-M159</f>
        <v>0</v>
      </c>
      <c r="N166" s="1488">
        <f>N45-N159</f>
        <v>0</v>
      </c>
      <c r="O166" s="1109">
        <f>O45-O159</f>
        <v>0</v>
      </c>
    </row>
    <row r="167" spans="1:15" ht="18" customHeight="1">
      <c r="B167" s="2066"/>
      <c r="C167" s="2067" t="s">
        <v>532</v>
      </c>
      <c r="D167" s="2068"/>
      <c r="E167" s="1489" t="str">
        <f>IF(ISERROR(E166/pr_1)," ",E166/pr_1)</f>
        <v xml:space="preserve"> </v>
      </c>
      <c r="F167" s="1489" t="str">
        <f>IF(ISERROR(F166/pr_2)," ",F166/pr_2)</f>
        <v xml:space="preserve"> </v>
      </c>
      <c r="G167" s="1489" t="str">
        <f>IF(ISERROR(G166/pr_3)," ",G166/pr_3)</f>
        <v xml:space="preserve"> </v>
      </c>
      <c r="H167" s="1489" t="str">
        <f>IF(ISERROR(H166/pr_4)," ",H166/pr_4)</f>
        <v xml:space="preserve"> </v>
      </c>
      <c r="I167" s="1110" t="str">
        <f>IF(ISERROR(I166/pr_5)," ",I166/pr_5)</f>
        <v xml:space="preserve"> </v>
      </c>
      <c r="J167" s="381"/>
      <c r="K167" s="1112" t="str">
        <f>IF(ISERROR(K166/K45)," ",K166/K45)</f>
        <v xml:space="preserve"> </v>
      </c>
      <c r="L167" s="1489" t="str">
        <f>IF(ISERROR(L166/L45)," ",L166/L45)</f>
        <v xml:space="preserve"> </v>
      </c>
      <c r="M167" s="1489" t="str">
        <f>IF(ISERROR(M166/M45)," ",M166/M45)</f>
        <v xml:space="preserve"> </v>
      </c>
      <c r="N167" s="1489" t="str">
        <f>IF(ISERROR(N166/N45)," ",N166/N45)</f>
        <v xml:space="preserve"> </v>
      </c>
      <c r="O167" s="1110" t="str">
        <f>IF(ISERROR(O166/O45)," ",O166/O45)</f>
        <v xml:space="preserve"> </v>
      </c>
    </row>
    <row r="168" spans="1:15" ht="18" customHeight="1">
      <c r="B168" s="2057" t="s">
        <v>599</v>
      </c>
      <c r="C168" s="1528" t="s">
        <v>219</v>
      </c>
      <c r="D168" s="1062" t="s">
        <v>210</v>
      </c>
      <c r="E168" s="1490" t="str">
        <f>IF(ca_1=0," ",E157/E167)</f>
        <v xml:space="preserve"> </v>
      </c>
      <c r="F168" s="1490" t="str">
        <f>IF(ca_2=0," ",F157/F167)</f>
        <v xml:space="preserve"> </v>
      </c>
      <c r="G168" s="1490" t="str">
        <f>IF(ca_3=0," ",G157/G167)</f>
        <v xml:space="preserve"> </v>
      </c>
      <c r="H168" s="1490" t="str">
        <f>IF(ca_4=0," ",H157/H167)</f>
        <v xml:space="preserve"> </v>
      </c>
      <c r="I168" s="1063" t="str">
        <f>IF(ca_5=0," ",I157/I167)</f>
        <v xml:space="preserve"> </v>
      </c>
      <c r="J168" s="8"/>
      <c r="K168" s="1064" t="str">
        <f>IF(K29=0," ",K157/K167)</f>
        <v xml:space="preserve"> </v>
      </c>
      <c r="L168" s="1490" t="str">
        <f>IF(L29=0," ",L157/L167)</f>
        <v xml:space="preserve"> </v>
      </c>
      <c r="M168" s="1490" t="str">
        <f>IF(M29=0," ",M157/M167)</f>
        <v xml:space="preserve"> </v>
      </c>
      <c r="N168" s="1490" t="str">
        <f>IF(N29=0," ",N157/N167)</f>
        <v xml:space="preserve"> </v>
      </c>
      <c r="O168" s="1063" t="str">
        <f>IF(O29=0," ",O157/O167)</f>
        <v xml:space="preserve"> </v>
      </c>
    </row>
    <row r="169" spans="1:15" ht="18" customHeight="1">
      <c r="B169" s="2058"/>
      <c r="C169" s="1956" t="s">
        <v>532</v>
      </c>
      <c r="D169" s="1957"/>
      <c r="E169" s="1491" t="str">
        <f>IF(ISERROR(E168/pr_1)," ",E168/pr_1)</f>
        <v xml:space="preserve"> </v>
      </c>
      <c r="F169" s="1491" t="str">
        <f>IF(ISERROR(F168/pr_2)," ",F168/pr_2)</f>
        <v xml:space="preserve"> </v>
      </c>
      <c r="G169" s="1491" t="str">
        <f>IF(ISERROR(G168/pr_3)," ",G168/pr_3)</f>
        <v xml:space="preserve"> </v>
      </c>
      <c r="H169" s="1491" t="str">
        <f>IF(ISERROR(H168/pr_4)," ",H168/pr_4)</f>
        <v xml:space="preserve"> </v>
      </c>
      <c r="I169" s="837" t="str">
        <f>IF(ISERROR(I168/pr_5)," ",I168/pr_5)</f>
        <v xml:space="preserve"> </v>
      </c>
      <c r="J169" s="382"/>
      <c r="K169" s="838" t="str">
        <f>IF(ISERROR(K168/K45)," ",K168/K45)</f>
        <v xml:space="preserve"> </v>
      </c>
      <c r="L169" s="1491" t="str">
        <f>IF(ISERROR(L168/L45)," ",L168/L45)</f>
        <v xml:space="preserve"> </v>
      </c>
      <c r="M169" s="1491" t="str">
        <f>IF(ISERROR(M168/M45)," ",M168/M45)</f>
        <v xml:space="preserve"> </v>
      </c>
      <c r="N169" s="1491" t="str">
        <f>IF(ISERROR(N168/N45)," ",N168/N45)</f>
        <v xml:space="preserve"> </v>
      </c>
      <c r="O169" s="837" t="str">
        <f>IF(ISERROR(O168/O45)," ",O168/O45)</f>
        <v xml:space="preserve"> </v>
      </c>
    </row>
    <row r="170" spans="1:15" ht="18" customHeight="1">
      <c r="B170" s="2055" t="s">
        <v>699</v>
      </c>
      <c r="C170" s="1529" t="s">
        <v>219</v>
      </c>
      <c r="D170" s="1113" t="s">
        <v>210</v>
      </c>
      <c r="E170" s="1492" t="str">
        <f>IF(ca_1=0," ",(E157-E131)/E167)</f>
        <v xml:space="preserve"> </v>
      </c>
      <c r="F170" s="1492" t="str">
        <f>IF(ca_2=0," ",(F157-F131)/F167)</f>
        <v xml:space="preserve"> </v>
      </c>
      <c r="G170" s="1492" t="str">
        <f>IF(ca_3=0," ",(G157-G131)/G167)</f>
        <v xml:space="preserve"> </v>
      </c>
      <c r="H170" s="1492" t="str">
        <f>IF(ca_4=0," ",(H157-H131)/H167)</f>
        <v xml:space="preserve"> </v>
      </c>
      <c r="I170" s="1114" t="str">
        <f>IF(ca_5=0," ",(I157-I131)/I167)</f>
        <v xml:space="preserve"> </v>
      </c>
      <c r="J170" s="8"/>
      <c r="K170" s="1115" t="str">
        <f>IF(K29=0," ",(K157-K131)/K167)</f>
        <v xml:space="preserve"> </v>
      </c>
      <c r="L170" s="1492" t="str">
        <f>IF(L29=0," ",(L157-L131)/L167)</f>
        <v xml:space="preserve"> </v>
      </c>
      <c r="M170" s="1492" t="str">
        <f>IF(M29=0," ",(M157-M131)/M167)</f>
        <v xml:space="preserve"> </v>
      </c>
      <c r="N170" s="1492" t="str">
        <f>IF(N29=0," ",(N157-N131)/N167)</f>
        <v xml:space="preserve"> </v>
      </c>
      <c r="O170" s="1114" t="str">
        <f>IF(O29=0," ",(O157-O131)/O167)</f>
        <v xml:space="preserve"> </v>
      </c>
    </row>
    <row r="171" spans="1:15" ht="18" customHeight="1">
      <c r="B171" s="2056"/>
      <c r="C171" s="1954" t="s">
        <v>532</v>
      </c>
      <c r="D171" s="1955"/>
      <c r="E171" s="1493" t="str">
        <f>IF(ISERROR(E170/pr_1)," ",E170/pr_1)</f>
        <v xml:space="preserve"> </v>
      </c>
      <c r="F171" s="1493" t="str">
        <f>IF(ISERROR(F170/pr_2)," ",F170/pr_2)</f>
        <v xml:space="preserve"> </v>
      </c>
      <c r="G171" s="1493" t="str">
        <f>IF(ISERROR(G170/pr_3)," ",G170/pr_3)</f>
        <v xml:space="preserve"> </v>
      </c>
      <c r="H171" s="1493" t="str">
        <f>IF(ISERROR(H170/pr_4)," ",H170/pr_4)</f>
        <v xml:space="preserve"> </v>
      </c>
      <c r="I171" s="835" t="str">
        <f>IF(ISERROR(I170/pr_5)," ",I170/pr_5)</f>
        <v xml:space="preserve"> </v>
      </c>
      <c r="J171" s="382"/>
      <c r="K171" s="836" t="str">
        <f>IF(ISERROR(K170/K45)," ",K170/K45)</f>
        <v xml:space="preserve"> </v>
      </c>
      <c r="L171" s="1493" t="str">
        <f>IF(ISERROR(L170/L45)," ",L170/L45)</f>
        <v xml:space="preserve"> </v>
      </c>
      <c r="M171" s="1493" t="str">
        <f>IF(ISERROR(M170/M45)," ",M170/M45)</f>
        <v xml:space="preserve"> </v>
      </c>
      <c r="N171" s="1493" t="str">
        <f>IF(ISERROR(N170/N45)," ",N170/N45)</f>
        <v xml:space="preserve"> </v>
      </c>
      <c r="O171" s="835" t="str">
        <f>IF(ISERROR(O170/O45)," ",O170/O45)</f>
        <v xml:space="preserve"> </v>
      </c>
    </row>
    <row r="172" spans="1:15">
      <c r="B172" s="839"/>
      <c r="C172" s="840"/>
      <c r="D172" s="2072"/>
      <c r="E172" s="2072"/>
    </row>
    <row r="173" spans="1:15" ht="24.9" customHeight="1">
      <c r="B173" s="841" t="s">
        <v>592</v>
      </c>
      <c r="C173" s="2073" t="s">
        <v>477</v>
      </c>
      <c r="D173" s="2074"/>
      <c r="E173" s="842" t="str">
        <f>IF(ISBLANK(d_4)," ",d_4)</f>
        <v xml:space="preserve"> </v>
      </c>
      <c r="F173" s="842" t="str">
        <f>IF(ISBLANK(d_3)," ",d_3)</f>
        <v xml:space="preserve"> </v>
      </c>
      <c r="G173" s="842" t="str">
        <f>IF(ISBLANK(d_2)," ",d_2)</f>
        <v xml:space="preserve"> </v>
      </c>
      <c r="H173" s="842" t="str">
        <f>IF(ISBLANK(d_1)," ",d_1)</f>
        <v xml:space="preserve"> </v>
      </c>
      <c r="I173" s="843" t="str">
        <f>IF(ISBLANK(d)," ",d)</f>
        <v xml:space="preserve"> </v>
      </c>
      <c r="K173" s="844" t="str">
        <f>IF(ISBLANK(d)," ",d-1)</f>
        <v xml:space="preserve"> </v>
      </c>
      <c r="L173" s="842" t="str">
        <f>IF(ISBLANK(d)," ",d-2)</f>
        <v xml:space="preserve"> </v>
      </c>
      <c r="M173" s="842" t="str">
        <f>IF(ISBLANK(d)," ",d-3)</f>
        <v xml:space="preserve"> </v>
      </c>
      <c r="N173" s="842" t="str">
        <f>IF(ISBLANK(d)," ",d-4)</f>
        <v xml:space="preserve"> </v>
      </c>
      <c r="O173" s="843" t="str">
        <f>IF(ISBLANK(d)," ",d-5)</f>
        <v xml:space="preserve"> </v>
      </c>
    </row>
    <row r="174" spans="1:15" ht="24.9" customHeight="1">
      <c r="B174" s="531" t="s">
        <v>593</v>
      </c>
      <c r="C174" s="845"/>
      <c r="D174" s="845"/>
      <c r="E174" s="64"/>
      <c r="F174" s="64"/>
      <c r="G174" s="64"/>
      <c r="H174" s="64"/>
      <c r="I174" s="64"/>
      <c r="J174" s="7"/>
      <c r="K174" s="64"/>
      <c r="L174" s="64"/>
      <c r="M174" s="64"/>
      <c r="N174" s="64"/>
      <c r="O174" s="64"/>
    </row>
    <row r="175" spans="1:15" ht="20.100000000000001" customHeight="1">
      <c r="B175" s="1239" t="s">
        <v>664</v>
      </c>
      <c r="C175" s="2069" t="s">
        <v>663</v>
      </c>
      <c r="D175" s="2070"/>
      <c r="E175" s="1494"/>
      <c r="F175" s="1494"/>
      <c r="G175" s="1494"/>
      <c r="H175" s="1494"/>
      <c r="I175" s="846"/>
      <c r="K175" s="848"/>
      <c r="L175" s="1494"/>
      <c r="M175" s="1494"/>
      <c r="N175" s="1494"/>
      <c r="O175" s="846"/>
    </row>
    <row r="176" spans="1:15" ht="20.100000000000001" customHeight="1">
      <c r="B176" s="1232" t="s">
        <v>655</v>
      </c>
      <c r="C176" s="2071"/>
      <c r="D176" s="2071"/>
      <c r="E176" s="1495"/>
      <c r="F176" s="1495"/>
      <c r="G176" s="1495"/>
      <c r="H176" s="1495"/>
      <c r="I176" s="847"/>
      <c r="K176" s="849"/>
      <c r="L176" s="1495"/>
      <c r="M176" s="1495"/>
      <c r="N176" s="1495"/>
      <c r="O176" s="847"/>
    </row>
    <row r="177" spans="1:16" ht="20.100000000000001" customHeight="1">
      <c r="B177" s="1230" t="s">
        <v>656</v>
      </c>
      <c r="C177" s="2071"/>
      <c r="D177" s="2071"/>
      <c r="E177" s="1496"/>
      <c r="F177" s="1496"/>
      <c r="G177" s="1496"/>
      <c r="H177" s="1496"/>
      <c r="I177" s="1240"/>
      <c r="K177" s="1241"/>
      <c r="L177" s="1496"/>
      <c r="M177" s="1496"/>
      <c r="N177" s="1496"/>
      <c r="O177" s="1240"/>
    </row>
    <row r="178" spans="1:16" ht="20.100000000000001" customHeight="1">
      <c r="B178" s="1230" t="s">
        <v>667</v>
      </c>
      <c r="C178" s="2071"/>
      <c r="D178" s="2071"/>
      <c r="E178" s="1496"/>
      <c r="F178" s="1496"/>
      <c r="G178" s="1496"/>
      <c r="H178" s="1496"/>
      <c r="I178" s="1240"/>
      <c r="K178" s="1241"/>
      <c r="L178" s="1496"/>
      <c r="M178" s="1496"/>
      <c r="N178" s="1496"/>
      <c r="O178" s="1240"/>
    </row>
    <row r="179" spans="1:16" ht="20.100000000000001" customHeight="1">
      <c r="B179" s="1231" t="s">
        <v>657</v>
      </c>
      <c r="C179" s="2071"/>
      <c r="D179" s="2071"/>
      <c r="E179" s="1495"/>
      <c r="F179" s="1495"/>
      <c r="G179" s="1495"/>
      <c r="H179" s="1495"/>
      <c r="I179" s="847"/>
      <c r="K179" s="849"/>
      <c r="L179" s="1495"/>
      <c r="M179" s="1495"/>
      <c r="N179" s="1495"/>
      <c r="O179" s="847"/>
    </row>
    <row r="180" spans="1:16" s="254" customFormat="1" ht="21.9" customHeight="1">
      <c r="A180" s="1205"/>
      <c r="B180" s="1936" t="s">
        <v>665</v>
      </c>
      <c r="C180" s="1937"/>
      <c r="D180" s="1937"/>
      <c r="E180" s="1497">
        <f>SUM(E176:E179)</f>
        <v>0</v>
      </c>
      <c r="F180" s="1497">
        <f t="shared" ref="F180:I180" si="24">SUM(F176:F179)</f>
        <v>0</v>
      </c>
      <c r="G180" s="1497">
        <f t="shared" si="24"/>
        <v>0</v>
      </c>
      <c r="H180" s="1497">
        <f t="shared" si="24"/>
        <v>0</v>
      </c>
      <c r="I180" s="854">
        <f t="shared" si="24"/>
        <v>0</v>
      </c>
      <c r="K180" s="855">
        <f t="shared" ref="K180:O180" si="25">SUM(K176:K179)</f>
        <v>0</v>
      </c>
      <c r="L180" s="1497">
        <f t="shared" si="25"/>
        <v>0</v>
      </c>
      <c r="M180" s="1497">
        <f t="shared" si="25"/>
        <v>0</v>
      </c>
      <c r="N180" s="1497">
        <f t="shared" si="25"/>
        <v>0</v>
      </c>
      <c r="O180" s="854">
        <f t="shared" si="25"/>
        <v>0</v>
      </c>
    </row>
    <row r="181" spans="1:16" ht="3" customHeight="1">
      <c r="D181" s="350"/>
      <c r="E181" s="26"/>
      <c r="F181" s="26"/>
      <c r="G181" s="26"/>
      <c r="I181" s="26"/>
      <c r="K181" s="26"/>
      <c r="L181" s="26"/>
      <c r="M181" s="26"/>
      <c r="N181" s="26"/>
      <c r="O181" s="26"/>
    </row>
    <row r="182" spans="1:16" ht="20.100000000000001" customHeight="1">
      <c r="C182" s="1950" t="s">
        <v>171</v>
      </c>
      <c r="D182" s="1951"/>
      <c r="E182" s="1498" t="str">
        <f>IF(ISERROR(E175/E180)," ",E175/E180)</f>
        <v xml:space="preserve"> </v>
      </c>
      <c r="F182" s="1499" t="str">
        <f>IF(ISERROR(F175/F180)," ",F175/F180)</f>
        <v xml:space="preserve"> </v>
      </c>
      <c r="G182" s="1499" t="str">
        <f>IF(ISERROR(G175/G180)," ",G175/G180)</f>
        <v xml:space="preserve"> </v>
      </c>
      <c r="H182" s="1499" t="str">
        <f>IF(ISERROR(H175/H180)," ",H175/H180)</f>
        <v xml:space="preserve"> </v>
      </c>
      <c r="I182" s="850" t="str">
        <f>IF(ISERROR(I175/I180)," ",I175/I180)</f>
        <v xml:space="preserve"> </v>
      </c>
      <c r="K182" s="852" t="str">
        <f t="shared" ref="K182:O182" si="26">IF(ISERROR(K175/K180)," ",K175/K180)</f>
        <v xml:space="preserve"> </v>
      </c>
      <c r="L182" s="1499" t="str">
        <f t="shared" si="26"/>
        <v xml:space="preserve"> </v>
      </c>
      <c r="M182" s="1499" t="str">
        <f t="shared" si="26"/>
        <v xml:space="preserve"> </v>
      </c>
      <c r="N182" s="1499" t="str">
        <f t="shared" si="26"/>
        <v xml:space="preserve"> </v>
      </c>
      <c r="O182" s="850" t="str">
        <f t="shared" si="26"/>
        <v xml:space="preserve"> </v>
      </c>
    </row>
    <row r="183" spans="1:16" s="263" customFormat="1" ht="20.100000000000001" customHeight="1">
      <c r="A183" s="1204"/>
      <c r="C183" s="1967" t="s">
        <v>573</v>
      </c>
      <c r="D183" s="1968"/>
      <c r="E183" s="1500">
        <v>0.75</v>
      </c>
      <c r="F183" s="1500">
        <v>0.75</v>
      </c>
      <c r="G183" s="1500">
        <v>0.75</v>
      </c>
      <c r="H183" s="1500">
        <v>0.75</v>
      </c>
      <c r="I183" s="851">
        <v>0.75</v>
      </c>
      <c r="K183" s="853">
        <v>0.75</v>
      </c>
      <c r="L183" s="1500">
        <v>0.75</v>
      </c>
      <c r="M183" s="1500">
        <v>0.75</v>
      </c>
      <c r="N183" s="1500">
        <v>0.75</v>
      </c>
      <c r="O183" s="851">
        <v>0.75</v>
      </c>
    </row>
    <row r="184" spans="1:16" ht="24.9" customHeight="1">
      <c r="B184" s="1930" t="s">
        <v>594</v>
      </c>
      <c r="C184" s="1930"/>
      <c r="D184" s="1931"/>
      <c r="E184" s="326">
        <f>IF(E182=" ",E183,E182)</f>
        <v>0.75</v>
      </c>
      <c r="F184" s="326">
        <f>IF(F182=" ",F183,F182)</f>
        <v>0.75</v>
      </c>
      <c r="G184" s="326">
        <f>IF(G182=" ",G183,G182)</f>
        <v>0.75</v>
      </c>
      <c r="H184" s="326">
        <f>IF(H182=" ",H183,H182)</f>
        <v>0.75</v>
      </c>
      <c r="I184" s="326">
        <f>IF(I182=" ",I183,I182)</f>
        <v>0.75</v>
      </c>
      <c r="J184" s="7"/>
      <c r="K184" s="326">
        <f t="shared" ref="K184:O184" si="27">IF(K182=" ",K183,K182)</f>
        <v>0.75</v>
      </c>
      <c r="L184" s="326">
        <f t="shared" si="27"/>
        <v>0.75</v>
      </c>
      <c r="M184" s="326">
        <f t="shared" si="27"/>
        <v>0.75</v>
      </c>
      <c r="N184" s="326">
        <f t="shared" si="27"/>
        <v>0.75</v>
      </c>
      <c r="O184" s="326">
        <f t="shared" si="27"/>
        <v>0.75</v>
      </c>
    </row>
    <row r="185" spans="1:16" ht="20.100000000000001" customHeight="1">
      <c r="B185" s="1239" t="s">
        <v>661</v>
      </c>
      <c r="C185" s="2052" t="s">
        <v>685</v>
      </c>
      <c r="D185" s="2052"/>
      <c r="E185" s="1494"/>
      <c r="F185" s="1494"/>
      <c r="G185" s="1494"/>
      <c r="H185" s="1494"/>
      <c r="I185" s="846"/>
      <c r="K185" s="848"/>
      <c r="L185" s="1494"/>
      <c r="M185" s="1494"/>
      <c r="N185" s="1494"/>
      <c r="O185" s="846"/>
    </row>
    <row r="186" spans="1:16" ht="20.100000000000001" customHeight="1">
      <c r="B186" s="1232" t="s">
        <v>655</v>
      </c>
      <c r="C186" s="2053"/>
      <c r="D186" s="2053"/>
      <c r="E186" s="1495"/>
      <c r="F186" s="1495"/>
      <c r="G186" s="1495"/>
      <c r="H186" s="1495"/>
      <c r="I186" s="847"/>
      <c r="K186" s="849"/>
      <c r="L186" s="1495"/>
      <c r="M186" s="1495"/>
      <c r="N186" s="1495"/>
      <c r="O186" s="847"/>
    </row>
    <row r="187" spans="1:16" ht="20.100000000000001" customHeight="1">
      <c r="B187" s="1230" t="s">
        <v>656</v>
      </c>
      <c r="C187" s="2053"/>
      <c r="D187" s="2053"/>
      <c r="E187" s="1496"/>
      <c r="F187" s="1496"/>
      <c r="G187" s="1496"/>
      <c r="H187" s="1496"/>
      <c r="I187" s="1240"/>
      <c r="K187" s="1241"/>
      <c r="L187" s="1496"/>
      <c r="M187" s="1496"/>
      <c r="N187" s="1496"/>
      <c r="O187" s="1240"/>
    </row>
    <row r="188" spans="1:16" ht="20.100000000000001" customHeight="1">
      <c r="B188" s="1230" t="s">
        <v>667</v>
      </c>
      <c r="C188" s="2054"/>
      <c r="D188" s="2054"/>
      <c r="E188" s="1496"/>
      <c r="F188" s="1496"/>
      <c r="G188" s="1496"/>
      <c r="H188" s="1496"/>
      <c r="I188" s="1240"/>
      <c r="K188" s="1241"/>
      <c r="L188" s="1496"/>
      <c r="M188" s="1496"/>
      <c r="N188" s="1496"/>
      <c r="O188" s="1240"/>
    </row>
    <row r="189" spans="1:16" ht="20.100000000000001" customHeight="1">
      <c r="B189" s="1231" t="s">
        <v>657</v>
      </c>
      <c r="C189" s="2054"/>
      <c r="D189" s="2054"/>
      <c r="E189" s="1495"/>
      <c r="F189" s="1495"/>
      <c r="G189" s="1495"/>
      <c r="H189" s="1495"/>
      <c r="I189" s="847"/>
      <c r="K189" s="849"/>
      <c r="L189" s="1495"/>
      <c r="M189" s="1495"/>
      <c r="N189" s="1495"/>
      <c r="O189" s="847"/>
    </row>
    <row r="190" spans="1:16" s="254" customFormat="1" ht="21.9" customHeight="1">
      <c r="A190" s="1205"/>
      <c r="B190" s="1936" t="s">
        <v>662</v>
      </c>
      <c r="C190" s="1937"/>
      <c r="D190" s="1937"/>
      <c r="E190" s="1497">
        <f t="shared" ref="E190:H190" si="28">SUM(E186:E189)</f>
        <v>0</v>
      </c>
      <c r="F190" s="1497">
        <f t="shared" si="28"/>
        <v>0</v>
      </c>
      <c r="G190" s="1497">
        <f t="shared" si="28"/>
        <v>0</v>
      </c>
      <c r="H190" s="1497">
        <f t="shared" si="28"/>
        <v>0</v>
      </c>
      <c r="I190" s="854">
        <f>SUM(I186:I189)</f>
        <v>0</v>
      </c>
      <c r="K190" s="855">
        <f t="shared" ref="K190:N190" si="29">SUM(K186:K189)</f>
        <v>0</v>
      </c>
      <c r="L190" s="1497">
        <f t="shared" si="29"/>
        <v>0</v>
      </c>
      <c r="M190" s="1497">
        <f t="shared" si="29"/>
        <v>0</v>
      </c>
      <c r="N190" s="1497">
        <f t="shared" si="29"/>
        <v>0</v>
      </c>
      <c r="O190" s="854">
        <f>SUM(O186:O189)</f>
        <v>0</v>
      </c>
    </row>
    <row r="191" spans="1:16" ht="3" customHeight="1">
      <c r="C191" s="343"/>
      <c r="D191" s="350"/>
      <c r="E191" s="26"/>
      <c r="F191" s="26"/>
      <c r="G191" s="26"/>
      <c r="I191" s="26"/>
      <c r="K191" s="26"/>
      <c r="L191" s="26"/>
      <c r="M191" s="26"/>
      <c r="N191" s="26"/>
      <c r="O191" s="26"/>
    </row>
    <row r="192" spans="1:16" ht="20.100000000000001" customHeight="1">
      <c r="C192" s="1950" t="s">
        <v>171</v>
      </c>
      <c r="D192" s="1951"/>
      <c r="E192" s="1499" t="str">
        <f>IF(ISERROR(E185/E190)," ",E185/E190)</f>
        <v xml:space="preserve"> </v>
      </c>
      <c r="F192" s="1499" t="str">
        <f>IF(ISERROR(F185/F190)," ",F185/F190)</f>
        <v xml:space="preserve"> </v>
      </c>
      <c r="G192" s="1499" t="str">
        <f>IF(ISERROR(G185/G190)," ",G185/G190)</f>
        <v xml:space="preserve"> </v>
      </c>
      <c r="H192" s="1499" t="str">
        <f>IF(ISERROR(H185/H190)," ",H185/H190)</f>
        <v xml:space="preserve"> </v>
      </c>
      <c r="I192" s="850" t="str">
        <f>IF(ISERROR(I185/I190)," ",I185/I190)</f>
        <v xml:space="preserve"> </v>
      </c>
      <c r="K192" s="852" t="str">
        <f t="shared" ref="K192:O192" si="30">IF(ISERROR(K185/K190)," ",K185/K190)</f>
        <v xml:space="preserve"> </v>
      </c>
      <c r="L192" s="1499" t="str">
        <f t="shared" si="30"/>
        <v xml:space="preserve"> </v>
      </c>
      <c r="M192" s="1499" t="str">
        <f t="shared" si="30"/>
        <v xml:space="preserve"> </v>
      </c>
      <c r="N192" s="1499" t="str">
        <f t="shared" si="30"/>
        <v xml:space="preserve"> </v>
      </c>
      <c r="O192" s="850" t="str">
        <f t="shared" si="30"/>
        <v xml:space="preserve"> </v>
      </c>
      <c r="P192" s="21"/>
    </row>
    <row r="193" spans="1:15" s="263" customFormat="1" ht="20.100000000000001" customHeight="1">
      <c r="A193" s="1204"/>
      <c r="C193" s="1967" t="s">
        <v>573</v>
      </c>
      <c r="D193" s="1968"/>
      <c r="E193" s="1500">
        <v>0.6</v>
      </c>
      <c r="F193" s="1500">
        <v>0.6</v>
      </c>
      <c r="G193" s="1500">
        <v>0.6</v>
      </c>
      <c r="H193" s="1500">
        <v>0.6</v>
      </c>
      <c r="I193" s="851">
        <v>0.6</v>
      </c>
      <c r="K193" s="853">
        <v>0.6</v>
      </c>
      <c r="L193" s="1500">
        <v>0.6</v>
      </c>
      <c r="M193" s="1500">
        <v>0.6</v>
      </c>
      <c r="N193" s="1500">
        <v>0.6</v>
      </c>
      <c r="O193" s="851">
        <v>0.6</v>
      </c>
    </row>
    <row r="194" spans="1:15">
      <c r="C194" s="343"/>
      <c r="D194" s="350"/>
      <c r="E194" s="326">
        <f>IF(E192=" ",E193,E192)</f>
        <v>0.6</v>
      </c>
      <c r="F194" s="326">
        <f>IF(F192=" ",F193,F192)</f>
        <v>0.6</v>
      </c>
      <c r="G194" s="326">
        <f>IF(G192=" ",G193,G192)</f>
        <v>0.6</v>
      </c>
      <c r="H194" s="326">
        <f>IF(H192=" ",H193,H192)</f>
        <v>0.6</v>
      </c>
      <c r="I194" s="326">
        <f>IF(I192=" ",I193,I192)</f>
        <v>0.6</v>
      </c>
      <c r="J194" s="7"/>
      <c r="K194" s="326">
        <f t="shared" ref="K194" si="31">IF(K192=" ",K193,K192)</f>
        <v>0.6</v>
      </c>
      <c r="L194" s="326">
        <f t="shared" ref="L194" si="32">IF(L192=" ",L193,L192)</f>
        <v>0.6</v>
      </c>
      <c r="M194" s="326">
        <f t="shared" ref="M194" si="33">IF(M192=" ",M193,M192)</f>
        <v>0.6</v>
      </c>
      <c r="N194" s="326">
        <f t="shared" ref="N194" si="34">IF(N192=" ",N193,N192)</f>
        <v>0.6</v>
      </c>
      <c r="O194" s="326">
        <f t="shared" ref="O194" si="35">IF(O192=" ",O193,O192)</f>
        <v>0.6</v>
      </c>
    </row>
    <row r="195" spans="1:15" ht="24.9" customHeight="1">
      <c r="B195" s="1964" t="s">
        <v>595</v>
      </c>
      <c r="C195" s="1965" t="s">
        <v>163</v>
      </c>
      <c r="D195" s="1966"/>
      <c r="E195" s="842" t="str">
        <f>IF(ISBLANK(d_4)," ",d_4)</f>
        <v xml:space="preserve"> </v>
      </c>
      <c r="F195" s="842" t="str">
        <f>IF(ISBLANK(d_3)," ",d_3)</f>
        <v xml:space="preserve"> </v>
      </c>
      <c r="G195" s="842" t="str">
        <f>IF(ISBLANK(d_2)," ",d_2)</f>
        <v xml:space="preserve"> </v>
      </c>
      <c r="H195" s="842" t="str">
        <f>IF(ISBLANK(d_1)," ",d_1)</f>
        <v xml:space="preserve"> </v>
      </c>
      <c r="I195" s="843" t="str">
        <f>IF(ISBLANK(d)," ",d)</f>
        <v xml:space="preserve"> </v>
      </c>
      <c r="J195" s="7"/>
      <c r="K195" s="844" t="str">
        <f>IF(ISBLANK(d)," ",d-1)</f>
        <v xml:space="preserve"> </v>
      </c>
      <c r="L195" s="842" t="str">
        <f>IF(ISBLANK(d)," ",d-2)</f>
        <v xml:space="preserve"> </v>
      </c>
      <c r="M195" s="842" t="str">
        <f>IF(ISBLANK(d)," ",d-3)</f>
        <v xml:space="preserve"> </v>
      </c>
      <c r="N195" s="842" t="str">
        <f>IF(ISBLANK(d)," ",d-4)</f>
        <v xml:space="preserve"> </v>
      </c>
      <c r="O195" s="843" t="str">
        <f>IF(ISBLANK(d)," ",d-5)</f>
        <v xml:space="preserve"> </v>
      </c>
    </row>
    <row r="196" spans="1:15" ht="20.100000000000001" customHeight="1">
      <c r="B196" s="1237" t="s">
        <v>637</v>
      </c>
      <c r="C196" s="1969" t="s">
        <v>596</v>
      </c>
      <c r="D196" s="1969"/>
      <c r="E196" s="1501"/>
      <c r="F196" s="1501"/>
      <c r="G196" s="1501"/>
      <c r="H196" s="1501"/>
      <c r="I196" s="847"/>
      <c r="J196" s="7"/>
      <c r="K196" s="866"/>
      <c r="L196" s="1544"/>
      <c r="M196" s="1544"/>
      <c r="N196" s="1544"/>
      <c r="O196" s="867"/>
    </row>
    <row r="197" spans="1:15" ht="20.100000000000001" customHeight="1">
      <c r="B197" s="1238" t="s">
        <v>638</v>
      </c>
      <c r="C197" s="1960" t="s">
        <v>597</v>
      </c>
      <c r="D197" s="1960"/>
      <c r="E197" s="1502"/>
      <c r="F197" s="1502"/>
      <c r="G197" s="1502"/>
      <c r="H197" s="1502"/>
      <c r="I197" s="856"/>
      <c r="J197" s="7"/>
      <c r="K197" s="858"/>
      <c r="L197" s="1502"/>
      <c r="M197" s="1502"/>
      <c r="N197" s="1502"/>
      <c r="O197" s="856"/>
    </row>
    <row r="198" spans="1:15" s="254" customFormat="1" ht="21.9" customHeight="1">
      <c r="A198" s="1205"/>
      <c r="B198" s="1974" t="s">
        <v>639</v>
      </c>
      <c r="C198" s="1953"/>
      <c r="D198" s="1953"/>
      <c r="E198" s="1503">
        <f>SUM(E196:E197)</f>
        <v>0</v>
      </c>
      <c r="F198" s="1503">
        <f t="shared" ref="F198:I198" si="36">SUM(F196:F197)</f>
        <v>0</v>
      </c>
      <c r="G198" s="1503">
        <f t="shared" si="36"/>
        <v>0</v>
      </c>
      <c r="H198" s="1503">
        <f t="shared" si="36"/>
        <v>0</v>
      </c>
      <c r="I198" s="860">
        <f t="shared" si="36"/>
        <v>0</v>
      </c>
      <c r="J198" s="861"/>
      <c r="K198" s="862">
        <f t="shared" ref="K198:O198" si="37">SUM(K196:K197)</f>
        <v>0</v>
      </c>
      <c r="L198" s="1503">
        <f t="shared" si="37"/>
        <v>0</v>
      </c>
      <c r="M198" s="1503">
        <f t="shared" si="37"/>
        <v>0</v>
      </c>
      <c r="N198" s="1503">
        <f t="shared" si="37"/>
        <v>0</v>
      </c>
      <c r="O198" s="860">
        <f t="shared" si="37"/>
        <v>0</v>
      </c>
    </row>
    <row r="199" spans="1:15" ht="20.100000000000001" customHeight="1">
      <c r="B199" s="1970" t="s">
        <v>635</v>
      </c>
      <c r="C199" s="1971"/>
      <c r="D199" s="1971"/>
      <c r="E199" s="1504">
        <f>ROUND(E196*E184,0)</f>
        <v>0</v>
      </c>
      <c r="F199" s="1504">
        <f t="shared" ref="F199:I199" si="38">ROUND(F196*F184,0)</f>
        <v>0</v>
      </c>
      <c r="G199" s="1504">
        <f t="shared" si="38"/>
        <v>0</v>
      </c>
      <c r="H199" s="1504">
        <f t="shared" si="38"/>
        <v>0</v>
      </c>
      <c r="I199" s="832">
        <f t="shared" si="38"/>
        <v>0</v>
      </c>
      <c r="J199" s="7"/>
      <c r="K199" s="834">
        <f t="shared" ref="K199:O199" si="39">ROUND(K196*K184,0)</f>
        <v>0</v>
      </c>
      <c r="L199" s="1504">
        <f t="shared" si="39"/>
        <v>0</v>
      </c>
      <c r="M199" s="1504">
        <f t="shared" si="39"/>
        <v>0</v>
      </c>
      <c r="N199" s="1504">
        <f t="shared" si="39"/>
        <v>0</v>
      </c>
      <c r="O199" s="832">
        <f t="shared" si="39"/>
        <v>0</v>
      </c>
    </row>
    <row r="200" spans="1:15" ht="20.100000000000001" customHeight="1">
      <c r="B200" s="1972" t="s">
        <v>636</v>
      </c>
      <c r="C200" s="1973"/>
      <c r="D200" s="1973"/>
      <c r="E200" s="1505">
        <f>ROUND(E197*E194,0)</f>
        <v>0</v>
      </c>
      <c r="F200" s="1505">
        <f t="shared" ref="F200:I200" si="40">ROUND(F197*F194,0)</f>
        <v>0</v>
      </c>
      <c r="G200" s="1505">
        <f t="shared" si="40"/>
        <v>0</v>
      </c>
      <c r="H200" s="1505">
        <f t="shared" si="40"/>
        <v>0</v>
      </c>
      <c r="I200" s="857">
        <f t="shared" si="40"/>
        <v>0</v>
      </c>
      <c r="J200" s="7"/>
      <c r="K200" s="859">
        <f t="shared" ref="K200:O200" si="41">ROUND(K197*K194,0)</f>
        <v>0</v>
      </c>
      <c r="L200" s="1505">
        <f t="shared" si="41"/>
        <v>0</v>
      </c>
      <c r="M200" s="1505">
        <f t="shared" si="41"/>
        <v>0</v>
      </c>
      <c r="N200" s="1505">
        <f t="shared" si="41"/>
        <v>0</v>
      </c>
      <c r="O200" s="857">
        <f t="shared" si="41"/>
        <v>0</v>
      </c>
    </row>
    <row r="201" spans="1:15" ht="21.9" customHeight="1">
      <c r="B201" s="1961" t="s">
        <v>598</v>
      </c>
      <c r="C201" s="1962"/>
      <c r="D201" s="1963"/>
      <c r="E201" s="1506">
        <f>SUM(E199:E200)</f>
        <v>0</v>
      </c>
      <c r="F201" s="1506">
        <f t="shared" ref="F201:I201" si="42">SUM(F199:F200)</f>
        <v>0</v>
      </c>
      <c r="G201" s="1506">
        <f t="shared" si="42"/>
        <v>0</v>
      </c>
      <c r="H201" s="1506">
        <f t="shared" si="42"/>
        <v>0</v>
      </c>
      <c r="I201" s="863">
        <f t="shared" si="42"/>
        <v>0</v>
      </c>
      <c r="J201" s="864"/>
      <c r="K201" s="865">
        <f t="shared" ref="K201:O201" si="43">SUM(K199:K200)</f>
        <v>0</v>
      </c>
      <c r="L201" s="1506">
        <f t="shared" si="43"/>
        <v>0</v>
      </c>
      <c r="M201" s="1506">
        <f t="shared" si="43"/>
        <v>0</v>
      </c>
      <c r="N201" s="1506">
        <f t="shared" si="43"/>
        <v>0</v>
      </c>
      <c r="O201" s="863">
        <f t="shared" si="43"/>
        <v>0</v>
      </c>
    </row>
    <row r="202" spans="1:15" ht="20.100000000000001" customHeight="1">
      <c r="B202" s="8"/>
      <c r="C202" s="339"/>
      <c r="D202" s="350"/>
      <c r="E202" s="176"/>
      <c r="F202" s="176"/>
      <c r="G202" s="176"/>
      <c r="H202" s="176"/>
      <c r="I202" s="176"/>
      <c r="J202" s="7"/>
    </row>
    <row r="203" spans="1:15">
      <c r="E203" s="178" t="s">
        <v>177</v>
      </c>
    </row>
    <row r="295" spans="5:5">
      <c r="E295" s="179"/>
    </row>
  </sheetData>
  <sheetProtection algorithmName="SHA-512" hashValue="SMJqPJvy2d/xVnylogWkxgzARApzxonEWPYapkDkrbuHxkPs7qYzy1MKrrPwdg2R2mxPYxINnYE0nFYNosB2Wg==" saltValue="5T9YylhdHxV3Y3zg/V+U5Q==" spinCount="100000" sheet="1" formatCells="0" formatColumns="0" formatRows="0" insertColumns="0" insertRows="0" insertHyperlinks="0" deleteColumns="0" deleteRows="0" sort="0" autoFilter="0" pivotTables="0"/>
  <mergeCells count="103">
    <mergeCell ref="C185:D187"/>
    <mergeCell ref="C188:D189"/>
    <mergeCell ref="B170:B171"/>
    <mergeCell ref="B168:B169"/>
    <mergeCell ref="B162:D162"/>
    <mergeCell ref="B163:D163"/>
    <mergeCell ref="B164:D164"/>
    <mergeCell ref="B166:B167"/>
    <mergeCell ref="C167:D167"/>
    <mergeCell ref="C183:D183"/>
    <mergeCell ref="C175:D179"/>
    <mergeCell ref="D172:E172"/>
    <mergeCell ref="C173:D173"/>
    <mergeCell ref="B130:D130"/>
    <mergeCell ref="B151:B152"/>
    <mergeCell ref="B153:B154"/>
    <mergeCell ref="B157:B158"/>
    <mergeCell ref="B159:B160"/>
    <mergeCell ref="C154:D154"/>
    <mergeCell ref="C152:D152"/>
    <mergeCell ref="C158:D158"/>
    <mergeCell ref="C160:D160"/>
    <mergeCell ref="C133:D133"/>
    <mergeCell ref="B132:B133"/>
    <mergeCell ref="B144:D144"/>
    <mergeCell ref="C108:D108"/>
    <mergeCell ref="C109:D109"/>
    <mergeCell ref="C106:D106"/>
    <mergeCell ref="C61:D61"/>
    <mergeCell ref="C62:D62"/>
    <mergeCell ref="C73:D73"/>
    <mergeCell ref="C69:D69"/>
    <mergeCell ref="C127:D127"/>
    <mergeCell ref="C78:D78"/>
    <mergeCell ref="B65:D65"/>
    <mergeCell ref="B68:B69"/>
    <mergeCell ref="B66:B67"/>
    <mergeCell ref="C75:D75"/>
    <mergeCell ref="C93:D93"/>
    <mergeCell ref="C99:D99"/>
    <mergeCell ref="C71:D71"/>
    <mergeCell ref="C72:D72"/>
    <mergeCell ref="C67:D67"/>
    <mergeCell ref="B122:D122"/>
    <mergeCell ref="K2:O2"/>
    <mergeCell ref="C42:D42"/>
    <mergeCell ref="D4:G4"/>
    <mergeCell ref="B14:B15"/>
    <mergeCell ref="C2:I2"/>
    <mergeCell ref="K4:M4"/>
    <mergeCell ref="K6:M6"/>
    <mergeCell ref="H12:I12"/>
    <mergeCell ref="C34:D34"/>
    <mergeCell ref="C39:D39"/>
    <mergeCell ref="B8:B10"/>
    <mergeCell ref="C8:D8"/>
    <mergeCell ref="C9:D9"/>
    <mergeCell ref="B19:B20"/>
    <mergeCell ref="B24:B25"/>
    <mergeCell ref="C52:D52"/>
    <mergeCell ref="B55:D55"/>
    <mergeCell ref="C15:D15"/>
    <mergeCell ref="C20:D20"/>
    <mergeCell ref="C10:D10"/>
    <mergeCell ref="B33:B34"/>
    <mergeCell ref="B38:B39"/>
    <mergeCell ref="B45:B46"/>
    <mergeCell ref="C25:D25"/>
    <mergeCell ref="C46:D46"/>
    <mergeCell ref="C197:D197"/>
    <mergeCell ref="B201:D201"/>
    <mergeCell ref="B195:D195"/>
    <mergeCell ref="B190:D190"/>
    <mergeCell ref="C192:D192"/>
    <mergeCell ref="C193:D193"/>
    <mergeCell ref="C196:D196"/>
    <mergeCell ref="B199:D199"/>
    <mergeCell ref="B200:D200"/>
    <mergeCell ref="B198:D198"/>
    <mergeCell ref="B56:B57"/>
    <mergeCell ref="C57:D57"/>
    <mergeCell ref="C105:D105"/>
    <mergeCell ref="C114:D114"/>
    <mergeCell ref="B104:B106"/>
    <mergeCell ref="C90:D90"/>
    <mergeCell ref="C92:D92"/>
    <mergeCell ref="C60:D60"/>
    <mergeCell ref="B184:D184"/>
    <mergeCell ref="C80:D80"/>
    <mergeCell ref="B79:B80"/>
    <mergeCell ref="B180:D180"/>
    <mergeCell ref="B113:B114"/>
    <mergeCell ref="B82:B83"/>
    <mergeCell ref="C100:D100"/>
    <mergeCell ref="B98:B100"/>
    <mergeCell ref="B126:B127"/>
    <mergeCell ref="C83:D83"/>
    <mergeCell ref="C182:D182"/>
    <mergeCell ref="B129:D129"/>
    <mergeCell ref="C171:D171"/>
    <mergeCell ref="C169:D169"/>
    <mergeCell ref="C165:D165"/>
    <mergeCell ref="B107:B109"/>
  </mergeCells>
  <phoneticPr fontId="0" type="noConversion"/>
  <conditionalFormatting sqref="E155:I155 E18:I18 E23:I23 K155:O155 K18:O18 K23:O23">
    <cfRule type="cellIs" dxfId="723" priority="112" stopIfTrue="1" operator="lessThan">
      <formula>0</formula>
    </cfRule>
  </conditionalFormatting>
  <conditionalFormatting sqref="E96:I96 K96:O96">
    <cfRule type="cellIs" dxfId="722" priority="118" stopIfTrue="1" operator="equal">
      <formula>0</formula>
    </cfRule>
  </conditionalFormatting>
  <conditionalFormatting sqref="E29:I29 K29:O29">
    <cfRule type="cellIs" dxfId="721" priority="127" stopIfTrue="1" operator="equal">
      <formula>0</formula>
    </cfRule>
  </conditionalFormatting>
  <conditionalFormatting sqref="K10:O10 E10:I10">
    <cfRule type="cellIs" dxfId="720" priority="114" stopIfTrue="1" operator="equal">
      <formula>0</formula>
    </cfRule>
  </conditionalFormatting>
  <conditionalFormatting sqref="E104:I106 E151:I154 K104:O106 K151:O154">
    <cfRule type="cellIs" dxfId="719" priority="138" stopIfTrue="1" operator="lessThan">
      <formula>0</formula>
    </cfRule>
  </conditionalFormatting>
  <conditionalFormatting sqref="K48:O48 E22:I22 E27:I27 E31:I31 E36:I36 E41:I41 E48:I48 K22:O22 K27:O27 K31:O31 K36:O36 K41:O41 E17:I17 K17:O17">
    <cfRule type="cellIs" dxfId="718" priority="139" stopIfTrue="1" operator="lessThan">
      <formula>0</formula>
    </cfRule>
  </conditionalFormatting>
  <conditionalFormatting sqref="E9:I9">
    <cfRule type="cellIs" dxfId="717" priority="155" stopIfTrue="1" operator="notEqual">
      <formula>12</formula>
    </cfRule>
  </conditionalFormatting>
  <conditionalFormatting sqref="J25 J20 J15 J10 E6:H6">
    <cfRule type="cellIs" dxfId="716" priority="104" stopIfTrue="1" operator="equal">
      <formula>"préciser la durée"</formula>
    </cfRule>
  </conditionalFormatting>
  <conditionalFormatting sqref="J27 J22 J17">
    <cfRule type="cellIs" dxfId="715" priority="100" stopIfTrue="1" operator="equal">
      <formula>"préciser la nature de l'activité en case L5"</formula>
    </cfRule>
  </conditionalFormatting>
  <conditionalFormatting sqref="J14 J19 J24">
    <cfRule type="cellIs" dxfId="714" priority="93" stopIfTrue="1" operator="equal">
      <formula>"préciser l'unité monétaire en case C5"</formula>
    </cfRule>
  </conditionalFormatting>
  <conditionalFormatting sqref="E38:I38">
    <cfRule type="cellIs" dxfId="713" priority="90" stopIfTrue="1" operator="equal">
      <formula>0</formula>
    </cfRule>
  </conditionalFormatting>
  <conditionalFormatting sqref="E100:I100">
    <cfRule type="cellIs" dxfId="712" priority="81" stopIfTrue="1" operator="equal">
      <formula>" "</formula>
    </cfRule>
    <cfRule type="cellIs" dxfId="711" priority="82" stopIfTrue="1" operator="greaterThan">
      <formula>1</formula>
    </cfRule>
    <cfRule type="cellIs" dxfId="710" priority="83" stopIfTrue="1" operator="greaterThan">
      <formula>0.75</formula>
    </cfRule>
  </conditionalFormatting>
  <conditionalFormatting sqref="E127:I127">
    <cfRule type="cellIs" dxfId="709" priority="78" stopIfTrue="1" operator="equal">
      <formula>" "</formula>
    </cfRule>
    <cfRule type="cellIs" dxfId="708" priority="79" stopIfTrue="1" operator="greaterThan">
      <formula>1</formula>
    </cfRule>
    <cfRule type="cellIs" dxfId="707" priority="80" stopIfTrue="1" operator="greaterThan">
      <formula>0.5</formula>
    </cfRule>
  </conditionalFormatting>
  <conditionalFormatting sqref="E164:I164 K164:O164">
    <cfRule type="cellIs" dxfId="706" priority="76" stopIfTrue="1" operator="lessThan">
      <formula>0</formula>
    </cfRule>
  </conditionalFormatting>
  <conditionalFormatting sqref="O9">
    <cfRule type="cellIs" dxfId="705" priority="21" stopIfTrue="1" operator="notEqual">
      <formula>12</formula>
    </cfRule>
  </conditionalFormatting>
  <conditionalFormatting sqref="K9:N9">
    <cfRule type="cellIs" dxfId="704" priority="20" stopIfTrue="1" operator="notEqual">
      <formula>12</formula>
    </cfRule>
  </conditionalFormatting>
  <conditionalFormatting sqref="K100:O100">
    <cfRule type="cellIs" dxfId="703" priority="17" stopIfTrue="1" operator="equal">
      <formula>" "</formula>
    </cfRule>
    <cfRule type="cellIs" dxfId="702" priority="18" stopIfTrue="1" operator="greaterThan">
      <formula>1</formula>
    </cfRule>
    <cfRule type="cellIs" dxfId="701" priority="19" stopIfTrue="1" operator="greaterThan">
      <formula>0.75</formula>
    </cfRule>
  </conditionalFormatting>
  <conditionalFormatting sqref="K127:O127">
    <cfRule type="cellIs" dxfId="700" priority="14" stopIfTrue="1" operator="equal">
      <formula>" "</formula>
    </cfRule>
    <cfRule type="cellIs" dxfId="699" priority="15" stopIfTrue="1" operator="greaterThan">
      <formula>1</formula>
    </cfRule>
    <cfRule type="cellIs" dxfId="698" priority="16" stopIfTrue="1" operator="greaterThan">
      <formula>0.5</formula>
    </cfRule>
  </conditionalFormatting>
  <conditionalFormatting sqref="K38:O38">
    <cfRule type="cellIs" dxfId="697" priority="13" stopIfTrue="1" operator="equal">
      <formula>0</formula>
    </cfRule>
  </conditionalFormatting>
  <conditionalFormatting sqref="E130:I130 K130:O130">
    <cfRule type="cellIs" dxfId="696" priority="12" operator="lessThan">
      <formula>0</formula>
    </cfRule>
  </conditionalFormatting>
  <conditionalFormatting sqref="E144:I144 K144:O144">
    <cfRule type="cellIs" dxfId="695" priority="11" operator="lessThan">
      <formula>0</formula>
    </cfRule>
  </conditionalFormatting>
  <conditionalFormatting sqref="K107:O109 E107:I109">
    <cfRule type="cellIs" dxfId="694" priority="9" stopIfTrue="1" operator="lessThan">
      <formula>0</formula>
    </cfRule>
  </conditionalFormatting>
  <conditionalFormatting sqref="K4:M4">
    <cfRule type="expression" dxfId="693" priority="8">
      <formula>$N$4=1</formula>
    </cfRule>
  </conditionalFormatting>
  <conditionalFormatting sqref="B4">
    <cfRule type="expression" dxfId="692" priority="7">
      <formula>$N$4=1</formula>
    </cfRule>
  </conditionalFormatting>
  <conditionalFormatting sqref="C4">
    <cfRule type="cellIs" dxfId="691" priority="6" operator="equal">
      <formula>0</formula>
    </cfRule>
  </conditionalFormatting>
  <conditionalFormatting sqref="D4:G4">
    <cfRule type="expression" dxfId="690" priority="5">
      <formula>$O$4=1</formula>
    </cfRule>
  </conditionalFormatting>
  <conditionalFormatting sqref="H4">
    <cfRule type="expression" dxfId="689" priority="4">
      <formula>$O$4=1</formula>
    </cfRule>
  </conditionalFormatting>
  <conditionalFormatting sqref="K6:M6">
    <cfRule type="expression" dxfId="688" priority="3">
      <formula>$O$4=1</formula>
    </cfRule>
  </conditionalFormatting>
  <conditionalFormatting sqref="I6">
    <cfRule type="cellIs" dxfId="687" priority="2" stopIfTrue="1" operator="equal">
      <formula>"préciser la durée"</formula>
    </cfRule>
  </conditionalFormatting>
  <conditionalFormatting sqref="H12:I12">
    <cfRule type="expression" dxfId="686" priority="1">
      <formula>$J$9=1</formula>
    </cfRule>
  </conditionalFormatting>
  <dataValidations xWindow="816" yWindow="373" count="5">
    <dataValidation allowBlank="1" showInputMessage="1" showErrorMessage="1" prompt="Si le coefficient n'a pas pu être calculé dans la case précédente, retenir, par défaut, un coefficient de 0,60 dans la présente case" sqref="K183:O183 K193:O193 E183:I183 E193:I193" xr:uid="{00000000-0002-0000-0000-000000000000}"/>
    <dataValidation allowBlank="1" showInputMessage="1" showErrorMessage="1" prompt="si la ligne n°2053-A1 n'est pas renseignée, retenir la différence entre la ligne n°2052-FP et la ligne précédente n°2056-UF" sqref="E86:I86" xr:uid="{00000000-0002-0000-0000-000001000000}"/>
    <dataValidation allowBlank="1" showInputMessage="1" showErrorMessage="1" prompt="n'inscrire qu'un chiffre" sqref="E9:I9" xr:uid="{00000000-0002-0000-0000-000002000000}"/>
    <dataValidation type="list" allowBlank="1" showInputMessage="1" showErrorMessage="1" sqref="C4" xr:uid="{00000000-0002-0000-0000-000003000000}">
      <formula1>"€,K€"</formula1>
    </dataValidation>
    <dataValidation type="list" allowBlank="1" showInputMessage="1" showErrorMessage="1" sqref="H4" xr:uid="{00000000-0002-0000-0000-000004000000}">
      <formula1>"N,PB,PS"</formula1>
    </dataValidation>
  </dataValidations>
  <hyperlinks>
    <hyperlink ref="E203" location="resultat!D57" display="Retour" xr:uid="{00000000-0004-0000-0000-000000000000}"/>
  </hyperlinks>
  <printOptions horizontalCentered="1"/>
  <pageMargins left="0" right="0" top="0" bottom="0" header="0" footer="0"/>
  <pageSetup paperSize="9" scale="74" fitToHeight="0" orientation="portrait" r:id="rId1"/>
  <headerFooter alignWithMargins="0"/>
  <cellWatches>
    <cellWatch r="H25"/>
  </cellWatche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31"/>
  <sheetViews>
    <sheetView showGridLines="0" showRowColHeaders="0" zoomScaleNormal="100" workbookViewId="0">
      <selection activeCell="B11" sqref="B11"/>
    </sheetView>
  </sheetViews>
  <sheetFormatPr baseColWidth="10" defaultColWidth="12" defaultRowHeight="13.8"/>
  <cols>
    <col min="1" max="1" width="1.77734375" style="235" customWidth="1"/>
    <col min="2" max="2" width="152.109375" style="235" customWidth="1"/>
    <col min="3" max="16384" width="12" style="235"/>
  </cols>
  <sheetData>
    <row r="1" spans="2:2" ht="6" customHeight="1"/>
    <row r="2" spans="2:2" s="317" customFormat="1" ht="20.100000000000001" customHeight="1">
      <c r="B2" s="1221" t="s">
        <v>651</v>
      </c>
    </row>
    <row r="3" spans="2:2" s="317" customFormat="1" ht="15" customHeight="1">
      <c r="B3" s="1222" t="s">
        <v>686</v>
      </c>
    </row>
    <row r="4" spans="2:2" s="317" customFormat="1" ht="15" customHeight="1">
      <c r="B4" s="1222" t="s">
        <v>450</v>
      </c>
    </row>
    <row r="5" spans="2:2" s="317" customFormat="1" ht="15" customHeight="1">
      <c r="B5" s="1222" t="s">
        <v>451</v>
      </c>
    </row>
    <row r="6" spans="2:2" s="317" customFormat="1" ht="15" customHeight="1">
      <c r="B6" s="1222" t="s">
        <v>452</v>
      </c>
    </row>
    <row r="7" spans="2:2" s="317" customFormat="1" ht="15" customHeight="1">
      <c r="B7" s="1222" t="s">
        <v>453</v>
      </c>
    </row>
    <row r="8" spans="2:2" s="317" customFormat="1" ht="15" customHeight="1">
      <c r="B8" s="1222" t="s">
        <v>454</v>
      </c>
    </row>
    <row r="9" spans="2:2" s="317" customFormat="1" ht="20.100000000000001" customHeight="1">
      <c r="B9" s="1223" t="s">
        <v>449</v>
      </c>
    </row>
    <row r="10" spans="2:2" s="317" customFormat="1" ht="30" customHeight="1">
      <c r="B10" s="1224" t="s">
        <v>658</v>
      </c>
    </row>
    <row r="11" spans="2:2" s="317" customFormat="1" ht="30" customHeight="1">
      <c r="B11" s="1224" t="s">
        <v>652</v>
      </c>
    </row>
    <row r="12" spans="2:2" s="317" customFormat="1" ht="69" customHeight="1">
      <c r="B12" s="1225" t="s">
        <v>653</v>
      </c>
    </row>
    <row r="13" spans="2:2" s="317" customFormat="1" ht="60" customHeight="1">
      <c r="B13" s="1226" t="s">
        <v>654</v>
      </c>
    </row>
    <row r="14" spans="2:2" ht="20.100000000000001" customHeight="1"/>
    <row r="15" spans="2:2" ht="20.100000000000001" customHeight="1"/>
    <row r="16" spans="2:2"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sheetData>
  <sheetProtection algorithmName="SHA-512" hashValue="0ckkWoBmvrcP3Jd1ohdRZApyTqsA2CPceWRKidACxmJVBiMQvbEw7xaOH8lNrypuwfHU/h6BwgRaYS4O0SgRAg==" saltValue="XHXzwiNiSP7pQy01G+1OKQ==" spinCount="100000" sheet="1" objects="1" scenarios="1"/>
  <pageMargins left="0" right="0" top="0" bottom="0" header="0" footer="0"/>
  <pageSetup paperSize="9" scale="7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O52"/>
  <sheetViews>
    <sheetView showGridLines="0" showRowColHeaders="0" workbookViewId="0">
      <pane ySplit="2" topLeftCell="A3" activePane="bottomLeft" state="frozenSplit"/>
      <selection pane="bottomLeft" activeCell="E25" sqref="E25:F25"/>
    </sheetView>
  </sheetViews>
  <sheetFormatPr baseColWidth="10" defaultColWidth="12" defaultRowHeight="13.8"/>
  <cols>
    <col min="1" max="1" width="1.77734375" style="2" customWidth="1"/>
    <col min="2" max="2" width="19.33203125" style="261" customWidth="1"/>
    <col min="3" max="3" width="44" style="141" bestFit="1" customWidth="1"/>
    <col min="4" max="4" width="13.77734375" style="2" customWidth="1"/>
    <col min="5" max="5" width="9.77734375" style="259" customWidth="1"/>
    <col min="6" max="6" width="12" style="260"/>
    <col min="7" max="7" width="13.77734375" style="2" customWidth="1"/>
    <col min="8" max="8" width="9.77734375" style="259" customWidth="1"/>
    <col min="9" max="9" width="12" style="260"/>
    <col min="10" max="10" width="13.77734375" style="2" customWidth="1"/>
    <col min="11" max="11" width="9.77734375" style="259" customWidth="1"/>
    <col min="12" max="12" width="12" style="260"/>
    <col min="13" max="13" width="13.77734375" style="2" customWidth="1"/>
    <col min="14" max="14" width="9.77734375" style="259" customWidth="1"/>
    <col min="15" max="15" width="12" style="260"/>
    <col min="16" max="16384" width="12" style="2"/>
  </cols>
  <sheetData>
    <row r="1" spans="2:15" ht="24.9" customHeight="1">
      <c r="B1" s="935"/>
      <c r="C1" s="936"/>
      <c r="D1" s="2559" t="str">
        <f>IF(ISBLANK(d_4)," ",d_4)</f>
        <v xml:space="preserve"> </v>
      </c>
      <c r="E1" s="2559"/>
      <c r="F1" s="2559"/>
      <c r="G1" s="2559" t="str">
        <f>IF(ISBLANK(d_3)," ",d_3)</f>
        <v xml:space="preserve"> </v>
      </c>
      <c r="H1" s="2559"/>
      <c r="I1" s="2560"/>
      <c r="J1" s="2559" t="str">
        <f>IF(ISBLANK(d_2)," ",d_2)</f>
        <v xml:space="preserve"> </v>
      </c>
      <c r="K1" s="2559"/>
      <c r="L1" s="2559"/>
      <c r="M1" s="2561" t="str">
        <f>IF(ISBLANK(d_1)," ",d_1)</f>
        <v xml:space="preserve"> </v>
      </c>
      <c r="N1" s="2559"/>
      <c r="O1" s="2562"/>
    </row>
    <row r="2" spans="2:15" ht="24.9" customHeight="1">
      <c r="B2" s="2533" t="s">
        <v>523</v>
      </c>
      <c r="C2" s="2534"/>
      <c r="D2" s="939" t="s">
        <v>210</v>
      </c>
      <c r="E2" s="937" t="s">
        <v>497</v>
      </c>
      <c r="F2" s="940" t="s">
        <v>498</v>
      </c>
      <c r="G2" s="939" t="s">
        <v>210</v>
      </c>
      <c r="H2" s="937" t="s">
        <v>497</v>
      </c>
      <c r="I2" s="940" t="s">
        <v>498</v>
      </c>
      <c r="J2" s="938" t="s">
        <v>210</v>
      </c>
      <c r="K2" s="937" t="s">
        <v>497</v>
      </c>
      <c r="L2" s="941" t="s">
        <v>498</v>
      </c>
      <c r="M2" s="938" t="s">
        <v>210</v>
      </c>
      <c r="N2" s="937" t="s">
        <v>497</v>
      </c>
      <c r="O2" s="942" t="s">
        <v>498</v>
      </c>
    </row>
    <row r="3" spans="2:15" ht="17.100000000000001" customHeight="1">
      <c r="B3" s="2553" t="s">
        <v>687</v>
      </c>
      <c r="C3" s="361" t="s">
        <v>495</v>
      </c>
      <c r="D3" s="964" t="str">
        <f>IF(ca_1=0," ",rp_1)</f>
        <v xml:space="preserve"> </v>
      </c>
      <c r="E3" s="2542" t="str">
        <f>IF(ISERROR(D3/D4)," ",D3/D4)</f>
        <v xml:space="preserve"> </v>
      </c>
      <c r="F3" s="2545" t="str">
        <f>IF(ratio_1=" "," ",IF(ratio_1&lt;0.1,0,IF(ratio_1&lt;0.3,1,IF(ratio_1&lt;=0.5,2,IF(ratio_1&gt;0.5,3," ")))))</f>
        <v xml:space="preserve"> </v>
      </c>
      <c r="G3" s="464" t="str">
        <f>IF(ca_2=0," ",rp_2)</f>
        <v xml:space="preserve"> </v>
      </c>
      <c r="H3" s="2542" t="str">
        <f>IF(ISERROR(G3/G4)," ",G3/G4)</f>
        <v xml:space="preserve"> </v>
      </c>
      <c r="I3" s="2550" t="str">
        <f>IF(ratio_2=" "," ",IF(ratio_2&lt;0.1,0,IF(ratio_2&lt;0.3,1,IF(ratio_2&lt;=0.5,2,IF(ratio_2&gt;0.5,3," ")))))</f>
        <v xml:space="preserve"> </v>
      </c>
      <c r="J3" s="464" t="str">
        <f>IF(ca_3=0," ",rp_3)</f>
        <v xml:space="preserve"> </v>
      </c>
      <c r="K3" s="2542" t="str">
        <f>IF(ISERROR(J3/J4)," ",J3/J4)</f>
        <v xml:space="preserve"> </v>
      </c>
      <c r="L3" s="2550" t="str">
        <f>IF(ratio_3=" "," ",IF(ratio_3&lt;0.1,0,IF(ratio_3&lt;0.3,1,IF(ratio_3&lt;=0.5,2,IF(ratio_3&gt;0.5,3," ")))))</f>
        <v xml:space="preserve"> </v>
      </c>
      <c r="M3" s="96" t="str">
        <f>IF(ca_4=0," ",rp_4)</f>
        <v xml:space="preserve"> </v>
      </c>
      <c r="N3" s="2542" t="str">
        <f>IF(ISERROR(M3/M4)," ",M3/M4)</f>
        <v xml:space="preserve"> </v>
      </c>
      <c r="O3" s="2550" t="str">
        <f>IF(ratio_4=" "," ",IF(ratio_4&lt;0.1,0,IF(ratio_4&lt;0.3,1,IF(ratio_4&lt;=0.5,2,IF(ratio_4&gt;0.5,3," ")))))</f>
        <v xml:space="preserve"> </v>
      </c>
    </row>
    <row r="4" spans="2:15" ht="17.100000000000001" customHeight="1">
      <c r="B4" s="2553"/>
      <c r="C4" s="361" t="s">
        <v>496</v>
      </c>
      <c r="D4" s="965" t="str">
        <f>IF(ca_1=0," ",b_1)</f>
        <v xml:space="preserve"> </v>
      </c>
      <c r="E4" s="2542"/>
      <c r="F4" s="2545"/>
      <c r="G4" s="965" t="str">
        <f>IF(ca_2=0," ",b_2)</f>
        <v xml:space="preserve"> </v>
      </c>
      <c r="H4" s="2542"/>
      <c r="I4" s="2550"/>
      <c r="J4" s="965" t="str">
        <f>IF(ca_3=0," ",b_3)</f>
        <v xml:space="preserve"> </v>
      </c>
      <c r="K4" s="2542"/>
      <c r="L4" s="2550"/>
      <c r="M4" s="977" t="str">
        <f>IF(ca_4=0," ",b_4)</f>
        <v xml:space="preserve"> </v>
      </c>
      <c r="N4" s="2542"/>
      <c r="O4" s="2550"/>
    </row>
    <row r="5" spans="2:15" ht="17.100000000000001" customHeight="1">
      <c r="B5" s="2552" t="s">
        <v>688</v>
      </c>
      <c r="C5" s="978" t="s">
        <v>495</v>
      </c>
      <c r="D5" s="979" t="str">
        <f>D3</f>
        <v xml:space="preserve"> </v>
      </c>
      <c r="E5" s="2541" t="str">
        <f>IF(ISERROR(D5/D6)," ",D5/D6)</f>
        <v xml:space="preserve"> </v>
      </c>
      <c r="F5" s="2544" t="str">
        <f>IF(ratio_1=" "," ",IF(ratio_1&lt;0.2,0,IF(ratio_1&lt;=0.5,1,IF(ratio_1&gt;0.5,2," "))))</f>
        <v xml:space="preserve"> </v>
      </c>
      <c r="G5" s="980" t="str">
        <f>G3</f>
        <v xml:space="preserve"> </v>
      </c>
      <c r="H5" s="2541" t="str">
        <f>IF(ISERROR(G5/G6)," ",G5/G6)</f>
        <v xml:space="preserve"> </v>
      </c>
      <c r="I5" s="2549" t="str">
        <f>IF(ratio_2=" "," ",IF(ratio_2&lt;0.2,0,IF(ratio_2&lt;=0.5,1,IF(ratio_2&gt;0.5,2," "))))</f>
        <v xml:space="preserve"> </v>
      </c>
      <c r="J5" s="980" t="str">
        <f>J3</f>
        <v xml:space="preserve"> </v>
      </c>
      <c r="K5" s="2541" t="str">
        <f>IF(ISERROR(J5/J6)," ",J5/J6)</f>
        <v xml:space="preserve"> </v>
      </c>
      <c r="L5" s="2549" t="str">
        <f>IF(ratio_3=" "," ",IF(ratio_3&lt;0.2,0,IF(ratio_3&lt;=0.5,1,IF(ratio_3&gt;0.5,2," "))))</f>
        <v xml:space="preserve"> </v>
      </c>
      <c r="M5" s="981" t="str">
        <f>M3</f>
        <v xml:space="preserve"> </v>
      </c>
      <c r="N5" s="2541" t="str">
        <f>IF(ISERROR(M5/M6)," ",M5/M6)</f>
        <v xml:space="preserve"> </v>
      </c>
      <c r="O5" s="2549" t="str">
        <f>IF(ratio_4=" "," ",IF(ratio_4&lt;0.2,0,IF(ratio_4&lt;=0.5,1,IF(ratio_4&gt;0.5,2," "))))</f>
        <v xml:space="preserve"> </v>
      </c>
    </row>
    <row r="6" spans="2:15" ht="17.100000000000001" customHeight="1">
      <c r="B6" s="2557"/>
      <c r="C6" s="982" t="s">
        <v>499</v>
      </c>
      <c r="D6" s="983" t="str">
        <f>IF(ca_1=0," ",bj_1)</f>
        <v xml:space="preserve"> </v>
      </c>
      <c r="E6" s="2543"/>
      <c r="F6" s="2546"/>
      <c r="G6" s="983" t="str">
        <f>IF(ca_2=0," ",bj_2)</f>
        <v xml:space="preserve"> </v>
      </c>
      <c r="H6" s="2543"/>
      <c r="I6" s="2551"/>
      <c r="J6" s="983" t="str">
        <f>IF(ca_3=0," ",bj_3)</f>
        <v xml:space="preserve"> </v>
      </c>
      <c r="K6" s="2543"/>
      <c r="L6" s="2551"/>
      <c r="M6" s="984" t="str">
        <f>IF(ca_4=0," ",bj_4)</f>
        <v xml:space="preserve"> </v>
      </c>
      <c r="N6" s="2543"/>
      <c r="O6" s="2551"/>
    </row>
    <row r="7" spans="2:15" ht="17.100000000000001" customHeight="1">
      <c r="B7" s="2553" t="s">
        <v>689</v>
      </c>
      <c r="C7" s="361" t="s">
        <v>425</v>
      </c>
      <c r="D7" s="965" t="str">
        <f>IF(ca_1=0," ",fr_1)</f>
        <v xml:space="preserve"> </v>
      </c>
      <c r="E7" s="2542" t="str">
        <f>IF(ISERROR(D7/D8)," ",D7/D8)</f>
        <v xml:space="preserve"> </v>
      </c>
      <c r="F7" s="2545" t="str">
        <f>IF(ratio_1=" "," ",IF(ratio_1&lt;0.1,0,IF(ratio_1&lt;0.3,1,IF(ratio_1&lt;=0.5,2,IF(ratio_1&gt;0.5,3," ")))))</f>
        <v xml:space="preserve"> </v>
      </c>
      <c r="G7" s="464" t="str">
        <f>IF(ca_2=0," ",fr_2)</f>
        <v xml:space="preserve"> </v>
      </c>
      <c r="H7" s="2542" t="str">
        <f>IF(ISERROR(G7/G8)," ",G7/G8)</f>
        <v xml:space="preserve"> </v>
      </c>
      <c r="I7" s="2550" t="str">
        <f>IF(ratio_2=" "," ",IF(ratio_2&lt;0.1,0,IF(ratio_2&lt;0.3,1,IF(ratio_2&lt;=0.5,2,IF(ratio_2&gt;0.5,3," ")))))</f>
        <v xml:space="preserve"> </v>
      </c>
      <c r="J7" s="464" t="str">
        <f>IF(ca_3=0," ",fr_3)</f>
        <v xml:space="preserve"> </v>
      </c>
      <c r="K7" s="2542" t="str">
        <f>IF(ISERROR(J7/J8)," ",J7/J8)</f>
        <v xml:space="preserve"> </v>
      </c>
      <c r="L7" s="2550" t="str">
        <f>IF(ratio_3=" "," ",IF(ratio_3&lt;0.1,0,IF(ratio_3&lt;0.3,1,IF(ratio_3&lt;=0.5,2,IF(ratio_3&gt;0.5,3," ")))))</f>
        <v xml:space="preserve"> </v>
      </c>
      <c r="M7" s="96" t="str">
        <f>IF(ca_4=0," ",fr_4)</f>
        <v xml:space="preserve"> </v>
      </c>
      <c r="N7" s="2542" t="str">
        <f>IF(ISERROR(M7/M8)," ",M7/M8)</f>
        <v xml:space="preserve"> </v>
      </c>
      <c r="O7" s="2550" t="str">
        <f>IF(ratio_4=" "," ",IF(ratio_4&lt;0.1,0,IF(ratio_4&lt;0.3,1,IF(ratio_4&lt;=0.5,2,IF(ratio_4&gt;0.5,3," ")))))</f>
        <v xml:space="preserve"> </v>
      </c>
    </row>
    <row r="8" spans="2:15" ht="17.100000000000001" customHeight="1">
      <c r="B8" s="2553"/>
      <c r="C8" s="361" t="s">
        <v>222</v>
      </c>
      <c r="D8" s="965" t="str">
        <f>IF(ca_1=0," ",bfre_1)</f>
        <v xml:space="preserve"> </v>
      </c>
      <c r="E8" s="2542"/>
      <c r="F8" s="2545"/>
      <c r="G8" s="965" t="str">
        <f>IF(ca_2=0," ",bfre_2)</f>
        <v xml:space="preserve"> </v>
      </c>
      <c r="H8" s="2542"/>
      <c r="I8" s="2550"/>
      <c r="J8" s="965" t="str">
        <f>IF(ca_3=0," ",bfre_3)</f>
        <v xml:space="preserve"> </v>
      </c>
      <c r="K8" s="2542"/>
      <c r="L8" s="2550"/>
      <c r="M8" s="977" t="str">
        <f>IF(ca_4=0," ",bfre_4)</f>
        <v xml:space="preserve"> </v>
      </c>
      <c r="N8" s="2542"/>
      <c r="O8" s="2550"/>
    </row>
    <row r="9" spans="2:15" ht="17.100000000000001" customHeight="1">
      <c r="B9" s="2552" t="s">
        <v>690</v>
      </c>
      <c r="C9" s="978" t="s">
        <v>500</v>
      </c>
      <c r="D9" s="979" t="str">
        <f>IF(ca_1=0," ",rc_1)</f>
        <v xml:space="preserve"> </v>
      </c>
      <c r="E9" s="2541" t="str">
        <f>IF(ISERROR((D9-D10-D11)/D12)," ",(D9-D10-D11)/D12)</f>
        <v xml:space="preserve"> </v>
      </c>
      <c r="F9" s="2544" t="str">
        <f>IF(ratio_1=" "," ",IF(ratio_1&lt;0.5,0,IF(ratio_1&lt;1,1,IF(ratio_1&lt;=2.5,2,IF(ratio_1&gt;2.5,3," ")))))</f>
        <v xml:space="preserve"> </v>
      </c>
      <c r="G9" s="980" t="str">
        <f>IF(ca_2=0," ",rc_2)</f>
        <v xml:space="preserve"> </v>
      </c>
      <c r="H9" s="2541" t="str">
        <f>IF(ISERROR((G9-G10-G11)/G12)," ",(G9-G10-G11)/G12)</f>
        <v xml:space="preserve"> </v>
      </c>
      <c r="I9" s="2549" t="str">
        <f>IF(ratio_2=" "," ",IF(ratio_2&lt;0.5,0,IF(ratio_2&lt;1,1,IF(ratio_2&lt;=2.5,2,IF(ratio_2&gt;2.5,3," ")))))</f>
        <v xml:space="preserve"> </v>
      </c>
      <c r="J9" s="980" t="str">
        <f>IF(ca_3=0," ",rc_3)</f>
        <v xml:space="preserve"> </v>
      </c>
      <c r="K9" s="2541" t="str">
        <f>IF(ISERROR((J9-J10-J11)/J12)," ",(J9-J10-J11)/J12)</f>
        <v xml:space="preserve"> </v>
      </c>
      <c r="L9" s="2549" t="str">
        <f>IF(ratio_3=" "," ",IF(ratio_3&lt;0.5,0,IF(ratio_3&lt;1,1,IF(ratio_3&lt;=2.5,2,IF(ratio_3&gt;2.5,3," ")))))</f>
        <v xml:space="preserve"> </v>
      </c>
      <c r="M9" s="981" t="str">
        <f>IF(ca_4=0," ",rc_4)</f>
        <v xml:space="preserve"> </v>
      </c>
      <c r="N9" s="2541" t="str">
        <f>IF(ISERROR((M9-M10-M11)/M12)," ",(M9-M10-M11)/M12)</f>
        <v xml:space="preserve"> </v>
      </c>
      <c r="O9" s="2549" t="str">
        <f>IF(ratio_4=" "," ",IF(ratio_4&lt;0.5,0,IF(ratio_4&lt;1,1,IF(ratio_4&lt;=2.5,2,IF(ratio_4&gt;2.5,3," ")))))</f>
        <v xml:space="preserve"> </v>
      </c>
    </row>
    <row r="10" spans="2:15" ht="17.100000000000001" customHeight="1">
      <c r="B10" s="2553"/>
      <c r="C10" s="361" t="s">
        <v>501</v>
      </c>
      <c r="D10" s="965" t="str">
        <f>IF(ca_1=0," ",hk_1)</f>
        <v xml:space="preserve"> </v>
      </c>
      <c r="E10" s="2542"/>
      <c r="F10" s="2545"/>
      <c r="G10" s="965" t="str">
        <f>IF(ca_2=0," ",hk_2)</f>
        <v xml:space="preserve"> </v>
      </c>
      <c r="H10" s="2542"/>
      <c r="I10" s="2550"/>
      <c r="J10" s="965" t="str">
        <f>IF(ca_3=0," ",hk_3)</f>
        <v xml:space="preserve"> </v>
      </c>
      <c r="K10" s="2542"/>
      <c r="L10" s="2550"/>
      <c r="M10" s="977" t="str">
        <f>IF(ca_4=0," ",hk_4)</f>
        <v xml:space="preserve"> </v>
      </c>
      <c r="N10" s="2542"/>
      <c r="O10" s="2550"/>
    </row>
    <row r="11" spans="2:15" ht="17.100000000000001" customHeight="1">
      <c r="B11" s="2558"/>
      <c r="C11" s="361" t="s">
        <v>502</v>
      </c>
      <c r="D11" s="965" t="str">
        <f>IF(ca_1=0," ",hj_1)</f>
        <v xml:space="preserve"> </v>
      </c>
      <c r="E11" s="2542" t="str">
        <f>IF(ISERROR(D11/D12)," ",D11/D12)</f>
        <v xml:space="preserve"> </v>
      </c>
      <c r="F11" s="2545" t="str">
        <f>IF(ratio_2=" "," ",IF(ratio_2&lt;0.1,0,IF(ratio_2&lt;0.3,1,IF(ratio_2&lt;=0.5,2,IF(ratio_2&gt;0.5,3," ")))))</f>
        <v xml:space="preserve"> </v>
      </c>
      <c r="G11" s="965" t="str">
        <f>IF(ca_2=0," ",hj_2)</f>
        <v xml:space="preserve"> </v>
      </c>
      <c r="H11" s="2542" t="str">
        <f>IF(ISERROR(G11/G12)," ",G11/G12)</f>
        <v xml:space="preserve"> </v>
      </c>
      <c r="I11" s="2550" t="str">
        <f>IF(ratio_2=" "," ",IF(ratio_2&lt;0.1,0,IF(ratio_2&lt;0.3,1,IF(ratio_2&lt;=0.5,2,IF(ratio_2&gt;0.5,3," ")))))</f>
        <v xml:space="preserve"> </v>
      </c>
      <c r="J11" s="965" t="str">
        <f>IF(ca_3=0," ",hj_3)</f>
        <v xml:space="preserve"> </v>
      </c>
      <c r="K11" s="2542" t="str">
        <f>IF(ISERROR(J11/J12)," ",J11/J12)</f>
        <v xml:space="preserve"> </v>
      </c>
      <c r="L11" s="2550" t="str">
        <f>IF(ratio_2=" "," ",IF(ratio_2&lt;0.1,0,IF(ratio_2&lt;0.3,1,IF(ratio_2&lt;=0.5,2,IF(ratio_2&gt;0.5,3," ")))))</f>
        <v xml:space="preserve"> </v>
      </c>
      <c r="M11" s="977" t="str">
        <f>IF(ca_4=0," ",hj_4)</f>
        <v xml:space="preserve"> </v>
      </c>
      <c r="N11" s="2542" t="str">
        <f>IF(ISERROR(M11/M12)," ",M11/M12)</f>
        <v xml:space="preserve"> </v>
      </c>
      <c r="O11" s="2550" t="str">
        <f>IF(ratio_2=" "," ",IF(ratio_2&lt;0.1,0,IF(ratio_2&lt;0.3,1,IF(ratio_2&lt;=0.5,2,IF(ratio_2&gt;0.5,3," ")))))</f>
        <v xml:space="preserve"> </v>
      </c>
    </row>
    <row r="12" spans="2:15" ht="17.100000000000001" customHeight="1">
      <c r="B12" s="2554"/>
      <c r="C12" s="982" t="s">
        <v>503</v>
      </c>
      <c r="D12" s="983" t="str">
        <f>IF(ca_1=0," ",pr_1)</f>
        <v xml:space="preserve"> </v>
      </c>
      <c r="E12" s="2543"/>
      <c r="F12" s="2546"/>
      <c r="G12" s="985" t="str">
        <f>IF(ca_2=0," ",pr_2)</f>
        <v xml:space="preserve"> </v>
      </c>
      <c r="H12" s="2543"/>
      <c r="I12" s="2551"/>
      <c r="J12" s="985" t="str">
        <f>IF(ca_3=0," ",pr_3)</f>
        <v xml:space="preserve"> </v>
      </c>
      <c r="K12" s="2543"/>
      <c r="L12" s="2551"/>
      <c r="M12" s="986" t="str">
        <f>IF(ca_4=0," ",pr_4)</f>
        <v xml:space="preserve"> </v>
      </c>
      <c r="N12" s="2543"/>
      <c r="O12" s="2551"/>
    </row>
    <row r="13" spans="2:15" ht="17.100000000000001" customHeight="1">
      <c r="B13" s="2552" t="s">
        <v>691</v>
      </c>
      <c r="C13" s="978" t="s">
        <v>206</v>
      </c>
      <c r="D13" s="979" t="str">
        <f>IF(ca_1=0," ",caf_1)</f>
        <v xml:space="preserve"> </v>
      </c>
      <c r="E13" s="2541" t="str">
        <f>IF(ISERROR((D13-D14)/D15)," ",(D13-D14)/D15)</f>
        <v xml:space="preserve"> </v>
      </c>
      <c r="F13" s="2544" t="str">
        <f>IF(ratio_1=" "," ",IF(ratio_1&lt;0.75,-1,IF(ratio_1&lt;1,0,IF(ratio_1&lt;=1.5,1,IF(ratio_1&lt;=2,2,IF(ratio_1&gt;2,3," "))))))</f>
        <v xml:space="preserve"> </v>
      </c>
      <c r="G13" s="980" t="str">
        <f>IF(ca_2=0," ",caf_2)</f>
        <v xml:space="preserve"> </v>
      </c>
      <c r="H13" s="2541" t="str">
        <f>IF(ISERROR((G13-G14)/G15)," ",(G13-G14)/G15)</f>
        <v xml:space="preserve"> </v>
      </c>
      <c r="I13" s="2549" t="str">
        <f>IF(ratio_2=" "," ",IF(ratio_2&lt;0.75,-1,IF(ratio_2&lt;1,0,IF(ratio_2&lt;=1.5,1,IF(ratio_2&lt;=2,2,IF(ratio_2&gt;2,3," "))))))</f>
        <v xml:space="preserve"> </v>
      </c>
      <c r="J13" s="980" t="str">
        <f>IF(ca_3=0," ",caf_3)</f>
        <v xml:space="preserve"> </v>
      </c>
      <c r="K13" s="2541" t="str">
        <f>IF(ISERROR((J13-J14)/J15)," ",(J13-J14)/J15)</f>
        <v xml:space="preserve"> </v>
      </c>
      <c r="L13" s="2549" t="str">
        <f>IF(ratio_3=" "," ",IF(ratio_3&lt;0.75,-1,IF(ratio_3&lt;1,0,IF(ratio_3&lt;=1.5,1,IF(ratio_3&lt;=2,2,IF(ratio_3&gt;2,3," "))))))</f>
        <v xml:space="preserve"> </v>
      </c>
      <c r="M13" s="981" t="str">
        <f>IF(ca_4=0," ",caf_4)</f>
        <v xml:space="preserve"> </v>
      </c>
      <c r="N13" s="2541" t="str">
        <f>IF(ISERROR((M13-M14)/M15)," ",(M13-M14)/M15)</f>
        <v xml:space="preserve"> </v>
      </c>
      <c r="O13" s="2549" t="str">
        <f>IF(ratio_4=" "," ",IF(ratio_4&lt;0.75,-1,IF(ratio_4&lt;1,0,IF(ratio_4&lt;=1.5,1,IF(ratio_4&lt;=2,2,IF(ratio_4&gt;2,3," "))))))</f>
        <v xml:space="preserve"> </v>
      </c>
    </row>
    <row r="14" spans="2:15" ht="17.100000000000001" customHeight="1">
      <c r="B14" s="2553"/>
      <c r="C14" s="361" t="s">
        <v>520</v>
      </c>
      <c r="D14" s="965" t="str">
        <f>IF(ca_1=0," ",ze_1)</f>
        <v xml:space="preserve"> </v>
      </c>
      <c r="E14" s="2542"/>
      <c r="F14" s="2545"/>
      <c r="G14" s="965" t="str">
        <f>IF(ca_2=0," ",ze_2)</f>
        <v xml:space="preserve"> </v>
      </c>
      <c r="H14" s="2542"/>
      <c r="I14" s="2550"/>
      <c r="J14" s="965" t="str">
        <f>IF(ca_3=0," ",ze_3)</f>
        <v xml:space="preserve"> </v>
      </c>
      <c r="K14" s="2542"/>
      <c r="L14" s="2550"/>
      <c r="M14" s="977" t="str">
        <f>IF(ca_4=0," ",ze_4)</f>
        <v xml:space="preserve"> </v>
      </c>
      <c r="N14" s="2542"/>
      <c r="O14" s="2550"/>
    </row>
    <row r="15" spans="2:15" ht="17.100000000000001" customHeight="1">
      <c r="B15" s="2554"/>
      <c r="C15" s="982" t="s">
        <v>521</v>
      </c>
      <c r="D15" s="983" t="str">
        <f>IF(ca_1=0," ",vk_1)</f>
        <v xml:space="preserve"> </v>
      </c>
      <c r="E15" s="2543" t="str">
        <f>IF(ISERROR(D15/D16)," ",D15/D16)</f>
        <v xml:space="preserve"> </v>
      </c>
      <c r="F15" s="2546" t="str">
        <f>IF(ratio_2=" "," ",IF(ratio_2&lt;0.1,0,IF(ratio_2&lt;0.3,1,IF(ratio_2&lt;=0.5,2,IF(ratio_2&gt;0.5,3," ")))))</f>
        <v xml:space="preserve"> </v>
      </c>
      <c r="G15" s="985" t="str">
        <f>IF(ca_2=0," ",vk_2)</f>
        <v xml:space="preserve"> </v>
      </c>
      <c r="H15" s="2543" t="str">
        <f>IF(ISERROR(G15/G16)," ",G15/G16)</f>
        <v xml:space="preserve"> </v>
      </c>
      <c r="I15" s="2551" t="str">
        <f>IF(ratio_2=" "," ",IF(ratio_2&lt;0.1,0,IF(ratio_2&lt;0.3,1,IF(ratio_2&lt;=0.5,2,IF(ratio_2&gt;0.5,3," ")))))</f>
        <v xml:space="preserve"> </v>
      </c>
      <c r="J15" s="985" t="str">
        <f>IF(ca_3=0," ",vk_3)</f>
        <v xml:space="preserve"> </v>
      </c>
      <c r="K15" s="2543" t="str">
        <f>IF(ISERROR(J15/J16)," ",J15/J16)</f>
        <v xml:space="preserve"> </v>
      </c>
      <c r="L15" s="2551" t="str">
        <f>IF(ratio_2=" "," ",IF(ratio_2&lt;0.1,0,IF(ratio_2&lt;0.3,1,IF(ratio_2&lt;=0.5,2,IF(ratio_2&gt;0.5,3," ")))))</f>
        <v xml:space="preserve"> </v>
      </c>
      <c r="M15" s="986" t="str">
        <f>IF(ca_4=0," ",vk_4)</f>
        <v xml:space="preserve"> </v>
      </c>
      <c r="N15" s="2543" t="str">
        <f>IF(ISERROR(M15/M16)," ",M15/M16)</f>
        <v xml:space="preserve"> </v>
      </c>
      <c r="O15" s="2551" t="str">
        <f>IF(ratio_2=" "," ",IF(ratio_2&lt;0.1,0,IF(ratio_2&lt;0.3,1,IF(ratio_2&lt;=0.5,2,IF(ratio_2&gt;0.5,3," ")))))</f>
        <v xml:space="preserve"> </v>
      </c>
    </row>
    <row r="16" spans="2:15" ht="17.100000000000001" customHeight="1">
      <c r="B16" s="2553" t="s">
        <v>692</v>
      </c>
      <c r="C16" s="361" t="s">
        <v>522</v>
      </c>
      <c r="D16" s="965" t="str">
        <f>IF(ca_1=0," ",p_1)</f>
        <v xml:space="preserve"> </v>
      </c>
      <c r="E16" s="2542" t="str">
        <f>IF(ISERROR(D16/D17)," ",D16/D17)</f>
        <v xml:space="preserve"> </v>
      </c>
      <c r="F16" s="2545" t="str">
        <f>IF(ratio_1=" "," ",IF(ratio_1&lt;0.6,2,IF(ratio_1&lt;=0.8,1,IF(ratio_1&gt;0.8,0," "))))</f>
        <v xml:space="preserve"> </v>
      </c>
      <c r="G16" s="464" t="str">
        <f>IF(ca_2=0," ",p_2)</f>
        <v xml:space="preserve"> </v>
      </c>
      <c r="H16" s="2542" t="str">
        <f>IF(ISERROR(G16/G17)," ",G16/G17)</f>
        <v xml:space="preserve"> </v>
      </c>
      <c r="I16" s="2550" t="str">
        <f>IF(ratio_2=" "," ",IF(ratio_2&lt;0.6,2,IF(ratio_2&lt;=0.8,1,IF(ratio_2&gt;0.8,0," "))))</f>
        <v xml:space="preserve"> </v>
      </c>
      <c r="J16" s="464" t="str">
        <f>IF(ca_3=0," ",p_3)</f>
        <v xml:space="preserve"> </v>
      </c>
      <c r="K16" s="2542" t="str">
        <f>IF(ISERROR(J16/J17)," ",J16/J17)</f>
        <v xml:space="preserve"> </v>
      </c>
      <c r="L16" s="2550" t="str">
        <f>IF(ratio_3=" "," ",IF(ratio_3&lt;0.6,2,IF(ratio_3&lt;=0.8,1,IF(ratio_3&gt;0.8,0," "))))</f>
        <v xml:space="preserve"> </v>
      </c>
      <c r="M16" s="96" t="str">
        <f>IF(ca_4=0," ",p_4)</f>
        <v xml:space="preserve"> </v>
      </c>
      <c r="N16" s="2542" t="str">
        <f>IF(ISERROR(M16/M17)," ",M16/M17)</f>
        <v xml:space="preserve"> </v>
      </c>
      <c r="O16" s="2550" t="str">
        <f>IF(ratio_4=" "," ",IF(ratio_4&lt;0.6,2,IF(ratio_4&lt;=0.8,1,IF(ratio_4&gt;0.8,0," "))))</f>
        <v xml:space="preserve"> </v>
      </c>
    </row>
    <row r="17" spans="2:15" ht="17.100000000000001" customHeight="1">
      <c r="B17" s="2555"/>
      <c r="C17" s="974" t="s">
        <v>204</v>
      </c>
      <c r="D17" s="975" t="str">
        <f>IF(ca_1=0," ",va_1)</f>
        <v xml:space="preserve"> </v>
      </c>
      <c r="E17" s="2547"/>
      <c r="F17" s="2548"/>
      <c r="G17" s="975" t="str">
        <f>IF(ca_2=0," ",va_2)</f>
        <v xml:space="preserve"> </v>
      </c>
      <c r="H17" s="2547"/>
      <c r="I17" s="2556"/>
      <c r="J17" s="975" t="str">
        <f>IF(ca_3=0," ",va_3)</f>
        <v xml:space="preserve"> </v>
      </c>
      <c r="K17" s="2547"/>
      <c r="L17" s="2556"/>
      <c r="M17" s="976" t="str">
        <f>IF(ca_4=0," ",va_4)</f>
        <v xml:space="preserve"> </v>
      </c>
      <c r="N17" s="2547"/>
      <c r="O17" s="2556"/>
    </row>
    <row r="18" spans="2:15" s="268" customFormat="1" ht="6" customHeight="1">
      <c r="B18" s="269"/>
      <c r="C18" s="255"/>
      <c r="D18" s="270"/>
      <c r="E18" s="271"/>
      <c r="F18" s="272"/>
      <c r="G18" s="270"/>
      <c r="H18" s="271"/>
      <c r="I18" s="272"/>
      <c r="J18" s="270"/>
      <c r="K18" s="271"/>
      <c r="L18" s="272"/>
      <c r="M18" s="270"/>
      <c r="N18" s="271"/>
      <c r="O18" s="272"/>
    </row>
    <row r="19" spans="2:15" ht="24.9" customHeight="1">
      <c r="B19" s="2535" t="s">
        <v>554</v>
      </c>
      <c r="C19" s="2536"/>
      <c r="D19" s="968"/>
      <c r="E19" s="969" t="s">
        <v>497</v>
      </c>
      <c r="F19" s="970" t="s">
        <v>498</v>
      </c>
      <c r="G19" s="971"/>
      <c r="H19" s="969" t="s">
        <v>497</v>
      </c>
      <c r="I19" s="972" t="s">
        <v>498</v>
      </c>
      <c r="J19" s="971"/>
      <c r="K19" s="969" t="s">
        <v>497</v>
      </c>
      <c r="L19" s="970" t="s">
        <v>498</v>
      </c>
      <c r="M19" s="971"/>
      <c r="N19" s="969" t="s">
        <v>497</v>
      </c>
      <c r="O19" s="973" t="s">
        <v>498</v>
      </c>
    </row>
    <row r="20" spans="2:15" ht="24.9" customHeight="1">
      <c r="B20" s="2563" t="s">
        <v>693</v>
      </c>
      <c r="C20" s="2564"/>
      <c r="D20" s="966"/>
      <c r="E20" s="944"/>
      <c r="F20" s="987">
        <v>0</v>
      </c>
      <c r="G20" s="967"/>
      <c r="H20" s="944" t="s">
        <v>552</v>
      </c>
      <c r="I20" s="989">
        <f>IF(H20="NON",0,IF(H20="OUI",-1," "))</f>
        <v>0</v>
      </c>
      <c r="J20" s="967"/>
      <c r="K20" s="944" t="s">
        <v>552</v>
      </c>
      <c r="L20" s="989">
        <f>IF(K20="NON",0,IF(K20="OUI",-1," "))</f>
        <v>0</v>
      </c>
      <c r="M20" s="943"/>
      <c r="N20" s="944" t="s">
        <v>553</v>
      </c>
      <c r="O20" s="989">
        <f>IF(N20="NON",0,IF(N20="OUI",-1," "))</f>
        <v>-1</v>
      </c>
    </row>
    <row r="21" spans="2:15" ht="24.9" customHeight="1">
      <c r="B21" s="2565" t="s">
        <v>694</v>
      </c>
      <c r="C21" s="2566"/>
      <c r="D21" s="946"/>
      <c r="E21" s="945"/>
      <c r="F21" s="988">
        <v>0</v>
      </c>
      <c r="G21" s="946"/>
      <c r="H21" s="945">
        <v>3</v>
      </c>
      <c r="I21" s="990">
        <f>IF(ISBLANK(H21)," ",IF(H21&lt;=3,-1,IF(H21&gt;3,0)))</f>
        <v>-1</v>
      </c>
      <c r="J21" s="946"/>
      <c r="K21" s="945">
        <v>30</v>
      </c>
      <c r="L21" s="990">
        <f>IF(ISBLANK(K21)," ",IF(K21&lt;=3,-1,IF(K21&gt;3,0)))</f>
        <v>0</v>
      </c>
      <c r="M21" s="947"/>
      <c r="N21" s="945">
        <v>30</v>
      </c>
      <c r="O21" s="990">
        <f>IF(ISBLANK(N21)," ",IF(N21&lt;=3,-1,IF(N21&gt;3,0)))</f>
        <v>0</v>
      </c>
    </row>
    <row r="22" spans="2:15" ht="15" customHeight="1">
      <c r="D22" s="270"/>
      <c r="E22" s="271"/>
      <c r="F22" s="272"/>
      <c r="G22" s="270"/>
      <c r="H22" s="271"/>
      <c r="I22" s="272"/>
      <c r="J22" s="270"/>
      <c r="K22" s="271"/>
      <c r="L22" s="272"/>
      <c r="M22" s="270"/>
      <c r="N22" s="271"/>
      <c r="O22" s="272"/>
    </row>
    <row r="23" spans="2:15" s="133" customFormat="1" ht="24.9" customHeight="1">
      <c r="B23" s="273"/>
      <c r="C23" s="274"/>
      <c r="D23" s="2537" t="s">
        <v>525</v>
      </c>
      <c r="E23" s="2538"/>
      <c r="F23" s="991" t="str">
        <f>IF(ISERROR(F3+F5+F7+F9+F13+F16+F20+F21)," ",F3+F5+F7+F9+F13+F16+F20+F21)</f>
        <v xml:space="preserve"> </v>
      </c>
      <c r="G23" s="2537" t="s">
        <v>525</v>
      </c>
      <c r="H23" s="2538"/>
      <c r="I23" s="991" t="str">
        <f>IF(ISERROR(I3+I5+I7+I9+I13+I16+I20+I21)," ",I3+I5+I7+I9+I13+I16+I20+I21)</f>
        <v xml:space="preserve"> </v>
      </c>
      <c r="J23" s="2537" t="s">
        <v>525</v>
      </c>
      <c r="K23" s="2538"/>
      <c r="L23" s="991" t="str">
        <f>IF(ISERROR(L3+L5+L7+L9+L13+L16+L20+L21)," ",L3+L5+L7+L9+L13+L16+L20+L21)</f>
        <v xml:space="preserve"> </v>
      </c>
      <c r="M23" s="2537" t="s">
        <v>525</v>
      </c>
      <c r="N23" s="2538"/>
      <c r="O23" s="991" t="str">
        <f>IF(ISERROR(O3+O5+O7+O9+O13+O16+O20+O21)," ",O3+O5+O7+O9+O13+O16+O20+O21)</f>
        <v xml:space="preserve"> </v>
      </c>
    </row>
    <row r="24" spans="2:15" ht="6" customHeight="1">
      <c r="D24" s="96"/>
      <c r="E24" s="285"/>
      <c r="F24" s="286"/>
      <c r="G24" s="96"/>
      <c r="H24" s="285"/>
      <c r="I24" s="286"/>
      <c r="J24" s="96"/>
      <c r="K24" s="285"/>
      <c r="L24" s="286"/>
      <c r="M24" s="270"/>
      <c r="N24" s="271"/>
      <c r="O24" s="272"/>
    </row>
    <row r="25" spans="2:15" s="275" customFormat="1" ht="30" customHeight="1">
      <c r="B25" s="2567" t="s">
        <v>524</v>
      </c>
      <c r="C25" s="2567"/>
      <c r="D25" s="948"/>
      <c r="E25" s="2539" t="str">
        <f>IF(F23=" "," ",IF(F23&lt;3,"Risque très élevé",IF(F23&lt;8,"Risque élevé",IF(F23&lt;13,"Risque moyen","Risque faible"))))</f>
        <v xml:space="preserve"> </v>
      </c>
      <c r="F25" s="2540"/>
      <c r="G25" s="948"/>
      <c r="H25" s="2539" t="str">
        <f>IF(I23=" "," ",IF(I23&lt;3,"Risque très élevé",IF(I23&lt;8,"Risque élevé",IF(I23&lt;13,"Risque moyen","Risque faible"))))</f>
        <v xml:space="preserve"> </v>
      </c>
      <c r="I25" s="2540"/>
      <c r="J25" s="948"/>
      <c r="K25" s="2539" t="str">
        <f>IF(L23=" "," ",IF(L23&lt;3,"Risque très élevé",IF(L23&lt;8,"Risque élevé",IF(L23&lt;13,"Risque moyen","Risque faible"))))</f>
        <v xml:space="preserve"> </v>
      </c>
      <c r="L25" s="2540"/>
      <c r="M25" s="949"/>
      <c r="N25" s="2539" t="str">
        <f>IF(O23=" "," ",IF(O23&lt;3,"Risque très élevé",IF(O23&lt;8,"Risque élevé",IF(O23&lt;13,"Risque moyen","Risque faible"))))</f>
        <v xml:space="preserve"> </v>
      </c>
      <c r="O25" s="2540"/>
    </row>
    <row r="26" spans="2:15" s="268" customFormat="1" ht="20.100000000000001" customHeight="1">
      <c r="B26" s="269"/>
      <c r="C26" s="255"/>
      <c r="D26" s="270"/>
      <c r="E26" s="271"/>
      <c r="F26" s="272"/>
      <c r="G26" s="270"/>
      <c r="H26" s="271"/>
      <c r="I26" s="272"/>
      <c r="J26" s="270"/>
      <c r="K26" s="271"/>
      <c r="L26" s="272"/>
      <c r="M26" s="270"/>
      <c r="N26" s="271"/>
      <c r="O26" s="272"/>
    </row>
    <row r="27" spans="2:15" ht="20.100000000000001" customHeight="1">
      <c r="D27" s="256"/>
      <c r="G27" s="256"/>
      <c r="J27" s="256"/>
      <c r="M27" s="256"/>
    </row>
    <row r="28" spans="2:15" ht="20.100000000000001" customHeight="1">
      <c r="D28" s="256"/>
      <c r="G28" s="256"/>
      <c r="J28" s="256"/>
      <c r="M28" s="256"/>
    </row>
    <row r="29" spans="2:15" ht="20.100000000000001" customHeight="1">
      <c r="D29" s="256"/>
      <c r="G29" s="256"/>
      <c r="J29" s="256"/>
      <c r="M29" s="256"/>
    </row>
    <row r="30" spans="2:15" ht="20.100000000000001" customHeight="1">
      <c r="D30" s="256"/>
      <c r="G30" s="256"/>
      <c r="J30" s="256"/>
      <c r="M30" s="256"/>
    </row>
    <row r="31" spans="2:15" ht="20.100000000000001" customHeight="1">
      <c r="D31" s="256"/>
      <c r="G31" s="256"/>
      <c r="J31" s="256"/>
      <c r="M31" s="256"/>
    </row>
    <row r="32" spans="2:15"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sheetData>
  <sheetProtection formatCells="0" formatColumns="0" formatRows="0" insertColumns="0" insertRows="0" insertHyperlinks="0" deleteColumns="0" deleteRows="0" sort="0" autoFilter="0" pivotTables="0"/>
  <mergeCells count="71">
    <mergeCell ref="B20:C20"/>
    <mergeCell ref="B21:C21"/>
    <mergeCell ref="B25:C25"/>
    <mergeCell ref="M23:N23"/>
    <mergeCell ref="N25:O25"/>
    <mergeCell ref="K25:L25"/>
    <mergeCell ref="O7:O8"/>
    <mergeCell ref="N9:N12"/>
    <mergeCell ref="O9:O12"/>
    <mergeCell ref="N13:N15"/>
    <mergeCell ref="O13:O15"/>
    <mergeCell ref="N7:N8"/>
    <mergeCell ref="N16:N17"/>
    <mergeCell ref="O16:O17"/>
    <mergeCell ref="K16:K17"/>
    <mergeCell ref="L16:L17"/>
    <mergeCell ref="J23:K23"/>
    <mergeCell ref="M1:O1"/>
    <mergeCell ref="N3:N4"/>
    <mergeCell ref="O3:O4"/>
    <mergeCell ref="N5:N6"/>
    <mergeCell ref="O5:O6"/>
    <mergeCell ref="K7:K8"/>
    <mergeCell ref="L7:L8"/>
    <mergeCell ref="K9:K12"/>
    <mergeCell ref="L9:L12"/>
    <mergeCell ref="K13:K15"/>
    <mergeCell ref="L13:L15"/>
    <mergeCell ref="J1:L1"/>
    <mergeCell ref="K3:K4"/>
    <mergeCell ref="L3:L4"/>
    <mergeCell ref="K5:K6"/>
    <mergeCell ref="L5:L6"/>
    <mergeCell ref="D1:F1"/>
    <mergeCell ref="G1:I1"/>
    <mergeCell ref="I3:I4"/>
    <mergeCell ref="F5:F6"/>
    <mergeCell ref="I5:I6"/>
    <mergeCell ref="H3:H4"/>
    <mergeCell ref="I16:I17"/>
    <mergeCell ref="E9:E12"/>
    <mergeCell ref="B3:B4"/>
    <mergeCell ref="B5:B6"/>
    <mergeCell ref="H5:H6"/>
    <mergeCell ref="B9:B12"/>
    <mergeCell ref="E3:E4"/>
    <mergeCell ref="F3:F4"/>
    <mergeCell ref="E5:E6"/>
    <mergeCell ref="B7:B8"/>
    <mergeCell ref="H7:H8"/>
    <mergeCell ref="E7:E8"/>
    <mergeCell ref="F7:F8"/>
    <mergeCell ref="F9:F12"/>
    <mergeCell ref="I7:I8"/>
    <mergeCell ref="H9:H12"/>
    <mergeCell ref="B2:C2"/>
    <mergeCell ref="B19:C19"/>
    <mergeCell ref="G23:H23"/>
    <mergeCell ref="D23:E23"/>
    <mergeCell ref="H25:I25"/>
    <mergeCell ref="E25:F25"/>
    <mergeCell ref="E13:E15"/>
    <mergeCell ref="F13:F15"/>
    <mergeCell ref="E16:E17"/>
    <mergeCell ref="F16:F17"/>
    <mergeCell ref="I9:I12"/>
    <mergeCell ref="H13:H15"/>
    <mergeCell ref="I13:I15"/>
    <mergeCell ref="B13:B15"/>
    <mergeCell ref="B16:B17"/>
    <mergeCell ref="H16:H17"/>
  </mergeCells>
  <conditionalFormatting sqref="N20 K20 H20 E20">
    <cfRule type="cellIs" dxfId="21" priority="19" operator="equal">
      <formula>"Oui"</formula>
    </cfRule>
  </conditionalFormatting>
  <conditionalFormatting sqref="E25:F25">
    <cfRule type="cellIs" dxfId="20" priority="15" operator="equal">
      <formula>"Risque très élevé"</formula>
    </cfRule>
    <cfRule type="cellIs" dxfId="19" priority="16" operator="equal">
      <formula>"Risque élevé"</formula>
    </cfRule>
    <cfRule type="cellIs" dxfId="18" priority="17" operator="equal">
      <formula>"Risque moyen"</formula>
    </cfRule>
    <cfRule type="cellIs" dxfId="17" priority="18" operator="equal">
      <formula>"Risque faible"</formula>
    </cfRule>
  </conditionalFormatting>
  <conditionalFormatting sqref="H25:I25">
    <cfRule type="cellIs" dxfId="16" priority="11" operator="equal">
      <formula>"Risque très élevé"</formula>
    </cfRule>
    <cfRule type="cellIs" dxfId="15" priority="12" operator="equal">
      <formula>"Risque élevé"</formula>
    </cfRule>
    <cfRule type="cellIs" dxfId="14" priority="13" operator="equal">
      <formula>"Risque moyen"</formula>
    </cfRule>
    <cfRule type="cellIs" dxfId="13" priority="14" operator="equal">
      <formula>"Risque faible"</formula>
    </cfRule>
  </conditionalFormatting>
  <conditionalFormatting sqref="K25:L25">
    <cfRule type="cellIs" dxfId="12" priority="7" operator="equal">
      <formula>"Risque très élevé"</formula>
    </cfRule>
    <cfRule type="cellIs" dxfId="11" priority="8" operator="equal">
      <formula>"Risque élevé"</formula>
    </cfRule>
    <cfRule type="cellIs" dxfId="10" priority="9" operator="equal">
      <formula>"Risque moyen"</formula>
    </cfRule>
    <cfRule type="cellIs" dxfId="9" priority="10" operator="equal">
      <formula>"Risque faible"</formula>
    </cfRule>
  </conditionalFormatting>
  <conditionalFormatting sqref="N25:O25">
    <cfRule type="cellIs" dxfId="8" priority="3" operator="equal">
      <formula>"Risque très élevé"</formula>
    </cfRule>
    <cfRule type="cellIs" dxfId="7" priority="4" operator="equal">
      <formula>"Risque élevé"</formula>
    </cfRule>
    <cfRule type="cellIs" dxfId="6" priority="5" operator="equal">
      <formula>"Risque moyen"</formula>
    </cfRule>
    <cfRule type="cellIs" dxfId="5" priority="6" operator="equal">
      <formula>"Risque faible"</formula>
    </cfRule>
  </conditionalFormatting>
  <conditionalFormatting sqref="F21 I21 L21 O21">
    <cfRule type="cellIs" dxfId="4" priority="2" operator="lessThan">
      <formula>0</formula>
    </cfRule>
  </conditionalFormatting>
  <conditionalFormatting sqref="F20 I20 L20 O20">
    <cfRule type="cellIs" dxfId="3" priority="1" operator="lessThan">
      <formula>0</formula>
    </cfRule>
  </conditionalFormatting>
  <dataValidations count="1">
    <dataValidation type="list" allowBlank="1" showInputMessage="1" showErrorMessage="1" sqref="E20 H20 K20 N20" xr:uid="{00000000-0002-0000-0A00-000000000000}">
      <formula1>"Non,Oui"</formula1>
    </dataValidation>
  </dataValidations>
  <pageMargins left="0" right="0" top="0" bottom="0" header="0" footer="0"/>
  <pageSetup paperSize="9" scale="7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N39"/>
  <sheetViews>
    <sheetView workbookViewId="0">
      <selection activeCell="O4" sqref="O4"/>
    </sheetView>
  </sheetViews>
  <sheetFormatPr baseColWidth="10" defaultColWidth="12" defaultRowHeight="13.8"/>
  <cols>
    <col min="1" max="1" width="1.77734375" style="2" customWidth="1"/>
    <col min="2" max="2" width="33.33203125" style="2" customWidth="1"/>
    <col min="3" max="3" width="7.6640625" style="2" customWidth="1"/>
    <col min="4" max="12" width="12" style="2"/>
    <col min="13" max="13" width="12.33203125" style="2" bestFit="1" customWidth="1"/>
    <col min="14" max="16384" width="12" style="2"/>
  </cols>
  <sheetData>
    <row r="2" spans="2:13" ht="30" customHeight="1">
      <c r="B2" s="2568" t="s">
        <v>696</v>
      </c>
      <c r="C2" s="2569"/>
      <c r="D2" s="2569"/>
      <c r="E2" s="2569"/>
      <c r="F2" s="2569"/>
      <c r="G2" s="2569"/>
      <c r="H2" s="2569"/>
      <c r="I2" s="2570"/>
    </row>
    <row r="3" spans="2:13" ht="6" customHeight="1"/>
    <row r="4" spans="2:13" ht="20.100000000000001" customHeight="1">
      <c r="B4" s="2573" t="s">
        <v>559</v>
      </c>
      <c r="C4" s="2574"/>
      <c r="D4" s="997">
        <v>2010</v>
      </c>
      <c r="E4" s="1002">
        <v>2011</v>
      </c>
      <c r="F4" s="1002">
        <v>2012</v>
      </c>
      <c r="G4" s="1002">
        <v>2013</v>
      </c>
      <c r="H4" s="1002">
        <v>2014</v>
      </c>
      <c r="I4" s="1001">
        <v>2015</v>
      </c>
    </row>
    <row r="5" spans="2:13" ht="20.100000000000001" customHeight="1">
      <c r="B5" s="2577" t="s">
        <v>220</v>
      </c>
      <c r="C5" s="2578"/>
      <c r="D5" s="998">
        <v>484726</v>
      </c>
      <c r="E5" s="1003">
        <v>637547</v>
      </c>
      <c r="F5" s="1003">
        <f>E5*(1+$D$13)</f>
        <v>816060.16</v>
      </c>
      <c r="G5" s="1003">
        <f t="shared" ref="G5:I5" si="0">F5*(1+$D$13)</f>
        <v>1044557.0048000001</v>
      </c>
      <c r="H5" s="1003">
        <f t="shared" si="0"/>
        <v>1337032.9661440002</v>
      </c>
      <c r="I5" s="960">
        <f t="shared" si="0"/>
        <v>1711402.1966643203</v>
      </c>
      <c r="K5" s="2">
        <f>+D5*1.15</f>
        <v>557434.89999999991</v>
      </c>
    </row>
    <row r="6" spans="2:13" ht="20.100000000000001" customHeight="1">
      <c r="B6" s="2575" t="s">
        <v>500</v>
      </c>
      <c r="C6" s="2576"/>
      <c r="D6" s="999">
        <v>12979</v>
      </c>
      <c r="E6" s="1004">
        <v>19955</v>
      </c>
      <c r="F6" s="1004">
        <f>F5*$E$10</f>
        <v>25542.400000000001</v>
      </c>
      <c r="G6" s="1004">
        <f t="shared" ref="G6:I6" si="1">G5*$E$10</f>
        <v>32694.272000000004</v>
      </c>
      <c r="H6" s="1004">
        <f t="shared" si="1"/>
        <v>41848.668160000008</v>
      </c>
      <c r="I6" s="954">
        <f t="shared" si="1"/>
        <v>53566.295244800007</v>
      </c>
    </row>
    <row r="7" spans="2:13" ht="20.100000000000001" customHeight="1">
      <c r="B7" s="992" t="s">
        <v>501</v>
      </c>
      <c r="C7" s="994">
        <v>0.33</v>
      </c>
      <c r="D7" s="999">
        <f>D6*C7</f>
        <v>4283.0700000000006</v>
      </c>
      <c r="E7" s="1004"/>
      <c r="F7" s="1004"/>
      <c r="G7" s="1004"/>
      <c r="H7" s="1004"/>
      <c r="I7" s="954"/>
    </row>
    <row r="8" spans="2:13" ht="20.100000000000001" customHeight="1">
      <c r="B8" s="2575" t="s">
        <v>557</v>
      </c>
      <c r="C8" s="2576"/>
      <c r="D8" s="999">
        <v>2000</v>
      </c>
      <c r="E8" s="1004"/>
      <c r="F8" s="1004"/>
      <c r="G8" s="1004"/>
      <c r="H8" s="1004"/>
      <c r="I8" s="954"/>
    </row>
    <row r="9" spans="2:13" ht="20.100000000000001" customHeight="1">
      <c r="B9" s="2579" t="s">
        <v>416</v>
      </c>
      <c r="C9" s="2580"/>
      <c r="D9" s="270">
        <f>+D5*28%</f>
        <v>135723.28</v>
      </c>
      <c r="E9" s="1005">
        <f>+E5*24%</f>
        <v>153011.28</v>
      </c>
      <c r="F9" s="1005">
        <f>F5*$E$11</f>
        <v>195854.43840000001</v>
      </c>
      <c r="G9" s="1005">
        <f t="shared" ref="G9:I9" si="2">G5*$E$11</f>
        <v>250693.681152</v>
      </c>
      <c r="H9" s="1005">
        <f t="shared" si="2"/>
        <v>320887.91187456006</v>
      </c>
      <c r="I9" s="961">
        <f t="shared" si="2"/>
        <v>410736.52719943685</v>
      </c>
    </row>
    <row r="10" spans="2:13" ht="21.9" customHeight="1">
      <c r="B10" s="1009" t="s">
        <v>555</v>
      </c>
      <c r="C10" s="1010" t="s">
        <v>581</v>
      </c>
      <c r="D10" s="1011">
        <f>(D6-D7-D8)/D5</f>
        <v>1.3813845347680959E-2</v>
      </c>
      <c r="E10" s="1012">
        <f>(E6-E7-E8)/E5</f>
        <v>3.1299653202038438E-2</v>
      </c>
      <c r="F10" s="1012">
        <f t="shared" ref="F10:I10" si="3">(F6-F7-F8)/F5</f>
        <v>3.1299653202038438E-2</v>
      </c>
      <c r="G10" s="1012">
        <f t="shared" si="3"/>
        <v>3.1299653202038438E-2</v>
      </c>
      <c r="H10" s="1012">
        <f t="shared" si="3"/>
        <v>3.1299653202038438E-2</v>
      </c>
      <c r="I10" s="1013">
        <f t="shared" si="3"/>
        <v>3.1299653202038438E-2</v>
      </c>
      <c r="K10" s="2">
        <f>K5*E10</f>
        <v>17447.519052712974</v>
      </c>
      <c r="M10" s="962">
        <v>0.05</v>
      </c>
    </row>
    <row r="11" spans="2:13" s="261" customFormat="1" ht="21.9" customHeight="1">
      <c r="B11" s="955" t="s">
        <v>558</v>
      </c>
      <c r="C11" s="995" t="s">
        <v>582</v>
      </c>
      <c r="D11" s="950">
        <f>D9/D5</f>
        <v>0.27999999999999997</v>
      </c>
      <c r="E11" s="1006">
        <f>E9/E5</f>
        <v>0.24</v>
      </c>
      <c r="F11" s="1006">
        <f t="shared" ref="F11:I11" si="4">F9/F5</f>
        <v>0.24000000000000002</v>
      </c>
      <c r="G11" s="1006">
        <f t="shared" si="4"/>
        <v>0.24</v>
      </c>
      <c r="H11" s="1006">
        <f t="shared" si="4"/>
        <v>0.24000000000000002</v>
      </c>
      <c r="I11" s="956">
        <f t="shared" si="4"/>
        <v>0.24</v>
      </c>
      <c r="K11" s="261">
        <f>K5*E11</f>
        <v>133784.37599999996</v>
      </c>
      <c r="M11" s="952">
        <v>0.15</v>
      </c>
    </row>
    <row r="12" spans="2:13" ht="21.9" customHeight="1">
      <c r="B12" s="957" t="s">
        <v>585</v>
      </c>
      <c r="C12" s="996" t="s">
        <v>583</v>
      </c>
      <c r="D12" s="951">
        <f>D10/(D11-D10)</f>
        <v>5.1895431472474648E-2</v>
      </c>
      <c r="E12" s="1007">
        <f t="shared" ref="E12:I12" si="5">E10/(E11-E10)</f>
        <v>0.14997413124731881</v>
      </c>
      <c r="F12" s="1007">
        <f t="shared" si="5"/>
        <v>0.14997413124731881</v>
      </c>
      <c r="G12" s="1007">
        <f t="shared" si="5"/>
        <v>0.14997413124731881</v>
      </c>
      <c r="H12" s="1007">
        <f t="shared" si="5"/>
        <v>0.14997413124731881</v>
      </c>
      <c r="I12" s="958">
        <f t="shared" si="5"/>
        <v>0.14997413124731881</v>
      </c>
      <c r="M12" s="953">
        <f>M10/(M11-M10)</f>
        <v>0.50000000000000011</v>
      </c>
    </row>
    <row r="13" spans="2:13" ht="21.9" customHeight="1">
      <c r="B13" s="2571" t="s">
        <v>695</v>
      </c>
      <c r="C13" s="2572"/>
      <c r="D13" s="1000">
        <v>0.28000000000000003</v>
      </c>
      <c r="E13" s="1008">
        <f>(E5/D5)-1</f>
        <v>0.31527295833109847</v>
      </c>
      <c r="F13" s="1008">
        <f t="shared" ref="F13:I13" si="6">(F5/E5)-1</f>
        <v>0.28000000000000003</v>
      </c>
      <c r="G13" s="1008">
        <f t="shared" si="6"/>
        <v>0.28000000000000003</v>
      </c>
      <c r="H13" s="1008">
        <f t="shared" si="6"/>
        <v>0.28000000000000003</v>
      </c>
      <c r="I13" s="959">
        <f t="shared" si="6"/>
        <v>0.28000000000000003</v>
      </c>
      <c r="M13" s="963">
        <v>0.2</v>
      </c>
    </row>
    <row r="14" spans="2:13" ht="20.100000000000001" customHeight="1">
      <c r="E14" s="297">
        <f>E10-(E11*(E13/(1+E13)))</f>
        <v>-2.6228717255355298E-2</v>
      </c>
      <c r="L14" s="311" t="s">
        <v>584</v>
      </c>
      <c r="M14" s="312">
        <f>M10-(M11*(M13/(1+M13)))</f>
        <v>2.5000000000000001E-2</v>
      </c>
    </row>
    <row r="15" spans="2:13" ht="20.100000000000001" customHeight="1">
      <c r="E15" s="256">
        <f>E6-(E9-D9)</f>
        <v>2667</v>
      </c>
      <c r="F15" s="256">
        <f t="shared" ref="F15:I15" si="7">F6-(F9-E9)</f>
        <v>-17300.758400000013</v>
      </c>
      <c r="G15" s="256">
        <f t="shared" si="7"/>
        <v>-22144.970751999987</v>
      </c>
      <c r="H15" s="256">
        <f t="shared" si="7"/>
        <v>-28345.562562560044</v>
      </c>
      <c r="I15" s="256">
        <f t="shared" si="7"/>
        <v>-36282.320080076788</v>
      </c>
    </row>
    <row r="16" spans="2:13" ht="20.100000000000001" customHeight="1"/>
    <row r="17" spans="2:14" ht="20.100000000000001" customHeight="1"/>
    <row r="18" spans="2:14" ht="20.100000000000001" customHeight="1">
      <c r="B18" s="2" t="s">
        <v>560</v>
      </c>
      <c r="E18" s="2">
        <v>171.43</v>
      </c>
      <c r="L18" s="301">
        <v>0.3</v>
      </c>
      <c r="M18" s="2">
        <v>100</v>
      </c>
      <c r="N18" s="2">
        <f>ROUND(M18/2.3,2)</f>
        <v>43.48</v>
      </c>
    </row>
    <row r="19" spans="2:14" ht="20.100000000000001" customHeight="1">
      <c r="B19" s="2" t="s">
        <v>561</v>
      </c>
      <c r="D19" s="2">
        <v>100</v>
      </c>
      <c r="E19" s="2">
        <v>100</v>
      </c>
      <c r="K19" s="3" t="s">
        <v>570</v>
      </c>
      <c r="L19" s="299" t="s">
        <v>571</v>
      </c>
    </row>
    <row r="20" spans="2:14" ht="20.100000000000001" customHeight="1">
      <c r="B20" s="2" t="s">
        <v>562</v>
      </c>
      <c r="D20" s="2">
        <v>35</v>
      </c>
      <c r="E20" s="2">
        <f>+E18*30%</f>
        <v>51.429000000000002</v>
      </c>
      <c r="K20" s="2">
        <v>12000</v>
      </c>
      <c r="L20" s="2">
        <f>ROUND(K20*(1+L18),2)</f>
        <v>15600</v>
      </c>
      <c r="M20" s="2">
        <f>SUM(K20:L20)</f>
        <v>27600</v>
      </c>
    </row>
    <row r="21" spans="2:14" ht="20.100000000000001" customHeight="1">
      <c r="B21" s="2" t="s">
        <v>563</v>
      </c>
      <c r="D21" s="2">
        <v>5</v>
      </c>
      <c r="E21" s="2">
        <v>5</v>
      </c>
    </row>
    <row r="22" spans="2:14" ht="20.100000000000001" customHeight="1">
      <c r="B22" s="2" t="s">
        <v>564</v>
      </c>
      <c r="D22" s="2">
        <v>15</v>
      </c>
      <c r="E22" s="2">
        <f>E18-E19-E20-E21</f>
        <v>15.001000000000005</v>
      </c>
    </row>
    <row r="23" spans="2:14" ht="20.100000000000001" customHeight="1">
      <c r="D23" s="2">
        <f>(D19+D21+D22)/(1-30%)</f>
        <v>171.42857142857144</v>
      </c>
    </row>
    <row r="24" spans="2:14" ht="20.100000000000001" customHeight="1"/>
    <row r="25" spans="2:14" ht="20.100000000000001" customHeight="1">
      <c r="D25" s="2" t="s">
        <v>306</v>
      </c>
      <c r="E25" s="2">
        <v>660</v>
      </c>
      <c r="F25" s="299">
        <v>1</v>
      </c>
    </row>
    <row r="26" spans="2:14" ht="20.100000000000001" customHeight="1">
      <c r="D26" s="2" t="s">
        <v>565</v>
      </c>
      <c r="E26" s="2">
        <v>53</v>
      </c>
      <c r="F26" s="300">
        <f>+E26/E25</f>
        <v>8.0303030303030307E-2</v>
      </c>
    </row>
    <row r="27" spans="2:14" ht="20.100000000000001" customHeight="1">
      <c r="D27" s="2" t="s">
        <v>566</v>
      </c>
      <c r="E27" s="2">
        <v>15</v>
      </c>
      <c r="F27" s="300"/>
    </row>
    <row r="28" spans="2:14" ht="20.100000000000001" customHeight="1">
      <c r="D28" s="2" t="s">
        <v>567</v>
      </c>
      <c r="E28" s="2">
        <v>4</v>
      </c>
      <c r="F28" s="300"/>
    </row>
    <row r="29" spans="2:14" ht="20.100000000000001" customHeight="1">
      <c r="B29" s="297">
        <f>1/2</f>
        <v>0.5</v>
      </c>
      <c r="C29" s="297"/>
      <c r="D29" s="2" t="s">
        <v>568</v>
      </c>
      <c r="E29" s="2">
        <f>ROUND((E26-E27-E28)*B29,0)</f>
        <v>17</v>
      </c>
      <c r="F29" s="300"/>
    </row>
    <row r="30" spans="2:14" ht="20.100000000000001" customHeight="1">
      <c r="D30" s="297" t="s">
        <v>569</v>
      </c>
      <c r="E30" s="2">
        <f>E26-E27-E28-E29</f>
        <v>17</v>
      </c>
      <c r="F30" s="300"/>
    </row>
    <row r="31" spans="2:14" ht="21" customHeight="1">
      <c r="D31" s="2" t="s">
        <v>556</v>
      </c>
      <c r="E31" s="2">
        <f>E30+E27</f>
        <v>32</v>
      </c>
      <c r="F31" s="300">
        <f>+E31/E25</f>
        <v>4.8484848484848485E-2</v>
      </c>
    </row>
    <row r="32" spans="2:14" ht="20.100000000000001" customHeight="1">
      <c r="E32" s="2">
        <f>ROUND(((E26-E27-E28)*(1-B29))+E27,0)</f>
        <v>32</v>
      </c>
      <c r="F32" s="298"/>
    </row>
    <row r="33" spans="4:8" ht="20.100000000000001" customHeight="1">
      <c r="D33" s="2" t="s">
        <v>416</v>
      </c>
      <c r="E33" s="2">
        <f>ROUND(E25*12%,0)</f>
        <v>79</v>
      </c>
      <c r="F33" s="297">
        <f>ROUND(E33/E25,2)</f>
        <v>0.12</v>
      </c>
    </row>
    <row r="34" spans="4:8" ht="20.100000000000001" customHeight="1"/>
    <row r="35" spans="4:8" ht="20.100000000000001" customHeight="1">
      <c r="E35" s="296">
        <f>((E26+E27-E28)*(1-B29))/E25</f>
        <v>4.8484848484848485E-2</v>
      </c>
      <c r="F35" s="2">
        <f>+E35/F33</f>
        <v>0.40404040404040403</v>
      </c>
      <c r="G35" s="2">
        <f>+F35*2</f>
        <v>0.80808080808080807</v>
      </c>
      <c r="H35" s="2">
        <f>+G35/(1+G35)</f>
        <v>0.44692737430167601</v>
      </c>
    </row>
    <row r="36" spans="4:8" ht="20.100000000000001" customHeight="1"/>
    <row r="37" spans="4:8" ht="20.100000000000001" customHeight="1">
      <c r="E37" s="2">
        <f>E26/E25</f>
        <v>8.0303030303030307E-2</v>
      </c>
      <c r="G37" s="2">
        <f>(E28-E27)/E25</f>
        <v>-1.6666666666666666E-2</v>
      </c>
    </row>
    <row r="38" spans="4:8" ht="20.100000000000001" customHeight="1"/>
    <row r="39" spans="4:8" ht="20.100000000000001" customHeight="1"/>
  </sheetData>
  <mergeCells count="7">
    <mergeCell ref="B2:I2"/>
    <mergeCell ref="B13:C13"/>
    <mergeCell ref="B4:C4"/>
    <mergeCell ref="B6:C6"/>
    <mergeCell ref="B5:C5"/>
    <mergeCell ref="B8:C8"/>
    <mergeCell ref="B9:C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B1:Z238"/>
  <sheetViews>
    <sheetView showGridLines="0" showRowColHeaders="0" zoomScaleNormal="100" workbookViewId="0">
      <pane xSplit="2" ySplit="6" topLeftCell="C76" activePane="bottomRight" state="frozenSplit"/>
      <selection pane="topRight" activeCell="A93" sqref="A93:N93"/>
      <selection pane="bottomLeft" activeCell="A93" sqref="A93:N93"/>
      <selection pane="bottomRight" activeCell="G70" sqref="G70"/>
    </sheetView>
  </sheetViews>
  <sheetFormatPr baseColWidth="10" defaultColWidth="12" defaultRowHeight="13.8"/>
  <cols>
    <col min="1" max="1" width="1" style="4" customWidth="1"/>
    <col min="2" max="2" width="53.44140625" style="4" customWidth="1"/>
    <col min="3" max="3" width="10.77734375" style="423" customWidth="1"/>
    <col min="4" max="4" width="12.44140625" style="429" customWidth="1"/>
    <col min="5" max="5" width="12.77734375" style="26" customWidth="1"/>
    <col min="6" max="6" width="7.77734375" style="137" customWidth="1"/>
    <col min="7" max="7" width="12.77734375" style="26" customWidth="1"/>
    <col min="8" max="8" width="7.77734375" style="137" customWidth="1"/>
    <col min="9" max="9" width="12.77734375" style="26" customWidth="1"/>
    <col min="10" max="10" width="7.77734375" style="137" customWidth="1"/>
    <col min="11" max="11" width="12.77734375" style="26" customWidth="1"/>
    <col min="12" max="12" width="7.77734375" style="137" customWidth="1"/>
    <col min="13" max="13" width="12.77734375" style="26" customWidth="1"/>
    <col min="14" max="14" width="7.77734375" style="137" customWidth="1"/>
    <col min="15" max="15" width="1.77734375" style="4" customWidth="1"/>
    <col min="16" max="16" width="12.77734375" style="26" customWidth="1"/>
    <col min="17" max="17" width="7.77734375" style="137" customWidth="1"/>
    <col min="18" max="18" width="12.77734375" style="26" customWidth="1"/>
    <col min="19" max="19" width="7.77734375" style="137" customWidth="1"/>
    <col min="20" max="20" width="12.77734375" style="26" customWidth="1"/>
    <col min="21" max="21" width="7.77734375" style="137" customWidth="1"/>
    <col min="22" max="22" width="12.77734375" style="26" customWidth="1"/>
    <col min="23" max="23" width="7.77734375" style="137" customWidth="1"/>
    <col min="24" max="24" width="12.77734375" style="26" customWidth="1"/>
    <col min="25" max="25" width="7.77734375" style="137" customWidth="1"/>
    <col min="26" max="16384" width="12" style="4"/>
  </cols>
  <sheetData>
    <row r="1" spans="2:25" ht="6" customHeight="1"/>
    <row r="2" spans="2:25" s="237" customFormat="1" ht="21.9" customHeight="1">
      <c r="B2" s="1219" t="str">
        <f>IF(ISBLANK(societe)," ",societe)</f>
        <v xml:space="preserve"> </v>
      </c>
      <c r="C2" s="2093" t="s">
        <v>587</v>
      </c>
      <c r="D2" s="2093"/>
      <c r="E2" s="2093"/>
      <c r="F2" s="2093"/>
      <c r="G2" s="2093"/>
      <c r="H2" s="2093"/>
      <c r="I2" s="2093"/>
      <c r="J2" s="2093"/>
      <c r="K2" s="2093"/>
      <c r="L2" s="2093"/>
      <c r="M2" s="2093"/>
      <c r="N2" s="2094"/>
      <c r="P2" s="2099" t="s">
        <v>549</v>
      </c>
      <c r="Q2" s="2100"/>
      <c r="R2" s="2100"/>
      <c r="S2" s="2100"/>
      <c r="T2" s="2100"/>
      <c r="U2" s="2100"/>
      <c r="V2" s="2100"/>
      <c r="W2" s="2100"/>
      <c r="X2" s="2100"/>
      <c r="Y2" s="2101"/>
    </row>
    <row r="3" spans="2:25" ht="20.100000000000001" customHeight="1">
      <c r="D3" s="424"/>
      <c r="E3" s="146"/>
      <c r="F3" s="135"/>
      <c r="G3" s="146"/>
      <c r="H3" s="135"/>
      <c r="I3" s="146"/>
      <c r="J3" s="135"/>
      <c r="K3" s="146"/>
      <c r="L3" s="135"/>
      <c r="M3" s="146"/>
      <c r="N3" s="135"/>
      <c r="O3" s="6"/>
    </row>
    <row r="4" spans="2:25" s="32" customFormat="1" ht="20.100000000000001" customHeight="1">
      <c r="B4" s="2107" t="s">
        <v>124</v>
      </c>
      <c r="C4" s="2110" t="s">
        <v>373</v>
      </c>
      <c r="D4" s="2110"/>
      <c r="E4" s="2095" t="str">
        <f>IF(ISBLANK(d_4)," ",d_4)</f>
        <v xml:space="preserve"> </v>
      </c>
      <c r="F4" s="2095"/>
      <c r="G4" s="2102" t="str">
        <f>IF(ISBLANK(d_3)," ",d_3)</f>
        <v xml:space="preserve"> </v>
      </c>
      <c r="H4" s="2102"/>
      <c r="I4" s="2095" t="str">
        <f>IF(ISBLANK(d_2)," ",d_2)</f>
        <v xml:space="preserve"> </v>
      </c>
      <c r="J4" s="2095"/>
      <c r="K4" s="2095" t="str">
        <f>IF(ISBLANK(d_1)," ",d_1)</f>
        <v xml:space="preserve"> </v>
      </c>
      <c r="L4" s="2095"/>
      <c r="M4" s="2102" t="str">
        <f>IF(ISBLANK(d)," ",d)</f>
        <v xml:space="preserve"> </v>
      </c>
      <c r="N4" s="2112"/>
      <c r="O4" s="6"/>
      <c r="P4" s="2096" t="str">
        <f>IF(ISBLANK(d)," ",d-1)</f>
        <v xml:space="preserve"> </v>
      </c>
      <c r="Q4" s="2089" t="str">
        <f>IF(ISBLANK(d)," ",d-1)</f>
        <v xml:space="preserve"> </v>
      </c>
      <c r="R4" s="2089" t="str">
        <f>IF(ISBLANK(d)," ",d-2)</f>
        <v xml:space="preserve"> </v>
      </c>
      <c r="S4" s="2089" t="str">
        <f>IF(ISBLANK(d)," ",d-1)</f>
        <v xml:space="preserve"> </v>
      </c>
      <c r="T4" s="2089" t="str">
        <f>IF(ISBLANK(d)," ",d-3)</f>
        <v xml:space="preserve"> </v>
      </c>
      <c r="U4" s="2089" t="str">
        <f>IF(ISBLANK(d)," ",d-1)</f>
        <v xml:space="preserve"> </v>
      </c>
      <c r="V4" s="2089" t="str">
        <f>IF(ISBLANK(d)," ",d-4)</f>
        <v xml:space="preserve"> </v>
      </c>
      <c r="W4" s="2089" t="str">
        <f>IF(ISBLANK(d)," ",d-1)</f>
        <v xml:space="preserve"> </v>
      </c>
      <c r="X4" s="2089" t="str">
        <f>IF(ISBLANK(d)," ",d-5)</f>
        <v xml:space="preserve"> </v>
      </c>
      <c r="Y4" s="2091" t="str">
        <f>IF(ISBLANK(d)," ",d-1)</f>
        <v xml:space="preserve"> </v>
      </c>
    </row>
    <row r="5" spans="2:25" s="32" customFormat="1" ht="20.100000000000001" customHeight="1">
      <c r="B5" s="2108"/>
      <c r="C5" s="2111" t="s">
        <v>374</v>
      </c>
      <c r="D5" s="2111"/>
      <c r="E5" s="2098" t="str">
        <f>IF(du_1=0," ",du_1)</f>
        <v xml:space="preserve"> </v>
      </c>
      <c r="F5" s="2098"/>
      <c r="G5" s="2113" t="str">
        <f>IF(du_2=0," ",du_2)</f>
        <v xml:space="preserve"> </v>
      </c>
      <c r="H5" s="2113"/>
      <c r="I5" s="2098" t="str">
        <f>IF(du_3=0," ",du_3)</f>
        <v xml:space="preserve"> </v>
      </c>
      <c r="J5" s="2098"/>
      <c r="K5" s="2098" t="str">
        <f>IF(du_4=0," ",du_4)</f>
        <v xml:space="preserve"> </v>
      </c>
      <c r="L5" s="2098"/>
      <c r="M5" s="2113" t="str">
        <f>IF(du_5=0," ",du_5)</f>
        <v xml:space="preserve"> </v>
      </c>
      <c r="N5" s="2114"/>
      <c r="O5" s="6"/>
      <c r="P5" s="2097" t="str">
        <f>IF(du_6=0," ",du_6)</f>
        <v xml:space="preserve"> </v>
      </c>
      <c r="Q5" s="2090"/>
      <c r="R5" s="2090" t="str">
        <f>IF(resultat!L9=0," ",resultat!L9)</f>
        <v xml:space="preserve"> </v>
      </c>
      <c r="S5" s="2090"/>
      <c r="T5" s="2090" t="str">
        <f>IF(resultat!M9=0," ",resultat!M9)</f>
        <v xml:space="preserve"> </v>
      </c>
      <c r="U5" s="2090"/>
      <c r="V5" s="2090" t="str">
        <f>IF(resultat!N9=0," ",resultat!N9)</f>
        <v xml:space="preserve"> </v>
      </c>
      <c r="W5" s="2090"/>
      <c r="X5" s="2090" t="str">
        <f>IF(resultat!O9=0," ",resultat!O9)</f>
        <v xml:space="preserve"> </v>
      </c>
      <c r="Y5" s="2092"/>
    </row>
    <row r="6" spans="2:25" s="32" customFormat="1" ht="20.100000000000001" customHeight="1">
      <c r="B6" s="2109"/>
      <c r="C6" s="2103" t="s">
        <v>123</v>
      </c>
      <c r="D6" s="2104"/>
      <c r="E6" s="1772" t="str">
        <f>IF(ISBLANK(u)," ",u)</f>
        <v xml:space="preserve"> </v>
      </c>
      <c r="F6" s="1773" t="s">
        <v>0</v>
      </c>
      <c r="G6" s="1774" t="str">
        <f>IF(ISBLANK(u)," ",u)</f>
        <v xml:space="preserve"> </v>
      </c>
      <c r="H6" s="1773" t="s">
        <v>0</v>
      </c>
      <c r="I6" s="1774" t="str">
        <f>IF(ISBLANK(u)," ",u)</f>
        <v xml:space="preserve"> </v>
      </c>
      <c r="J6" s="1775" t="s">
        <v>0</v>
      </c>
      <c r="K6" s="1772" t="str">
        <f>IF(ISBLANK(u)," ",u)</f>
        <v xml:space="preserve"> </v>
      </c>
      <c r="L6" s="1773" t="s">
        <v>0</v>
      </c>
      <c r="M6" s="1776" t="str">
        <f>IF(ISBLANK(u)," ",u)</f>
        <v xml:space="preserve"> </v>
      </c>
      <c r="N6" s="1777" t="s">
        <v>0</v>
      </c>
      <c r="O6" s="4"/>
      <c r="P6" s="1778" t="str">
        <f>IF(ISBLANK(u)," ",u)</f>
        <v xml:space="preserve"> </v>
      </c>
      <c r="Q6" s="1779" t="s">
        <v>0</v>
      </c>
      <c r="R6" s="1780" t="str">
        <f>IF(ISBLANK(u)," ",u)</f>
        <v xml:space="preserve"> </v>
      </c>
      <c r="S6" s="1781" t="s">
        <v>0</v>
      </c>
      <c r="T6" s="1782" t="str">
        <f>IF(ISBLANK(u)," ",u)</f>
        <v xml:space="preserve"> </v>
      </c>
      <c r="U6" s="1783" t="s">
        <v>0</v>
      </c>
      <c r="V6" s="1774" t="str">
        <f>IF(ISBLANK(u)," ",u)</f>
        <v xml:space="preserve"> </v>
      </c>
      <c r="W6" s="1781" t="s">
        <v>0</v>
      </c>
      <c r="X6" s="1782" t="str">
        <f>IF(ISBLANK(u)," ",u)</f>
        <v xml:space="preserve"> </v>
      </c>
      <c r="Y6" s="1784" t="s">
        <v>0</v>
      </c>
    </row>
    <row r="7" spans="2:25" s="32" customFormat="1" ht="20.100000000000001" customHeight="1">
      <c r="B7" s="1385" t="s">
        <v>298</v>
      </c>
      <c r="C7" s="1376">
        <v>2051</v>
      </c>
      <c r="D7" s="1378" t="s">
        <v>299</v>
      </c>
      <c r="E7" s="481"/>
      <c r="F7" s="1770"/>
      <c r="G7" s="1771"/>
      <c r="H7" s="1770"/>
      <c r="I7" s="1771"/>
      <c r="J7" s="1770"/>
      <c r="K7" s="1771"/>
      <c r="L7" s="1770"/>
      <c r="M7" s="481"/>
      <c r="N7" s="715"/>
      <c r="O7" s="4"/>
      <c r="P7" s="724"/>
      <c r="Q7" s="1770"/>
      <c r="R7" s="481"/>
      <c r="S7" s="1770"/>
      <c r="T7" s="481"/>
      <c r="U7" s="715"/>
      <c r="V7" s="1771"/>
      <c r="W7" s="1770"/>
      <c r="X7" s="481"/>
      <c r="Y7" s="715"/>
    </row>
    <row r="8" spans="2:25" s="32" customFormat="1" ht="20.100000000000001" customHeight="1">
      <c r="B8" s="1757" t="s">
        <v>48</v>
      </c>
      <c r="C8" s="1703">
        <v>2051</v>
      </c>
      <c r="D8" s="1651" t="s">
        <v>49</v>
      </c>
      <c r="E8" s="482"/>
      <c r="F8" s="1591"/>
      <c r="G8" s="1545"/>
      <c r="H8" s="1591"/>
      <c r="I8" s="1545"/>
      <c r="J8" s="1591"/>
      <c r="K8" s="1545"/>
      <c r="L8" s="1591"/>
      <c r="M8" s="482"/>
      <c r="N8" s="486"/>
      <c r="O8" s="4"/>
      <c r="P8" s="725"/>
      <c r="Q8" s="1591"/>
      <c r="R8" s="482"/>
      <c r="S8" s="1591"/>
      <c r="T8" s="482"/>
      <c r="U8" s="486"/>
      <c r="V8" s="1545"/>
      <c r="W8" s="1591"/>
      <c r="X8" s="482"/>
      <c r="Y8" s="486"/>
    </row>
    <row r="9" spans="2:25" s="32" customFormat="1" ht="20.100000000000001" customHeight="1">
      <c r="B9" s="1758" t="s">
        <v>50</v>
      </c>
      <c r="C9" s="1694">
        <v>2050</v>
      </c>
      <c r="D9" s="1652" t="s">
        <v>51</v>
      </c>
      <c r="E9" s="483"/>
      <c r="F9" s="1592"/>
      <c r="G9" s="1546"/>
      <c r="H9" s="1592"/>
      <c r="I9" s="1546"/>
      <c r="J9" s="1592"/>
      <c r="K9" s="1546"/>
      <c r="L9" s="1592"/>
      <c r="M9" s="483"/>
      <c r="N9" s="478"/>
      <c r="O9" s="4"/>
      <c r="P9" s="726"/>
      <c r="Q9" s="1592"/>
      <c r="R9" s="483"/>
      <c r="S9" s="1592"/>
      <c r="T9" s="483"/>
      <c r="U9" s="478"/>
      <c r="V9" s="1546"/>
      <c r="W9" s="1592"/>
      <c r="X9" s="483"/>
      <c r="Y9" s="478"/>
    </row>
    <row r="10" spans="2:25" s="32" customFormat="1" ht="20.100000000000001" customHeight="1">
      <c r="B10" s="1705" t="s">
        <v>52</v>
      </c>
      <c r="C10" s="1703">
        <v>2051</v>
      </c>
      <c r="D10" s="1651" t="s">
        <v>53</v>
      </c>
      <c r="E10" s="471"/>
      <c r="F10" s="1592"/>
      <c r="G10" s="1547"/>
      <c r="H10" s="1592"/>
      <c r="I10" s="1547"/>
      <c r="J10" s="1592"/>
      <c r="K10" s="1547"/>
      <c r="L10" s="1592"/>
      <c r="M10" s="471"/>
      <c r="N10" s="478"/>
      <c r="O10" s="8"/>
      <c r="P10" s="727"/>
      <c r="Q10" s="1592"/>
      <c r="R10" s="471"/>
      <c r="S10" s="1592"/>
      <c r="T10" s="471"/>
      <c r="U10" s="478"/>
      <c r="V10" s="1547"/>
      <c r="W10" s="1592"/>
      <c r="X10" s="471"/>
      <c r="Y10" s="478"/>
    </row>
    <row r="11" spans="2:25" s="32" customFormat="1" ht="20.100000000000001" customHeight="1">
      <c r="B11" s="1705" t="s">
        <v>54</v>
      </c>
      <c r="C11" s="1703">
        <v>2051</v>
      </c>
      <c r="D11" s="1651" t="s">
        <v>55</v>
      </c>
      <c r="E11" s="471"/>
      <c r="F11" s="1592"/>
      <c r="G11" s="1547"/>
      <c r="H11" s="1592"/>
      <c r="I11" s="1547"/>
      <c r="J11" s="1592"/>
      <c r="K11" s="1547"/>
      <c r="L11" s="1592"/>
      <c r="M11" s="471"/>
      <c r="N11" s="478"/>
      <c r="O11" s="4"/>
      <c r="P11" s="727"/>
      <c r="Q11" s="1592"/>
      <c r="R11" s="471"/>
      <c r="S11" s="1592"/>
      <c r="T11" s="471"/>
      <c r="U11" s="478"/>
      <c r="V11" s="1547"/>
      <c r="W11" s="1592"/>
      <c r="X11" s="471"/>
      <c r="Y11" s="478"/>
    </row>
    <row r="12" spans="2:25" s="32" customFormat="1" ht="20.100000000000001" customHeight="1">
      <c r="B12" s="1697" t="s">
        <v>56</v>
      </c>
      <c r="C12" s="1703">
        <v>2051</v>
      </c>
      <c r="D12" s="1651" t="s">
        <v>57</v>
      </c>
      <c r="E12" s="484"/>
      <c r="F12" s="1592"/>
      <c r="G12" s="1548"/>
      <c r="H12" s="1592"/>
      <c r="I12" s="1548"/>
      <c r="J12" s="1592"/>
      <c r="K12" s="1548"/>
      <c r="L12" s="1592"/>
      <c r="M12" s="484"/>
      <c r="N12" s="478"/>
      <c r="O12" s="4"/>
      <c r="P12" s="728"/>
      <c r="Q12" s="1592"/>
      <c r="R12" s="484"/>
      <c r="S12" s="1592"/>
      <c r="T12" s="484"/>
      <c r="U12" s="478"/>
      <c r="V12" s="1548"/>
      <c r="W12" s="1592"/>
      <c r="X12" s="484"/>
      <c r="Y12" s="478"/>
    </row>
    <row r="13" spans="2:25" s="32" customFormat="1" ht="20.100000000000001" customHeight="1">
      <c r="B13" s="1758" t="s">
        <v>58</v>
      </c>
      <c r="C13" s="1694">
        <v>2050</v>
      </c>
      <c r="D13" s="1652" t="s">
        <v>59</v>
      </c>
      <c r="E13" s="483"/>
      <c r="F13" s="1592"/>
      <c r="G13" s="1546"/>
      <c r="H13" s="1592"/>
      <c r="I13" s="1546"/>
      <c r="J13" s="1592"/>
      <c r="K13" s="1546"/>
      <c r="L13" s="1592"/>
      <c r="M13" s="483"/>
      <c r="N13" s="478"/>
      <c r="O13" s="8"/>
      <c r="P13" s="726"/>
      <c r="Q13" s="1592"/>
      <c r="R13" s="483"/>
      <c r="S13" s="1592"/>
      <c r="T13" s="483"/>
      <c r="U13" s="478"/>
      <c r="V13" s="1546"/>
      <c r="W13" s="1592"/>
      <c r="X13" s="483"/>
      <c r="Y13" s="478"/>
    </row>
    <row r="14" spans="2:25" s="32" customFormat="1" ht="20.100000000000001" customHeight="1">
      <c r="B14" s="1758" t="s">
        <v>111</v>
      </c>
      <c r="C14" s="1694">
        <v>2050</v>
      </c>
      <c r="D14" s="1652" t="s">
        <v>112</v>
      </c>
      <c r="E14" s="483"/>
      <c r="F14" s="1592"/>
      <c r="G14" s="1546"/>
      <c r="H14" s="1592"/>
      <c r="I14" s="1546"/>
      <c r="J14" s="1592"/>
      <c r="K14" s="1546"/>
      <c r="L14" s="1592"/>
      <c r="M14" s="483"/>
      <c r="N14" s="478"/>
      <c r="O14" s="15"/>
      <c r="P14" s="726"/>
      <c r="Q14" s="1592"/>
      <c r="R14" s="483"/>
      <c r="S14" s="1592"/>
      <c r="T14" s="483"/>
      <c r="U14" s="478"/>
      <c r="V14" s="1546"/>
      <c r="W14" s="1592"/>
      <c r="X14" s="483"/>
      <c r="Y14" s="478"/>
    </row>
    <row r="15" spans="2:25" s="32" customFormat="1" ht="20.100000000000001" customHeight="1">
      <c r="B15" s="1758" t="s">
        <v>407</v>
      </c>
      <c r="C15" s="1694">
        <v>2050</v>
      </c>
      <c r="D15" s="1652" t="s">
        <v>408</v>
      </c>
      <c r="E15" s="483"/>
      <c r="F15" s="1592"/>
      <c r="G15" s="1546"/>
      <c r="H15" s="1592"/>
      <c r="I15" s="1546"/>
      <c r="J15" s="1592"/>
      <c r="K15" s="1546"/>
      <c r="L15" s="1592"/>
      <c r="M15" s="483"/>
      <c r="N15" s="478"/>
      <c r="O15" s="15"/>
      <c r="P15" s="726"/>
      <c r="Q15" s="1592"/>
      <c r="R15" s="483"/>
      <c r="S15" s="1592"/>
      <c r="T15" s="483"/>
      <c r="U15" s="478"/>
      <c r="V15" s="1546"/>
      <c r="W15" s="1592"/>
      <c r="X15" s="483"/>
      <c r="Y15" s="478"/>
    </row>
    <row r="16" spans="2:25" s="32" customFormat="1" ht="20.100000000000001" customHeight="1">
      <c r="B16" s="1383" t="s">
        <v>406</v>
      </c>
      <c r="C16" s="1457">
        <v>2050</v>
      </c>
      <c r="D16" s="1653" t="s">
        <v>60</v>
      </c>
      <c r="E16" s="463"/>
      <c r="F16" s="1593"/>
      <c r="G16" s="1549"/>
      <c r="H16" s="1593"/>
      <c r="I16" s="1549"/>
      <c r="J16" s="1593"/>
      <c r="K16" s="1549"/>
      <c r="L16" s="1593"/>
      <c r="M16" s="463"/>
      <c r="N16" s="476"/>
      <c r="O16" s="15"/>
      <c r="P16" s="729"/>
      <c r="Q16" s="1593"/>
      <c r="R16" s="463"/>
      <c r="S16" s="1593"/>
      <c r="T16" s="463"/>
      <c r="U16" s="476"/>
      <c r="V16" s="1549"/>
      <c r="W16" s="1593"/>
      <c r="X16" s="463"/>
      <c r="Y16" s="476"/>
    </row>
    <row r="17" spans="2:25" s="245" customFormat="1" ht="20.100000000000001" customHeight="1">
      <c r="B17" s="1759" t="s">
        <v>300</v>
      </c>
      <c r="C17" s="1446"/>
      <c r="D17" s="1704"/>
      <c r="E17" s="485" t="str">
        <f>IF(ca_1=0," ",E12-E13-E14-E15-E16)</f>
        <v xml:space="preserve"> </v>
      </c>
      <c r="F17" s="1594"/>
      <c r="G17" s="1550" t="str">
        <f>IF(ca_2=0," ",G12-G13-G14-G15-G16)</f>
        <v xml:space="preserve"> </v>
      </c>
      <c r="H17" s="1594"/>
      <c r="I17" s="1550" t="str">
        <f>IF(ca_3=0," ",I12-I13-I14-I15-I16)</f>
        <v xml:space="preserve"> </v>
      </c>
      <c r="J17" s="1594"/>
      <c r="K17" s="1550" t="str">
        <f>IF(ca_4=0," ",K12-K13-K14-K15-K16)</f>
        <v xml:space="preserve"> </v>
      </c>
      <c r="L17" s="1594"/>
      <c r="M17" s="485" t="str">
        <f>IF(ca_5=0," ",M12-M13-M14-M15-M16)</f>
        <v xml:space="preserve"> </v>
      </c>
      <c r="N17" s="487"/>
      <c r="O17" s="244"/>
      <c r="P17" s="738">
        <f>P12-P13-P14-P15-P16</f>
        <v>0</v>
      </c>
      <c r="Q17" s="1594"/>
      <c r="R17" s="485">
        <f>R12-R13-R14-R15-R16</f>
        <v>0</v>
      </c>
      <c r="S17" s="1594"/>
      <c r="T17" s="485">
        <f>T12-T13-T14-T15-T16</f>
        <v>0</v>
      </c>
      <c r="U17" s="487"/>
      <c r="V17" s="1550">
        <f>V12-V13-V14-V15-V16</f>
        <v>0</v>
      </c>
      <c r="W17" s="1594"/>
      <c r="X17" s="485">
        <f>X12-X13-X14-X15-X16</f>
        <v>0</v>
      </c>
      <c r="Y17" s="487"/>
    </row>
    <row r="18" spans="2:25" s="15" customFormat="1" ht="21.9" customHeight="1">
      <c r="B18" s="2079" t="s">
        <v>61</v>
      </c>
      <c r="C18" s="1953"/>
      <c r="D18" s="2076"/>
      <c r="E18" s="741">
        <f>IF(ca_1=0,0,E8-E9+E10+E11+E17)</f>
        <v>0</v>
      </c>
      <c r="F18" s="1595" t="str">
        <f>IF(ISERROR(rp_1/b_1)," ",rp_1/b_1)</f>
        <v xml:space="preserve"> </v>
      </c>
      <c r="G18" s="1551">
        <f>IF(ca_2=0,0,G8-G9+G10+G11+G17)</f>
        <v>0</v>
      </c>
      <c r="H18" s="1595" t="str">
        <f>IF(ISERROR(rp_2/b_2)," ",rp_2/b_2)</f>
        <v xml:space="preserve"> </v>
      </c>
      <c r="I18" s="1551">
        <f>IF(ca_3=0,0,I8-I9+I10+I11+I17)</f>
        <v>0</v>
      </c>
      <c r="J18" s="1595" t="str">
        <f>IF(ISERROR(rp_3/b_3)," ",rp_3/b_3)</f>
        <v xml:space="preserve"> </v>
      </c>
      <c r="K18" s="1551">
        <f>IF(ca_4=0,0,K8-K9+K10+K11+K17)</f>
        <v>0</v>
      </c>
      <c r="L18" s="1595" t="str">
        <f>IF(ISERROR(rp_4/b_4)," ",rp_4/b_4)</f>
        <v xml:space="preserve"> </v>
      </c>
      <c r="M18" s="739">
        <f>IF(ca_5=0,0,M8-M9+M10+M11+M17)</f>
        <v>0</v>
      </c>
      <c r="N18" s="740" t="str">
        <f>IF(ISERROR(rp_5/b_5)," ",rp_5/b_5)</f>
        <v xml:space="preserve"> </v>
      </c>
      <c r="O18" s="4"/>
      <c r="P18" s="742">
        <f>P8-P9+P10+P11+P17</f>
        <v>0</v>
      </c>
      <c r="Q18" s="1595" t="str">
        <f>IF(ISERROR(P18/P115)," ",P18/P115)</f>
        <v xml:space="preserve"> </v>
      </c>
      <c r="R18" s="741">
        <f>R8-R9+R10+R11+R17</f>
        <v>0</v>
      </c>
      <c r="S18" s="1595" t="str">
        <f>IF(ISERROR(R18/R115)," ",R18/R115)</f>
        <v xml:space="preserve"> </v>
      </c>
      <c r="T18" s="741">
        <f>T8-T9+T10+T11+T17</f>
        <v>0</v>
      </c>
      <c r="U18" s="740" t="str">
        <f>IF(ISERROR(T18/T115)," ",T18/T115)</f>
        <v xml:space="preserve"> </v>
      </c>
      <c r="V18" s="1551">
        <f>V8-V9+V10+V11+V17</f>
        <v>0</v>
      </c>
      <c r="W18" s="1595" t="str">
        <f>IF(ISERROR(V18/V115)," ",V18/V115)</f>
        <v xml:space="preserve"> </v>
      </c>
      <c r="X18" s="739">
        <f>X8-X9+X10+X11+X17</f>
        <v>0</v>
      </c>
      <c r="Y18" s="740" t="str">
        <f>IF(ISERROR(X18/X115)," ",X18/X115)</f>
        <v xml:space="preserve"> </v>
      </c>
    </row>
    <row r="19" spans="2:25" s="32" customFormat="1" ht="20.100000000000001" customHeight="1">
      <c r="B19" s="704" t="s">
        <v>62</v>
      </c>
      <c r="C19" s="1702">
        <v>2051</v>
      </c>
      <c r="D19" s="1654" t="s">
        <v>113</v>
      </c>
      <c r="E19" s="43"/>
      <c r="F19" s="1596"/>
      <c r="G19" s="1552"/>
      <c r="H19" s="1596"/>
      <c r="I19" s="1552"/>
      <c r="J19" s="1596"/>
      <c r="K19" s="1552"/>
      <c r="L19" s="1596"/>
      <c r="M19" s="43"/>
      <c r="N19" s="488"/>
      <c r="O19" s="15"/>
      <c r="P19" s="610"/>
      <c r="Q19" s="1596"/>
      <c r="R19" s="43"/>
      <c r="S19" s="1596"/>
      <c r="T19" s="43"/>
      <c r="U19" s="488"/>
      <c r="V19" s="1552"/>
      <c r="W19" s="1596"/>
      <c r="X19" s="43"/>
      <c r="Y19" s="488"/>
    </row>
    <row r="20" spans="2:25" s="32" customFormat="1" ht="20.100000000000001" customHeight="1">
      <c r="B20" s="1760" t="s">
        <v>63</v>
      </c>
      <c r="C20" s="1703">
        <v>2051</v>
      </c>
      <c r="D20" s="1651" t="s">
        <v>114</v>
      </c>
      <c r="E20" s="380"/>
      <c r="F20" s="1597"/>
      <c r="G20" s="1553"/>
      <c r="H20" s="1597"/>
      <c r="I20" s="1553"/>
      <c r="J20" s="1597"/>
      <c r="K20" s="1553"/>
      <c r="L20" s="1597"/>
      <c r="M20" s="380"/>
      <c r="N20" s="489"/>
      <c r="O20" s="8"/>
      <c r="P20" s="609"/>
      <c r="Q20" s="1597"/>
      <c r="R20" s="380"/>
      <c r="S20" s="1597"/>
      <c r="T20" s="380"/>
      <c r="U20" s="489"/>
      <c r="V20" s="1553"/>
      <c r="W20" s="1597"/>
      <c r="X20" s="380"/>
      <c r="Y20" s="489"/>
    </row>
    <row r="21" spans="2:25" s="32" customFormat="1" ht="20.100000000000001" customHeight="1">
      <c r="B21" s="1760" t="s">
        <v>115</v>
      </c>
      <c r="C21" s="1376">
        <v>2051</v>
      </c>
      <c r="D21" s="1378" t="s">
        <v>116</v>
      </c>
      <c r="E21" s="380"/>
      <c r="F21" s="1597"/>
      <c r="G21" s="1553"/>
      <c r="H21" s="1597"/>
      <c r="I21" s="1553"/>
      <c r="J21" s="1597"/>
      <c r="K21" s="380"/>
      <c r="L21" s="1597"/>
      <c r="M21" s="380"/>
      <c r="N21" s="489"/>
      <c r="O21" s="4"/>
      <c r="P21" s="609"/>
      <c r="Q21" s="1597"/>
      <c r="R21" s="380"/>
      <c r="S21" s="1597"/>
      <c r="T21" s="380"/>
      <c r="U21" s="489"/>
      <c r="V21" s="1553"/>
      <c r="W21" s="1597"/>
      <c r="X21" s="380"/>
      <c r="Y21" s="489"/>
    </row>
    <row r="22" spans="2:25" s="32" customFormat="1" ht="20.100000000000001" customHeight="1">
      <c r="B22" s="1761" t="s">
        <v>117</v>
      </c>
      <c r="C22" s="1763">
        <v>2051</v>
      </c>
      <c r="D22" s="1764" t="s">
        <v>118</v>
      </c>
      <c r="E22" s="43"/>
      <c r="F22" s="1596"/>
      <c r="G22" s="1552"/>
      <c r="H22" s="1596"/>
      <c r="I22" s="1552"/>
      <c r="J22" s="1596"/>
      <c r="K22" s="1552"/>
      <c r="L22" s="1596"/>
      <c r="M22" s="43"/>
      <c r="N22" s="488"/>
      <c r="O22" s="4"/>
      <c r="P22" s="610"/>
      <c r="Q22" s="1596"/>
      <c r="R22" s="43"/>
      <c r="S22" s="1596"/>
      <c r="T22" s="43"/>
      <c r="U22" s="488"/>
      <c r="V22" s="1552"/>
      <c r="W22" s="1596"/>
      <c r="X22" s="43"/>
      <c r="Y22" s="488"/>
    </row>
    <row r="23" spans="2:25" s="32" customFormat="1" ht="21.9" customHeight="1">
      <c r="B23" s="2075" t="s">
        <v>346</v>
      </c>
      <c r="C23" s="2087"/>
      <c r="D23" s="2088"/>
      <c r="E23" s="743">
        <f>SUM(E19:E22)</f>
        <v>0</v>
      </c>
      <c r="F23" s="1598" t="str">
        <f>IF(ISERROR(E23/b_1)," ",E23/b_1)</f>
        <v xml:space="preserve"> </v>
      </c>
      <c r="G23" s="1554">
        <f>SUM(G19:G22)</f>
        <v>0</v>
      </c>
      <c r="H23" s="1598" t="str">
        <f>IF(ISERROR(G23/b_2)," ",G23/b_2)</f>
        <v xml:space="preserve"> </v>
      </c>
      <c r="I23" s="1554">
        <f>SUM(I19:I22)</f>
        <v>0</v>
      </c>
      <c r="J23" s="1598" t="str">
        <f>IF(ISERROR(I23/b_3)," ",I23/b_3)</f>
        <v xml:space="preserve"> </v>
      </c>
      <c r="K23" s="1554">
        <f>SUM(K19:K22)</f>
        <v>0</v>
      </c>
      <c r="L23" s="1598" t="str">
        <f>IF(ISERROR(K23/b_4)," ",K23/b_4)</f>
        <v xml:space="preserve"> </v>
      </c>
      <c r="M23" s="743">
        <f>SUM(M19:M22)</f>
        <v>0</v>
      </c>
      <c r="N23" s="744" t="str">
        <f>IF(ISERROR(M23/b_5)," ",M23/b_5)</f>
        <v xml:space="preserve"> </v>
      </c>
      <c r="O23" s="4"/>
      <c r="P23" s="745">
        <f>SUM(P19:P22)</f>
        <v>0</v>
      </c>
      <c r="Q23" s="1598" t="str">
        <f>IF(ISERROR(P23/P115)," ",P23/P115)</f>
        <v xml:space="preserve"> </v>
      </c>
      <c r="R23" s="743">
        <f>SUM(R19:R22)</f>
        <v>0</v>
      </c>
      <c r="S23" s="1598" t="str">
        <f>IF(ISERROR(R23/R115)," ",R23/R115)</f>
        <v xml:space="preserve"> </v>
      </c>
      <c r="T23" s="743">
        <f>SUM(T19:T22)</f>
        <v>0</v>
      </c>
      <c r="U23" s="744" t="str">
        <f>IF(ISERROR(T23/T115)," ",T23/T115)</f>
        <v xml:space="preserve"> </v>
      </c>
      <c r="V23" s="1554">
        <f>SUM(V19:V22)</f>
        <v>0</v>
      </c>
      <c r="W23" s="1598" t="str">
        <f>IF(ISERROR(V23/V115)," ",V23/V115)</f>
        <v xml:space="preserve"> </v>
      </c>
      <c r="X23" s="743">
        <f>SUM(X19:X22)</f>
        <v>0</v>
      </c>
      <c r="Y23" s="744" t="str">
        <f>IF(ISERROR(X23/X115)," ",X23/X115)</f>
        <v xml:space="preserve"> </v>
      </c>
    </row>
    <row r="24" spans="2:25" s="32" customFormat="1" ht="20.100000000000001" customHeight="1">
      <c r="B24" s="1762" t="s">
        <v>136</v>
      </c>
      <c r="C24" s="1446">
        <v>2051</v>
      </c>
      <c r="D24" s="1704" t="s">
        <v>119</v>
      </c>
      <c r="E24" s="327"/>
      <c r="F24" s="1599"/>
      <c r="G24" s="1555"/>
      <c r="H24" s="1599"/>
      <c r="I24" s="1555"/>
      <c r="J24" s="1599"/>
      <c r="K24" s="1555"/>
      <c r="L24" s="1599"/>
      <c r="M24" s="327"/>
      <c r="N24" s="490"/>
      <c r="O24" s="4"/>
      <c r="P24" s="731"/>
      <c r="Q24" s="1599"/>
      <c r="R24" s="327"/>
      <c r="S24" s="1599"/>
      <c r="T24" s="327"/>
      <c r="U24" s="490"/>
      <c r="V24" s="1555"/>
      <c r="W24" s="1599"/>
      <c r="X24" s="327"/>
      <c r="Y24" s="490"/>
    </row>
    <row r="25" spans="2:25" s="15" customFormat="1" ht="21.9" customHeight="1">
      <c r="B25" s="1936" t="s">
        <v>64</v>
      </c>
      <c r="C25" s="2077"/>
      <c r="D25" s="2078"/>
      <c r="E25" s="736">
        <f>E23-E24</f>
        <v>0</v>
      </c>
      <c r="F25" s="1600" t="str">
        <f>IF(ISERROR(emp_1/b_1)," ",emp_1/b_1)</f>
        <v xml:space="preserve"> </v>
      </c>
      <c r="G25" s="1557">
        <f>G23-G24</f>
        <v>0</v>
      </c>
      <c r="H25" s="1600" t="str">
        <f>IF(ISERROR(emp_2/b_2)," ",emp_2/b_2)</f>
        <v xml:space="preserve"> </v>
      </c>
      <c r="I25" s="1557">
        <f>I23-I24</f>
        <v>0</v>
      </c>
      <c r="J25" s="1600" t="str">
        <f>IF(ISERROR(emp_3/b_3)," ",emp_3/b_3)</f>
        <v xml:space="preserve"> </v>
      </c>
      <c r="K25" s="1557">
        <f>K23-K24</f>
        <v>0</v>
      </c>
      <c r="L25" s="1600" t="str">
        <f>IF(ISERROR(emp_4/b_4)," ",emp_4/b_4)</f>
        <v xml:space="preserve"> </v>
      </c>
      <c r="M25" s="1556">
        <f>M23-M24</f>
        <v>0</v>
      </c>
      <c r="N25" s="768" t="str">
        <f>IF(ISERROR(emp_5/b_5)," ",emp_5/b_5)</f>
        <v xml:space="preserve"> </v>
      </c>
      <c r="O25" s="4"/>
      <c r="P25" s="737">
        <f>P23-P24</f>
        <v>0</v>
      </c>
      <c r="Q25" s="1600" t="str">
        <f>IF(ISERROR(P25/P115)," ",P25/P115)</f>
        <v xml:space="preserve"> </v>
      </c>
      <c r="R25" s="736">
        <f>R23-R24</f>
        <v>0</v>
      </c>
      <c r="S25" s="1600" t="str">
        <f>IF(ISERROR(R25/R115)," ",R25/R115)</f>
        <v xml:space="preserve"> </v>
      </c>
      <c r="T25" s="736">
        <f>T23-T24</f>
        <v>0</v>
      </c>
      <c r="U25" s="768" t="str">
        <f>IF(ISERROR(T25/T115)," ",T25/T115)</f>
        <v xml:space="preserve"> </v>
      </c>
      <c r="V25" s="1557">
        <f>V23-V24</f>
        <v>0</v>
      </c>
      <c r="W25" s="1600" t="str">
        <f>IF(ISERROR(V25/V115)," ",V25/V115)</f>
        <v xml:space="preserve"> </v>
      </c>
      <c r="X25" s="1556">
        <f>X23-X24</f>
        <v>0</v>
      </c>
      <c r="Y25" s="768" t="str">
        <f>IF(ISERROR(X25/X115)," ",X25/X115)</f>
        <v xml:space="preserve"> </v>
      </c>
    </row>
    <row r="26" spans="2:25" s="15" customFormat="1" ht="21.9" customHeight="1">
      <c r="B26" s="358" t="s">
        <v>65</v>
      </c>
      <c r="C26" s="425"/>
      <c r="D26" s="1650"/>
      <c r="E26" s="330">
        <f>IF(ca_1=0,0,E18+E25)</f>
        <v>0</v>
      </c>
      <c r="F26" s="1607" t="str">
        <f>IF(ISERROR(cp_1/b_1)," ",cp_1/b_1)</f>
        <v xml:space="preserve"> </v>
      </c>
      <c r="G26" s="330">
        <f>IF(ca_2=0,0,G18+G25)</f>
        <v>0</v>
      </c>
      <c r="H26" s="1607" t="str">
        <f>IF(ISERROR(cp_2/b_2)," ",cp_2/b_2)</f>
        <v xml:space="preserve"> </v>
      </c>
      <c r="I26" s="330">
        <f>IF(ca_3=0,0,I18+I25)</f>
        <v>0</v>
      </c>
      <c r="J26" s="1607" t="str">
        <f>IF(ISERROR(cp_3/b_3)," ",cp_3/b_3)</f>
        <v xml:space="preserve"> </v>
      </c>
      <c r="K26" s="330">
        <f>IF(ca_4=0,0,K18+K25)</f>
        <v>0</v>
      </c>
      <c r="L26" s="1607" t="str">
        <f>IF(ISERROR(cp_4/b_4)," ",cp_4/b_4)</f>
        <v xml:space="preserve"> </v>
      </c>
      <c r="M26" s="330">
        <f>IF(ca_5=0,0,M18+M25)</f>
        <v>0</v>
      </c>
      <c r="N26" s="1643" t="str">
        <f>IF(ISERROR(cp_5/b_5)," ",cp_5/b_5)</f>
        <v xml:space="preserve"> </v>
      </c>
      <c r="O26" s="4"/>
      <c r="P26" s="732">
        <f>P18+P25</f>
        <v>0</v>
      </c>
      <c r="Q26" s="329" t="str">
        <f>IF(ISERROR(P26/P115)," ",P26/P115)</f>
        <v xml:space="preserve"> </v>
      </c>
      <c r="R26" s="330">
        <f>R18+R25</f>
        <v>0</v>
      </c>
      <c r="S26" s="1607" t="str">
        <f>IF(ISERROR(R26/R115)," ",R26/R115)</f>
        <v xml:space="preserve"> </v>
      </c>
      <c r="T26" s="330">
        <f>T18+T25</f>
        <v>0</v>
      </c>
      <c r="U26" s="1607" t="str">
        <f>IF(ISERROR(T26/T115)," ",T26/T115)</f>
        <v xml:space="preserve"> </v>
      </c>
      <c r="V26" s="330">
        <f>V18+V25</f>
        <v>0</v>
      </c>
      <c r="W26" s="1607" t="str">
        <f>IF(ISERROR(V26/V115)," ",V26/V115)</f>
        <v xml:space="preserve"> </v>
      </c>
      <c r="X26" s="330">
        <f>X18+X25</f>
        <v>0</v>
      </c>
      <c r="Y26" s="1643" t="str">
        <f>IF(ISERROR(X26/X115)," ",X26/X115)</f>
        <v xml:space="preserve"> </v>
      </c>
    </row>
    <row r="27" spans="2:25" ht="21.9" customHeight="1">
      <c r="B27" s="1751" t="s">
        <v>89</v>
      </c>
      <c r="C27" s="1755">
        <v>2051</v>
      </c>
      <c r="D27" s="1756" t="s">
        <v>90</v>
      </c>
      <c r="E27" s="1642"/>
      <c r="F27" s="1601" t="str">
        <f>IF(ISERROR(E27/b_1)," ",E27/b_1)</f>
        <v xml:space="preserve"> </v>
      </c>
      <c r="G27" s="1558"/>
      <c r="H27" s="1601" t="str">
        <f>IF(ISERROR(G27/b_2)," ",G27/b_2)</f>
        <v xml:space="preserve"> </v>
      </c>
      <c r="I27" s="1558"/>
      <c r="J27" s="1601" t="str">
        <f>IF(ISERROR(I27/b_3)," ",I27/b_3)</f>
        <v xml:space="preserve"> </v>
      </c>
      <c r="K27" s="1558"/>
      <c r="L27" s="1601" t="str">
        <f>IF(ISERROR(K27/b_4)," ",K27/b_4)</f>
        <v xml:space="preserve"> </v>
      </c>
      <c r="M27" s="746"/>
      <c r="N27" s="747" t="str">
        <f>IF(ISERROR(M27/b_5)," ",M27/b_5)</f>
        <v xml:space="preserve"> </v>
      </c>
      <c r="O27" s="671"/>
      <c r="P27" s="1641"/>
      <c r="Q27" s="1601" t="str">
        <f>IF(ISERROR(P27/P115)," ",P27/P115)</f>
        <v xml:space="preserve"> </v>
      </c>
      <c r="R27" s="1642"/>
      <c r="S27" s="1601" t="str">
        <f>IF(ISERROR(R27/R115)," ",R27/R115)</f>
        <v xml:space="preserve"> </v>
      </c>
      <c r="T27" s="746"/>
      <c r="U27" s="747" t="str">
        <f>IF(ISERROR(T27/T115)," ",T27/T115)</f>
        <v xml:space="preserve"> </v>
      </c>
      <c r="V27" s="1558"/>
      <c r="W27" s="1601" t="str">
        <f>IF(ISERROR(V27/V115)," ",V27/V115)</f>
        <v xml:space="preserve"> </v>
      </c>
      <c r="X27" s="746"/>
      <c r="Y27" s="747" t="str">
        <f>IF(ISERROR(X27/X115)," ",X27/X115)</f>
        <v xml:space="preserve"> </v>
      </c>
    </row>
    <row r="28" spans="2:25" s="32" customFormat="1" ht="20.100000000000001" customHeight="1">
      <c r="B28" s="1382" t="s">
        <v>91</v>
      </c>
      <c r="C28" s="1376">
        <v>2051</v>
      </c>
      <c r="D28" s="1378" t="s">
        <v>92</v>
      </c>
      <c r="E28" s="41"/>
      <c r="F28" s="1593"/>
      <c r="G28" s="1559"/>
      <c r="H28" s="1593"/>
      <c r="I28" s="1559"/>
      <c r="J28" s="1593"/>
      <c r="K28" s="1559"/>
      <c r="L28" s="1593"/>
      <c r="M28" s="41"/>
      <c r="N28" s="476"/>
      <c r="O28" s="4"/>
      <c r="P28" s="733"/>
      <c r="Q28" s="1593"/>
      <c r="R28" s="41"/>
      <c r="S28" s="1593"/>
      <c r="T28" s="41"/>
      <c r="U28" s="476"/>
      <c r="V28" s="1559"/>
      <c r="W28" s="1593"/>
      <c r="X28" s="41"/>
      <c r="Y28" s="476"/>
    </row>
    <row r="29" spans="2:25" s="32" customFormat="1" ht="20.100000000000001" customHeight="1">
      <c r="B29" s="1752" t="s">
        <v>269</v>
      </c>
      <c r="C29" s="1753">
        <v>2057</v>
      </c>
      <c r="D29" s="1754" t="s">
        <v>273</v>
      </c>
      <c r="E29" s="678"/>
      <c r="F29" s="1602"/>
      <c r="G29" s="1560"/>
      <c r="H29" s="1602"/>
      <c r="I29" s="1560"/>
      <c r="J29" s="1602"/>
      <c r="K29" s="1560"/>
      <c r="L29" s="1602"/>
      <c r="M29" s="678"/>
      <c r="N29" s="748"/>
      <c r="O29" s="4"/>
      <c r="P29" s="749"/>
      <c r="Q29" s="1602"/>
      <c r="R29" s="678"/>
      <c r="S29" s="1602"/>
      <c r="T29" s="678"/>
      <c r="U29" s="748"/>
      <c r="V29" s="1560"/>
      <c r="W29" s="1602"/>
      <c r="X29" s="678"/>
      <c r="Y29" s="748"/>
    </row>
    <row r="30" spans="2:25" ht="21.9" customHeight="1">
      <c r="B30" s="2075" t="s">
        <v>280</v>
      </c>
      <c r="C30" s="1953"/>
      <c r="D30" s="2076"/>
      <c r="E30" s="743">
        <f>E28-E29</f>
        <v>0</v>
      </c>
      <c r="F30" s="1603" t="str">
        <f>IF(ISERROR(dfse_1/b_1)," ",dfse_1/b_1)</f>
        <v xml:space="preserve"> </v>
      </c>
      <c r="G30" s="1554">
        <f>G28-G29</f>
        <v>0</v>
      </c>
      <c r="H30" s="1603" t="str">
        <f>IF(ISERROR(dfse_2/b_2)," ",dfse_2/b_2)</f>
        <v xml:space="preserve"> </v>
      </c>
      <c r="I30" s="1554">
        <f>I28-I29</f>
        <v>0</v>
      </c>
      <c r="J30" s="1603" t="str">
        <f>IF(ISERROR(dfse_3/b_3)," ",dfse_3/b_3)</f>
        <v xml:space="preserve"> </v>
      </c>
      <c r="K30" s="1554">
        <f>K28-K29</f>
        <v>0</v>
      </c>
      <c r="L30" s="1603" t="str">
        <f>IF(ISERROR(dfse_4/b_4)," ",dfse_4/b_4)</f>
        <v xml:space="preserve"> </v>
      </c>
      <c r="M30" s="743">
        <f>M28-M29</f>
        <v>0</v>
      </c>
      <c r="N30" s="750" t="str">
        <f>IF(ISERROR(dfse_5/b_5)," ",dfse_5/b_5)</f>
        <v xml:space="preserve"> </v>
      </c>
      <c r="P30" s="745">
        <f>P28-P29</f>
        <v>0</v>
      </c>
      <c r="Q30" s="1603" t="str">
        <f>IF(ISERROR(P30/P115)," ",P30/P115)</f>
        <v xml:space="preserve"> </v>
      </c>
      <c r="R30" s="743">
        <f>R28-R29</f>
        <v>0</v>
      </c>
      <c r="S30" s="1603" t="str">
        <f>IF(ISERROR(R30/R115)," ",R30/R115)</f>
        <v xml:space="preserve"> </v>
      </c>
      <c r="T30" s="743">
        <f>T28-T29</f>
        <v>0</v>
      </c>
      <c r="U30" s="750" t="str">
        <f>IF(ISERROR(T30/T115)," ",T30/T115)</f>
        <v xml:space="preserve"> </v>
      </c>
      <c r="V30" s="1554">
        <f>V28-V29</f>
        <v>0</v>
      </c>
      <c r="W30" s="1603" t="str">
        <f>IF(ISERROR(V30/V115)," ",V30/V115)</f>
        <v xml:space="preserve"> </v>
      </c>
      <c r="X30" s="743">
        <f>X28-X29</f>
        <v>0</v>
      </c>
      <c r="Y30" s="750" t="str">
        <f>IF(ISERROR(X30/X115)," ",X30/X115)</f>
        <v xml:space="preserve"> </v>
      </c>
    </row>
    <row r="31" spans="2:25" s="32" customFormat="1" ht="20.100000000000001" customHeight="1">
      <c r="B31" s="1382" t="s">
        <v>325</v>
      </c>
      <c r="C31" s="1376">
        <v>2051</v>
      </c>
      <c r="D31" s="1378" t="s">
        <v>88</v>
      </c>
      <c r="E31" s="41"/>
      <c r="F31" s="1593"/>
      <c r="G31" s="1559"/>
      <c r="H31" s="1593"/>
      <c r="I31" s="1559"/>
      <c r="J31" s="1593"/>
      <c r="K31" s="1559"/>
      <c r="L31" s="1593"/>
      <c r="M31" s="41"/>
      <c r="N31" s="476"/>
      <c r="O31" s="4"/>
      <c r="P31" s="733"/>
      <c r="Q31" s="1593"/>
      <c r="R31" s="41"/>
      <c r="S31" s="1593"/>
      <c r="T31" s="41"/>
      <c r="U31" s="476"/>
      <c r="V31" s="1559"/>
      <c r="W31" s="1593"/>
      <c r="X31" s="41"/>
      <c r="Y31" s="476"/>
    </row>
    <row r="32" spans="2:25" s="32" customFormat="1" ht="20.100000000000001" customHeight="1">
      <c r="B32" s="1705" t="s">
        <v>95</v>
      </c>
      <c r="C32" s="1703">
        <v>2051</v>
      </c>
      <c r="D32" s="1651" t="s">
        <v>122</v>
      </c>
      <c r="E32" s="471"/>
      <c r="F32" s="1592"/>
      <c r="G32" s="1547"/>
      <c r="H32" s="1592"/>
      <c r="I32" s="1547"/>
      <c r="J32" s="1592"/>
      <c r="K32" s="1547"/>
      <c r="L32" s="1592"/>
      <c r="M32" s="471"/>
      <c r="N32" s="478"/>
      <c r="O32" s="4"/>
      <c r="P32" s="727"/>
      <c r="Q32" s="1592"/>
      <c r="R32" s="471"/>
      <c r="S32" s="1592"/>
      <c r="T32" s="471"/>
      <c r="U32" s="478"/>
      <c r="V32" s="1547"/>
      <c r="W32" s="1592"/>
      <c r="X32" s="471"/>
      <c r="Y32" s="478"/>
    </row>
    <row r="33" spans="2:25" s="264" customFormat="1" ht="20.100000000000001" customHeight="1">
      <c r="B33" s="1707" t="s">
        <v>271</v>
      </c>
      <c r="C33" s="1753">
        <v>2057</v>
      </c>
      <c r="D33" s="1754" t="s">
        <v>278</v>
      </c>
      <c r="E33" s="473"/>
      <c r="F33" s="1604"/>
      <c r="G33" s="1561"/>
      <c r="H33" s="1604"/>
      <c r="I33" s="1561"/>
      <c r="J33" s="1604"/>
      <c r="K33" s="1561"/>
      <c r="L33" s="1604"/>
      <c r="M33" s="473"/>
      <c r="N33" s="480"/>
      <c r="O33" s="263"/>
      <c r="P33" s="734"/>
      <c r="Q33" s="1604"/>
      <c r="R33" s="473"/>
      <c r="S33" s="1604"/>
      <c r="T33" s="473"/>
      <c r="U33" s="480"/>
      <c r="V33" s="1561"/>
      <c r="W33" s="1604"/>
      <c r="X33" s="473"/>
      <c r="Y33" s="480"/>
    </row>
    <row r="34" spans="2:25" ht="21.9" customHeight="1">
      <c r="B34" s="2075" t="s">
        <v>279</v>
      </c>
      <c r="C34" s="1953"/>
      <c r="D34" s="2076"/>
      <c r="E34" s="743">
        <f>E31+E32-E33</f>
        <v>0</v>
      </c>
      <c r="F34" s="1603" t="str">
        <f>IF(ISERROR(ade_1/b_1)," ",ade_1/b_1)</f>
        <v xml:space="preserve"> </v>
      </c>
      <c r="G34" s="1554">
        <f>G31+G32-G33</f>
        <v>0</v>
      </c>
      <c r="H34" s="1603" t="str">
        <f>IF(ISERROR(ade_2/b_2)," ",ade_2/b_2)</f>
        <v xml:space="preserve"> </v>
      </c>
      <c r="I34" s="1554">
        <f>I31+I32-I33</f>
        <v>0</v>
      </c>
      <c r="J34" s="1603" t="str">
        <f>IF(ISERROR(ade_3/b_3)," ",ade_3/b_3)</f>
        <v xml:space="preserve"> </v>
      </c>
      <c r="K34" s="1554">
        <f>K31+K32-K33</f>
        <v>0</v>
      </c>
      <c r="L34" s="1603" t="str">
        <f>IF(ISERROR(ade_4/b_4)," ",ade_4/b_4)</f>
        <v xml:space="preserve"> </v>
      </c>
      <c r="M34" s="743">
        <f>M31+M32-M33</f>
        <v>0</v>
      </c>
      <c r="N34" s="750" t="str">
        <f>IF(ISERROR(ade_5/b_5)," ",ade_5/b_5)</f>
        <v xml:space="preserve"> </v>
      </c>
      <c r="P34" s="745">
        <f>P31+P32-P33</f>
        <v>0</v>
      </c>
      <c r="Q34" s="1603" t="str">
        <f>IF(ISERROR(P34/P115)," ",P34/P115)</f>
        <v xml:space="preserve"> </v>
      </c>
      <c r="R34" s="743">
        <f>R31+R32-R33</f>
        <v>0</v>
      </c>
      <c r="S34" s="1603" t="str">
        <f>IF(ISERROR(R34/R115)," ",R34/R115)</f>
        <v xml:space="preserve"> </v>
      </c>
      <c r="T34" s="743">
        <f>T31+T32-T33</f>
        <v>0</v>
      </c>
      <c r="U34" s="750" t="str">
        <f>IF(ISERROR(T34/T115)," ",T34/T115)</f>
        <v xml:space="preserve"> </v>
      </c>
      <c r="V34" s="1554">
        <f>V31+V32-V33</f>
        <v>0</v>
      </c>
      <c r="W34" s="1603" t="str">
        <f>IF(ISERROR(V34/V115)," ",V34/V115)</f>
        <v xml:space="preserve"> </v>
      </c>
      <c r="X34" s="743">
        <f>X31+X32-X33</f>
        <v>0</v>
      </c>
      <c r="Y34" s="750" t="str">
        <f>IF(ISERROR(X34/X115)," ",X34/X115)</f>
        <v xml:space="preserve"> </v>
      </c>
    </row>
    <row r="35" spans="2:25" s="32" customFormat="1" ht="24.9" customHeight="1">
      <c r="B35" s="1382" t="s">
        <v>121</v>
      </c>
      <c r="C35" s="1049">
        <v>2051</v>
      </c>
      <c r="D35" s="1050" t="s">
        <v>109</v>
      </c>
      <c r="E35" s="41"/>
      <c r="F35" s="1593"/>
      <c r="G35" s="1559"/>
      <c r="H35" s="1593"/>
      <c r="I35" s="1559"/>
      <c r="J35" s="1593"/>
      <c r="K35" s="1559"/>
      <c r="L35" s="1593"/>
      <c r="M35" s="41"/>
      <c r="N35" s="476"/>
      <c r="O35" s="4"/>
      <c r="P35" s="733"/>
      <c r="Q35" s="1593"/>
      <c r="R35" s="41"/>
      <c r="S35" s="1593"/>
      <c r="T35" s="41"/>
      <c r="U35" s="476"/>
      <c r="V35" s="1559"/>
      <c r="W35" s="1593"/>
      <c r="X35" s="41"/>
      <c r="Y35" s="476"/>
    </row>
    <row r="36" spans="2:25" ht="21.9" customHeight="1">
      <c r="B36" s="2075" t="s">
        <v>600</v>
      </c>
      <c r="C36" s="1953"/>
      <c r="D36" s="2076"/>
      <c r="E36" s="743">
        <f>E27+E30+E34+E35</f>
        <v>0</v>
      </c>
      <c r="F36" s="1603" t="str">
        <f>IF(ISERROR(E36/b_1)," ",E36/b_1)</f>
        <v xml:space="preserve"> </v>
      </c>
      <c r="G36" s="1554">
        <f>G27+G30+G34+G35</f>
        <v>0</v>
      </c>
      <c r="H36" s="1603" t="str">
        <f>IF(ISERROR(G36/b_2)," ",G36/b_2)</f>
        <v xml:space="preserve"> </v>
      </c>
      <c r="I36" s="1554">
        <f>I27+I30+I34+I35</f>
        <v>0</v>
      </c>
      <c r="J36" s="1603" t="str">
        <f>IF(ISERROR(I36/b_3)," ",I36/b_3)</f>
        <v xml:space="preserve"> </v>
      </c>
      <c r="K36" s="1554">
        <f>K27+K30+K34+K35</f>
        <v>0</v>
      </c>
      <c r="L36" s="1603" t="str">
        <f>IF(ISERROR(K36/b_4)," ",K36/b_4)</f>
        <v xml:space="preserve"> </v>
      </c>
      <c r="M36" s="743">
        <f>M27+M30+M34+M35</f>
        <v>0</v>
      </c>
      <c r="N36" s="750" t="str">
        <f>IF(ISERROR(M36/b_5)," ",M36/b_5)</f>
        <v xml:space="preserve"> </v>
      </c>
      <c r="O36" s="21"/>
      <c r="P36" s="745">
        <f>P27+P30+P34+P35</f>
        <v>0</v>
      </c>
      <c r="Q36" s="1603" t="str">
        <f>IF(ISERROR(P36/P115)," ",P36/P115)</f>
        <v xml:space="preserve"> </v>
      </c>
      <c r="R36" s="743">
        <f>R27+R30+R34+R35</f>
        <v>0</v>
      </c>
      <c r="S36" s="1603" t="str">
        <f>IF(ISERROR(R36/R115)," ",R36/R115)</f>
        <v xml:space="preserve"> </v>
      </c>
      <c r="T36" s="743">
        <f>T27+T30+T34+T35</f>
        <v>0</v>
      </c>
      <c r="U36" s="750" t="str">
        <f>IF(ISERROR(T36/T115)," ",T36/T115)</f>
        <v xml:space="preserve"> </v>
      </c>
      <c r="V36" s="1554">
        <f>V27+V30+V34+V35</f>
        <v>0</v>
      </c>
      <c r="W36" s="1603" t="str">
        <f>IF(ISERROR(V36/V115)," ",V36/V115)</f>
        <v xml:space="preserve"> </v>
      </c>
      <c r="X36" s="743">
        <f>X27+X30+X34+X35</f>
        <v>0</v>
      </c>
      <c r="Y36" s="750" t="str">
        <f>IF(ISERROR(X36/X115)," ",X36/X115)</f>
        <v xml:space="preserve"> </v>
      </c>
    </row>
    <row r="37" spans="2:25" s="32" customFormat="1" ht="20.100000000000001" customHeight="1">
      <c r="B37" s="1382" t="s">
        <v>93</v>
      </c>
      <c r="C37" s="1376">
        <v>2051</v>
      </c>
      <c r="D37" s="1378" t="s">
        <v>94</v>
      </c>
      <c r="E37" s="41"/>
      <c r="F37" s="1593"/>
      <c r="G37" s="1559"/>
      <c r="H37" s="1593"/>
      <c r="I37" s="1559"/>
      <c r="J37" s="1593"/>
      <c r="K37" s="1559"/>
      <c r="L37" s="1593"/>
      <c r="M37" s="41"/>
      <c r="N37" s="476"/>
      <c r="O37" s="4"/>
      <c r="P37" s="733"/>
      <c r="Q37" s="1593"/>
      <c r="R37" s="41"/>
      <c r="S37" s="1593"/>
      <c r="T37" s="41"/>
      <c r="U37" s="476"/>
      <c r="V37" s="1559"/>
      <c r="W37" s="1593"/>
      <c r="X37" s="41"/>
      <c r="Y37" s="476"/>
    </row>
    <row r="38" spans="2:25" s="32" customFormat="1" ht="20.100000000000001" customHeight="1">
      <c r="B38" s="1697" t="s">
        <v>276</v>
      </c>
      <c r="C38" s="1694">
        <v>2057</v>
      </c>
      <c r="D38" s="1652" t="s">
        <v>273</v>
      </c>
      <c r="E38" s="491" t="str">
        <f>IF(ca_1=0," ",E29)</f>
        <v xml:space="preserve"> </v>
      </c>
      <c r="F38" s="1605"/>
      <c r="G38" s="1562" t="str">
        <f>IF(ca_2=0," ",G29)</f>
        <v xml:space="preserve"> </v>
      </c>
      <c r="H38" s="1605"/>
      <c r="I38" s="1562" t="str">
        <f>IF(ca_3=0," ",I29)</f>
        <v xml:space="preserve"> </v>
      </c>
      <c r="J38" s="1605"/>
      <c r="K38" s="1562" t="str">
        <f>IF(ca_4=0," ",K29)</f>
        <v xml:space="preserve"> </v>
      </c>
      <c r="L38" s="1605"/>
      <c r="M38" s="491" t="str">
        <f>IF(ca_5=0," ",M29)</f>
        <v xml:space="preserve"> </v>
      </c>
      <c r="N38" s="492"/>
      <c r="O38" s="4"/>
      <c r="P38" s="735">
        <f>P29</f>
        <v>0</v>
      </c>
      <c r="Q38" s="1605"/>
      <c r="R38" s="491">
        <f>R29</f>
        <v>0</v>
      </c>
      <c r="S38" s="1605"/>
      <c r="T38" s="491">
        <f>T29</f>
        <v>0</v>
      </c>
      <c r="U38" s="492"/>
      <c r="V38" s="1562">
        <f>V29</f>
        <v>0</v>
      </c>
      <c r="W38" s="1605"/>
      <c r="X38" s="491">
        <f>X29</f>
        <v>0</v>
      </c>
      <c r="Y38" s="492"/>
    </row>
    <row r="39" spans="2:25" s="32" customFormat="1" ht="20.100000000000001" customHeight="1">
      <c r="B39" s="1697" t="s">
        <v>277</v>
      </c>
      <c r="C39" s="1694">
        <v>2057</v>
      </c>
      <c r="D39" s="1652" t="s">
        <v>278</v>
      </c>
      <c r="E39" s="491" t="str">
        <f>IF(ca_1= 0," ",E33)</f>
        <v xml:space="preserve"> </v>
      </c>
      <c r="F39" s="1605"/>
      <c r="G39" s="1562" t="str">
        <f>IF(ca_2= 0," ",G33)</f>
        <v xml:space="preserve"> </v>
      </c>
      <c r="H39" s="1605"/>
      <c r="I39" s="1562" t="str">
        <f>IF(ca_3= 0," ",I33)</f>
        <v xml:space="preserve"> </v>
      </c>
      <c r="J39" s="1605"/>
      <c r="K39" s="1562" t="str">
        <f>IF(ca_4= 0," ",K33)</f>
        <v xml:space="preserve"> </v>
      </c>
      <c r="L39" s="1605"/>
      <c r="M39" s="491" t="str">
        <f>IF(ca_5= 0," ",M33)</f>
        <v xml:space="preserve"> </v>
      </c>
      <c r="N39" s="492"/>
      <c r="O39" s="4"/>
      <c r="P39" s="735">
        <f>P33</f>
        <v>0</v>
      </c>
      <c r="Q39" s="1605"/>
      <c r="R39" s="491">
        <f>R33</f>
        <v>0</v>
      </c>
      <c r="S39" s="1605"/>
      <c r="T39" s="491">
        <f>T33</f>
        <v>0</v>
      </c>
      <c r="U39" s="492"/>
      <c r="V39" s="1562">
        <f>V33</f>
        <v>0</v>
      </c>
      <c r="W39" s="1605"/>
      <c r="X39" s="491">
        <f>X33</f>
        <v>0</v>
      </c>
      <c r="Y39" s="492"/>
    </row>
    <row r="40" spans="2:25" s="32" customFormat="1" ht="20.100000000000001" customHeight="1">
      <c r="B40" s="1384" t="s">
        <v>660</v>
      </c>
      <c r="C40" s="1049">
        <v>2051</v>
      </c>
      <c r="D40" s="1050" t="s">
        <v>122</v>
      </c>
      <c r="E40" s="41"/>
      <c r="F40" s="1593"/>
      <c r="G40" s="1559"/>
      <c r="H40" s="1593"/>
      <c r="I40" s="1559"/>
      <c r="J40" s="1593"/>
      <c r="K40" s="1559"/>
      <c r="L40" s="1593"/>
      <c r="M40" s="41"/>
      <c r="N40" s="476"/>
      <c r="O40" s="4"/>
      <c r="P40" s="733"/>
      <c r="Q40" s="1593"/>
      <c r="R40" s="41"/>
      <c r="S40" s="1593"/>
      <c r="T40" s="41"/>
      <c r="U40" s="476"/>
      <c r="V40" s="1559"/>
      <c r="W40" s="1593"/>
      <c r="X40" s="41"/>
      <c r="Y40" s="476"/>
    </row>
    <row r="41" spans="2:25" ht="21.9" customHeight="1">
      <c r="B41" s="1961" t="s">
        <v>379</v>
      </c>
      <c r="C41" s="2077"/>
      <c r="D41" s="2078"/>
      <c r="E41" s="736">
        <f>SUM(E37:E40)</f>
        <v>0</v>
      </c>
      <c r="F41" s="1606" t="str">
        <f>IF(ISERROR(E41/b_1)," ",E41/b_1)</f>
        <v xml:space="preserve"> </v>
      </c>
      <c r="G41" s="1557">
        <f>SUM(G37:G40)</f>
        <v>0</v>
      </c>
      <c r="H41" s="1606" t="str">
        <f>IF(ISERROR(G41/b_2)," ",G41/b_2)</f>
        <v xml:space="preserve"> </v>
      </c>
      <c r="I41" s="1557">
        <f>SUM(I37:I40)</f>
        <v>0</v>
      </c>
      <c r="J41" s="1606" t="str">
        <f>IF(ISERROR(I41/b_3)," ",I41/b_3)</f>
        <v xml:space="preserve"> </v>
      </c>
      <c r="K41" s="1557">
        <f>SUM(K37:K40)</f>
        <v>0</v>
      </c>
      <c r="L41" s="1606" t="str">
        <f>IF(ISERROR(K41/b_4)," ",K41/b_4)</f>
        <v xml:space="preserve"> </v>
      </c>
      <c r="M41" s="736">
        <f>SUM(M37:M40)</f>
        <v>0</v>
      </c>
      <c r="N41" s="493" t="str">
        <f>IF(ISERROR(M41/b_5)," ",M41/b_5)</f>
        <v xml:space="preserve"> </v>
      </c>
      <c r="O41" s="21"/>
      <c r="P41" s="737">
        <f>SUM(P37:P40)</f>
        <v>0</v>
      </c>
      <c r="Q41" s="1606" t="str">
        <f>IF(ISERROR(P41/P115)," ",P41/P115)</f>
        <v xml:space="preserve"> </v>
      </c>
      <c r="R41" s="736">
        <f>SUM(R37:R40)</f>
        <v>0</v>
      </c>
      <c r="S41" s="1606" t="str">
        <f>IF(ISERROR(R41/R115)," ",R41/R115)</f>
        <v xml:space="preserve"> </v>
      </c>
      <c r="T41" s="736">
        <f>SUM(T37:T40)</f>
        <v>0</v>
      </c>
      <c r="U41" s="493" t="str">
        <f>IF(ISERROR(T41/T115)," ",T41/T115)</f>
        <v xml:space="preserve"> </v>
      </c>
      <c r="V41" s="1557">
        <f>SUM(V37:V40)</f>
        <v>0</v>
      </c>
      <c r="W41" s="1606" t="str">
        <f>IF(ISERROR(V41/V115)," ",V41/V115)</f>
        <v xml:space="preserve"> </v>
      </c>
      <c r="X41" s="736">
        <f>SUM(X37:X40)</f>
        <v>0</v>
      </c>
      <c r="Y41" s="493" t="str">
        <f>IF(ISERROR(X41/X115)," ",X41/X115)</f>
        <v xml:space="preserve"> </v>
      </c>
    </row>
    <row r="42" spans="2:25" s="8" customFormat="1" ht="21.9" customHeight="1">
      <c r="B42" s="2086" t="s">
        <v>380</v>
      </c>
      <c r="C42" s="2081"/>
      <c r="D42" s="2082"/>
      <c r="E42" s="328">
        <f>E36+E41</f>
        <v>0</v>
      </c>
      <c r="F42" s="1607" t="str">
        <f>IF(ISERROR(E42/b_1)," ",E42/b_1)</f>
        <v xml:space="preserve"> </v>
      </c>
      <c r="G42" s="330">
        <f>G36+G41</f>
        <v>0</v>
      </c>
      <c r="H42" s="1607" t="str">
        <f>IF(ISERROR(G42/b_2)," ",G42/b_2)</f>
        <v xml:space="preserve"> </v>
      </c>
      <c r="I42" s="330">
        <f>I36+I41</f>
        <v>0</v>
      </c>
      <c r="J42" s="1607" t="str">
        <f>IF(ISERROR(I42/b_3)," ",I42/b_3)</f>
        <v xml:space="preserve"> </v>
      </c>
      <c r="K42" s="330">
        <f>K36+K41</f>
        <v>0</v>
      </c>
      <c r="L42" s="1607" t="str">
        <f>IF(ISERROR(K42/b_4)," ",K42/b_4)</f>
        <v xml:space="preserve"> </v>
      </c>
      <c r="M42" s="330">
        <f>M36+M41</f>
        <v>0</v>
      </c>
      <c r="N42" s="1643" t="str">
        <f>IF(ISERROR(M42/b_5)," ",M42/b_5)</f>
        <v xml:space="preserve"> </v>
      </c>
      <c r="O42" s="4"/>
      <c r="P42" s="732">
        <f>P36+P41</f>
        <v>0</v>
      </c>
      <c r="Q42" s="1607" t="str">
        <f>IF(ISERROR(P42/b_5)," ",P42/b_5)</f>
        <v xml:space="preserve"> </v>
      </c>
      <c r="R42" s="328">
        <f>R36+R41</f>
        <v>0</v>
      </c>
      <c r="S42" s="1607" t="str">
        <f>IF(ISERROR(R42/b_5)," ",R42/b_5)</f>
        <v xml:space="preserve"> </v>
      </c>
      <c r="T42" s="330">
        <f>T36+T41</f>
        <v>0</v>
      </c>
      <c r="U42" s="1607" t="str">
        <f>IF(ISERROR(T42/b_5)," ",T42/b_5)</f>
        <v xml:space="preserve"> </v>
      </c>
      <c r="V42" s="328">
        <f>V36+V41</f>
        <v>0</v>
      </c>
      <c r="W42" s="1607" t="str">
        <f>IF(ISERROR(V42/b_5)," ",V42/b_5)</f>
        <v xml:space="preserve"> </v>
      </c>
      <c r="X42" s="330">
        <f>X36+X41</f>
        <v>0</v>
      </c>
      <c r="Y42" s="1643" t="str">
        <f>IF(ISERROR(X42/b_5)," ",X42/b_5)</f>
        <v xml:space="preserve"> </v>
      </c>
    </row>
    <row r="43" spans="2:25" s="331" customFormat="1" ht="15" customHeight="1">
      <c r="B43" s="716"/>
      <c r="C43" s="16"/>
      <c r="D43" s="712"/>
      <c r="E43" s="713"/>
      <c r="F43" s="714"/>
      <c r="G43" s="713"/>
      <c r="H43" s="714"/>
      <c r="I43" s="713"/>
      <c r="J43" s="714"/>
      <c r="K43" s="713"/>
      <c r="L43" s="714"/>
      <c r="M43" s="713"/>
      <c r="N43" s="714"/>
      <c r="O43" s="7"/>
      <c r="P43" s="713"/>
      <c r="Q43" s="714"/>
      <c r="R43" s="713">
        <f>R42-DCT_1</f>
        <v>0</v>
      </c>
      <c r="S43" s="714"/>
      <c r="T43" s="713">
        <f>T42-DCT_2</f>
        <v>0</v>
      </c>
      <c r="U43" s="714"/>
      <c r="V43" s="713">
        <f>V42-DCT_3</f>
        <v>0</v>
      </c>
      <c r="W43" s="714"/>
      <c r="X43" s="713">
        <f>X42-DCT_4</f>
        <v>0</v>
      </c>
      <c r="Y43" s="714"/>
    </row>
    <row r="44" spans="2:25" ht="20.100000000000001" customHeight="1">
      <c r="B44" s="1374" t="s">
        <v>392</v>
      </c>
      <c r="C44" s="1765">
        <v>2054</v>
      </c>
      <c r="D44" s="1766" t="s">
        <v>53</v>
      </c>
      <c r="E44" s="514"/>
      <c r="F44" s="1608"/>
      <c r="G44" s="1564"/>
      <c r="H44" s="1608"/>
      <c r="I44" s="1655"/>
      <c r="J44" s="1608"/>
      <c r="K44" s="514"/>
      <c r="L44" s="1608"/>
      <c r="M44" s="514"/>
      <c r="N44" s="502"/>
      <c r="P44" s="753"/>
      <c r="Q44" s="1608"/>
      <c r="R44" s="514"/>
      <c r="S44" s="1608"/>
      <c r="T44" s="514"/>
      <c r="U44" s="502"/>
      <c r="V44" s="1564"/>
      <c r="W44" s="1608"/>
      <c r="X44" s="514"/>
      <c r="Y44" s="502"/>
    </row>
    <row r="45" spans="2:25" ht="20.100000000000001" customHeight="1">
      <c r="B45" s="1705" t="s">
        <v>394</v>
      </c>
      <c r="C45" s="1694">
        <v>2054</v>
      </c>
      <c r="D45" s="1652" t="s">
        <v>365</v>
      </c>
      <c r="E45" s="471"/>
      <c r="F45" s="1592"/>
      <c r="G45" s="1547"/>
      <c r="H45" s="1592"/>
      <c r="I45" s="1656"/>
      <c r="J45" s="1592"/>
      <c r="K45" s="471"/>
      <c r="L45" s="1592"/>
      <c r="M45" s="471"/>
      <c r="N45" s="478"/>
      <c r="P45" s="727"/>
      <c r="Q45" s="1592"/>
      <c r="R45" s="471"/>
      <c r="S45" s="1592"/>
      <c r="T45" s="471"/>
      <c r="U45" s="478"/>
      <c r="V45" s="1547"/>
      <c r="W45" s="1592"/>
      <c r="X45" s="471"/>
      <c r="Y45" s="478"/>
    </row>
    <row r="46" spans="2:25" s="32" customFormat="1" ht="20.100000000000001" customHeight="1">
      <c r="B46" s="1705" t="s">
        <v>363</v>
      </c>
      <c r="C46" s="1694">
        <v>2054</v>
      </c>
      <c r="D46" s="1652" t="s">
        <v>366</v>
      </c>
      <c r="E46" s="471"/>
      <c r="F46" s="1592"/>
      <c r="G46" s="1547"/>
      <c r="H46" s="1592"/>
      <c r="I46" s="1656"/>
      <c r="J46" s="1592"/>
      <c r="K46" s="471"/>
      <c r="L46" s="1592"/>
      <c r="M46" s="471"/>
      <c r="N46" s="478"/>
      <c r="O46" s="4"/>
      <c r="P46" s="727"/>
      <c r="Q46" s="1592"/>
      <c r="R46" s="471"/>
      <c r="S46" s="1592"/>
      <c r="T46" s="471"/>
      <c r="U46" s="478"/>
      <c r="V46" s="1547"/>
      <c r="W46" s="1592"/>
      <c r="X46" s="471"/>
      <c r="Y46" s="478"/>
    </row>
    <row r="47" spans="2:25" ht="20.100000000000001" customHeight="1">
      <c r="B47" s="1705" t="s">
        <v>364</v>
      </c>
      <c r="C47" s="1694">
        <v>2054</v>
      </c>
      <c r="D47" s="1652" t="s">
        <v>367</v>
      </c>
      <c r="E47" s="471"/>
      <c r="F47" s="1592"/>
      <c r="G47" s="1547"/>
      <c r="H47" s="1592"/>
      <c r="I47" s="1656"/>
      <c r="J47" s="1592"/>
      <c r="K47" s="471"/>
      <c r="L47" s="1592"/>
      <c r="M47" s="471"/>
      <c r="N47" s="478"/>
      <c r="P47" s="727"/>
      <c r="Q47" s="1592"/>
      <c r="R47" s="471"/>
      <c r="S47" s="1592"/>
      <c r="T47" s="471"/>
      <c r="U47" s="478"/>
      <c r="V47" s="1547"/>
      <c r="W47" s="1592"/>
      <c r="X47" s="471"/>
      <c r="Y47" s="478"/>
    </row>
    <row r="48" spans="2:25" s="264" customFormat="1" ht="20.100000000000001" customHeight="1">
      <c r="B48" s="1707" t="s">
        <v>511</v>
      </c>
      <c r="C48" s="1049" t="s">
        <v>515</v>
      </c>
      <c r="D48" s="1767" t="s">
        <v>477</v>
      </c>
      <c r="E48" s="473"/>
      <c r="F48" s="1604"/>
      <c r="G48" s="1561"/>
      <c r="H48" s="1604"/>
      <c r="I48" s="1657"/>
      <c r="J48" s="1604"/>
      <c r="K48" s="473"/>
      <c r="L48" s="1604"/>
      <c r="M48" s="473"/>
      <c r="N48" s="480"/>
      <c r="O48" s="262"/>
      <c r="P48" s="734"/>
      <c r="Q48" s="1604"/>
      <c r="R48" s="473"/>
      <c r="S48" s="1604"/>
      <c r="T48" s="473"/>
      <c r="U48" s="480"/>
      <c r="V48" s="1561"/>
      <c r="W48" s="1604"/>
      <c r="X48" s="473"/>
      <c r="Y48" s="480"/>
    </row>
    <row r="49" spans="2:25" ht="21.9" customHeight="1">
      <c r="B49" s="2083" t="s">
        <v>311</v>
      </c>
      <c r="C49" s="2084"/>
      <c r="D49" s="2085"/>
      <c r="E49" s="752">
        <f>SUM(E44:E47)</f>
        <v>0</v>
      </c>
      <c r="F49" s="1609"/>
      <c r="G49" s="1565">
        <f>SUM(G44:G47)</f>
        <v>0</v>
      </c>
      <c r="H49" s="1609"/>
      <c r="I49" s="1658">
        <f>SUM(I44:I47)</f>
        <v>0</v>
      </c>
      <c r="J49" s="1609"/>
      <c r="K49" s="752">
        <f>SUM(K44:K47)</f>
        <v>0</v>
      </c>
      <c r="L49" s="1609"/>
      <c r="M49" s="752">
        <f>SUM(M44:M47)</f>
        <v>0</v>
      </c>
      <c r="N49" s="751"/>
      <c r="P49" s="754">
        <f>SUM(P44:P47)</f>
        <v>0</v>
      </c>
      <c r="Q49" s="1609"/>
      <c r="R49" s="752">
        <f>SUM(R44:R47)</f>
        <v>0</v>
      </c>
      <c r="S49" s="1609"/>
      <c r="T49" s="752">
        <f>SUM(T44:T47)</f>
        <v>0</v>
      </c>
      <c r="U49" s="751"/>
      <c r="V49" s="1565">
        <f>SUM(V44:V47)</f>
        <v>0</v>
      </c>
      <c r="W49" s="1609"/>
      <c r="X49" s="752">
        <f>SUM(X44:X47)</f>
        <v>0</v>
      </c>
      <c r="Y49" s="751"/>
    </row>
    <row r="50" spans="2:25" s="1123" customFormat="1" ht="18" customHeight="1">
      <c r="B50" s="1717" t="s">
        <v>393</v>
      </c>
      <c r="C50" s="1735">
        <v>2055</v>
      </c>
      <c r="D50" s="1736" t="s">
        <v>431</v>
      </c>
      <c r="E50" s="1120"/>
      <c r="F50" s="1593"/>
      <c r="G50" s="1566"/>
      <c r="H50" s="1593"/>
      <c r="I50" s="1659"/>
      <c r="J50" s="1593"/>
      <c r="K50" s="1120"/>
      <c r="L50" s="1593"/>
      <c r="M50" s="1120"/>
      <c r="N50" s="476"/>
      <c r="O50" s="1121"/>
      <c r="P50" s="1122"/>
      <c r="Q50" s="1593"/>
      <c r="R50" s="1120"/>
      <c r="S50" s="1593"/>
      <c r="T50" s="1120"/>
      <c r="U50" s="476"/>
      <c r="V50" s="1566"/>
      <c r="W50" s="1593"/>
      <c r="X50" s="1120"/>
      <c r="Y50" s="476"/>
    </row>
    <row r="51" spans="2:25" ht="18" customHeight="1">
      <c r="B51" s="1730" t="s">
        <v>201</v>
      </c>
      <c r="C51" s="1737"/>
      <c r="D51" s="1738"/>
      <c r="E51" s="1118" t="str">
        <f>IF(ISERROR(ae_1/do_1)," ",ae_1/do_1)</f>
        <v xml:space="preserve"> </v>
      </c>
      <c r="F51" s="1610"/>
      <c r="G51" s="1567" t="str">
        <f>IF(ISERROR(ae_2/do_2)," ",ae_2/do_2)</f>
        <v xml:space="preserve"> </v>
      </c>
      <c r="H51" s="1610"/>
      <c r="I51" s="1660" t="str">
        <f>IF(ISERROR(ae_3/do_3)," ",ae_3/do_3)</f>
        <v xml:space="preserve"> </v>
      </c>
      <c r="J51" s="1610"/>
      <c r="K51" s="1118" t="str">
        <f>IF(ISERROR(ae_4/do_4)," ",ae_4/do_4)</f>
        <v xml:space="preserve"> </v>
      </c>
      <c r="L51" s="1610"/>
      <c r="M51" s="1118" t="str">
        <f>IF(ISERROR(ae_5/do_5)," ",ae_5/do_5)</f>
        <v xml:space="preserve"> </v>
      </c>
      <c r="N51" s="1117"/>
      <c r="O51" s="338"/>
      <c r="P51" s="1119" t="str">
        <f>IF(ISERROR(P50/P44)," ",P50/P44)</f>
        <v xml:space="preserve"> </v>
      </c>
      <c r="Q51" s="1610"/>
      <c r="R51" s="1118" t="str">
        <f>IF(ISERROR(R50/R44)," ",R50/R44)</f>
        <v xml:space="preserve"> </v>
      </c>
      <c r="S51" s="1610"/>
      <c r="T51" s="1118" t="str">
        <f>IF(ISERROR(T50/T44)," ",T50/T44)</f>
        <v xml:space="preserve"> </v>
      </c>
      <c r="U51" s="1117"/>
      <c r="V51" s="1567" t="str">
        <f>IF(ISERROR(V50/V44)," ",V50/V44)</f>
        <v xml:space="preserve"> </v>
      </c>
      <c r="W51" s="1610"/>
      <c r="X51" s="1118" t="str">
        <f>IF(ISERROR(X50/X44)," ",X50/X44)</f>
        <v xml:space="preserve"> </v>
      </c>
      <c r="Y51" s="1117"/>
    </row>
    <row r="52" spans="2:25" s="1123" customFormat="1" ht="18" customHeight="1">
      <c r="B52" s="1717" t="s">
        <v>395</v>
      </c>
      <c r="C52" s="1739">
        <v>2055</v>
      </c>
      <c r="D52" s="1740" t="s">
        <v>370</v>
      </c>
      <c r="E52" s="1120"/>
      <c r="F52" s="1593"/>
      <c r="G52" s="1566"/>
      <c r="H52" s="1593"/>
      <c r="I52" s="1659"/>
      <c r="J52" s="1593"/>
      <c r="K52" s="1120"/>
      <c r="L52" s="1593"/>
      <c r="M52" s="1120"/>
      <c r="N52" s="476"/>
      <c r="O52" s="1121"/>
      <c r="P52" s="1122"/>
      <c r="Q52" s="1593"/>
      <c r="R52" s="1120"/>
      <c r="S52" s="1593"/>
      <c r="T52" s="1120"/>
      <c r="U52" s="476"/>
      <c r="V52" s="1566"/>
      <c r="W52" s="1593"/>
      <c r="X52" s="1120"/>
      <c r="Y52" s="476"/>
    </row>
    <row r="53" spans="2:25" s="338" customFormat="1" ht="18" customHeight="1">
      <c r="B53" s="1730" t="s">
        <v>201</v>
      </c>
      <c r="C53" s="1741"/>
      <c r="D53" s="1742"/>
      <c r="E53" s="1118" t="str">
        <f>IF(ISERROR(ph_1/lw_1)," ",ph_1/lw_1)</f>
        <v xml:space="preserve"> </v>
      </c>
      <c r="F53" s="1610"/>
      <c r="G53" s="1567" t="str">
        <f>IF(ISERROR(ph_2/lw_2)," ",ph_2/lw_2)</f>
        <v xml:space="preserve"> </v>
      </c>
      <c r="H53" s="1610"/>
      <c r="I53" s="1660" t="str">
        <f>IF(ISERROR(ph_3/lw_3)," ",ph_3/lw_3)</f>
        <v xml:space="preserve"> </v>
      </c>
      <c r="J53" s="1610"/>
      <c r="K53" s="1118" t="str">
        <f>IF(ISERROR(ph_4/lw_4)," ",ph_4/lw_4)</f>
        <v xml:space="preserve"> </v>
      </c>
      <c r="L53" s="1610"/>
      <c r="M53" s="1118" t="str">
        <f>IF(ISERROR(ph_5/lw_5)," ",ph_5/lw_5)</f>
        <v xml:space="preserve"> </v>
      </c>
      <c r="N53" s="1117"/>
      <c r="P53" s="1119" t="str">
        <f>IF(ISERROR(P52/P45)," ",P52/P45)</f>
        <v xml:space="preserve"> </v>
      </c>
      <c r="Q53" s="1610"/>
      <c r="R53" s="1118" t="str">
        <f>IF(ISERROR(R52/R45)," ",R52/R45)</f>
        <v xml:space="preserve"> </v>
      </c>
      <c r="S53" s="1610"/>
      <c r="T53" s="1118" t="str">
        <f>IF(ISERROR(T52/T45)," ",T52/T45)</f>
        <v xml:space="preserve"> </v>
      </c>
      <c r="U53" s="1117"/>
      <c r="V53" s="1567" t="str">
        <f>IF(ISERROR(V52/V45)," ",V52/V45)</f>
        <v xml:space="preserve"> </v>
      </c>
      <c r="W53" s="1610"/>
      <c r="X53" s="1118" t="str">
        <f>IF(ISERROR(X52/X45)," ",X52/X45)</f>
        <v xml:space="preserve"> </v>
      </c>
      <c r="Y53" s="1117"/>
    </row>
    <row r="54" spans="2:25" s="1123" customFormat="1" ht="18" customHeight="1">
      <c r="B54" s="1717" t="s">
        <v>368</v>
      </c>
      <c r="C54" s="1739">
        <v>2055</v>
      </c>
      <c r="D54" s="1740" t="s">
        <v>371</v>
      </c>
      <c r="E54" s="1120"/>
      <c r="F54" s="1593"/>
      <c r="G54" s="1566"/>
      <c r="H54" s="1593"/>
      <c r="I54" s="1659"/>
      <c r="J54" s="1593"/>
      <c r="K54" s="1120"/>
      <c r="L54" s="1593"/>
      <c r="M54" s="1120"/>
      <c r="N54" s="476"/>
      <c r="O54" s="1121"/>
      <c r="P54" s="1122"/>
      <c r="Q54" s="1593"/>
      <c r="R54" s="1120"/>
      <c r="S54" s="1593"/>
      <c r="T54" s="1120"/>
      <c r="U54" s="476"/>
      <c r="V54" s="1566"/>
      <c r="W54" s="1593"/>
      <c r="X54" s="1120"/>
      <c r="Y54" s="476"/>
    </row>
    <row r="55" spans="2:25" s="338" customFormat="1" ht="18" customHeight="1">
      <c r="B55" s="1730" t="s">
        <v>201</v>
      </c>
      <c r="C55" s="1741"/>
      <c r="D55" s="1742"/>
      <c r="E55" s="1118" t="str">
        <f>IF(ISERROR(qx_1/nh_1)," ",qx_1/nh_1)</f>
        <v xml:space="preserve"> </v>
      </c>
      <c r="F55" s="1610"/>
      <c r="G55" s="1567" t="str">
        <f>IF(ISERROR(qx_2/nh_2)," ",qx_2/nh_2)</f>
        <v xml:space="preserve"> </v>
      </c>
      <c r="H55" s="1610"/>
      <c r="I55" s="1660" t="str">
        <f>IF(ISERROR(qx_3/nh_3)," ",qx_3/nh_3)</f>
        <v xml:space="preserve"> </v>
      </c>
      <c r="J55" s="1610"/>
      <c r="K55" s="1118" t="str">
        <f>IF(ISERROR(qx_4/nh_4)," ",qx_4/nh_4)</f>
        <v xml:space="preserve"> </v>
      </c>
      <c r="L55" s="1610"/>
      <c r="M55" s="1118" t="str">
        <f>IF(ISERROR(qx_5/nh_5)," ",qx_5/nh_5)</f>
        <v xml:space="preserve"> </v>
      </c>
      <c r="N55" s="1117"/>
      <c r="P55" s="1119" t="str">
        <f>IF(ISERROR(P54/P46)," ",P54/P46)</f>
        <v xml:space="preserve"> </v>
      </c>
      <c r="Q55" s="1610"/>
      <c r="R55" s="1118" t="str">
        <f>IF(ISERROR(R54/R46)," ",R54/R46)</f>
        <v xml:space="preserve"> </v>
      </c>
      <c r="S55" s="1610"/>
      <c r="T55" s="1118" t="str">
        <f>IF(ISERROR(T54/T46)," ",T54/T46)</f>
        <v xml:space="preserve"> </v>
      </c>
      <c r="U55" s="1117"/>
      <c r="V55" s="1567" t="str">
        <f>IF(ISERROR(V54/V46)," ",V54/V46)</f>
        <v xml:space="preserve"> </v>
      </c>
      <c r="W55" s="1610"/>
      <c r="X55" s="1118" t="str">
        <f>IF(ISERROR(X54/X46)," ",X54/X46)</f>
        <v xml:space="preserve"> </v>
      </c>
      <c r="Y55" s="1117"/>
    </row>
    <row r="56" spans="2:25" s="1123" customFormat="1" ht="18" customHeight="1">
      <c r="B56" s="1717" t="s">
        <v>369</v>
      </c>
      <c r="C56" s="1739">
        <v>2056</v>
      </c>
      <c r="D56" s="1740" t="s">
        <v>372</v>
      </c>
      <c r="E56" s="1120"/>
      <c r="F56" s="1593"/>
      <c r="G56" s="1566"/>
      <c r="H56" s="1593"/>
      <c r="I56" s="1659"/>
      <c r="J56" s="1593"/>
      <c r="K56" s="1120"/>
      <c r="L56" s="1593"/>
      <c r="M56" s="1120"/>
      <c r="N56" s="476"/>
      <c r="O56" s="1121"/>
      <c r="P56" s="1122"/>
      <c r="Q56" s="1593"/>
      <c r="R56" s="1120"/>
      <c r="S56" s="1593"/>
      <c r="T56" s="1120"/>
      <c r="U56" s="476"/>
      <c r="V56" s="1566"/>
      <c r="W56" s="1593"/>
      <c r="X56" s="1120"/>
      <c r="Y56" s="476"/>
    </row>
    <row r="57" spans="2:25" s="338" customFormat="1" ht="18" customHeight="1">
      <c r="B57" s="1730" t="s">
        <v>201</v>
      </c>
      <c r="C57" s="1741"/>
      <c r="D57" s="1742"/>
      <c r="E57" s="1118" t="str">
        <f>IF(ISERROR(x_1/nk_1)," ",x_1/nk_1)</f>
        <v xml:space="preserve"> </v>
      </c>
      <c r="F57" s="1610"/>
      <c r="G57" s="1567" t="str">
        <f>IF(ISERROR(x_2/nk_2)," ",x_2/nk_2)</f>
        <v xml:space="preserve"> </v>
      </c>
      <c r="H57" s="1610"/>
      <c r="I57" s="1660" t="str">
        <f>IF(ISERROR(x_3/nk_3)," ",x_3/nk_3)</f>
        <v xml:space="preserve"> </v>
      </c>
      <c r="J57" s="1610"/>
      <c r="K57" s="1118" t="str">
        <f>IF(ISERROR(x_4/nk_4)," ",x_4/nk_4)</f>
        <v xml:space="preserve"> </v>
      </c>
      <c r="L57" s="1610"/>
      <c r="M57" s="1118" t="str">
        <f>IF(ISERROR(x_5/nk_5)," ",x_5/nk_5)</f>
        <v xml:space="preserve"> </v>
      </c>
      <c r="N57" s="1117"/>
      <c r="P57" s="1119" t="str">
        <f>IF(ISERROR(P56/P47)," ",P56/P47)</f>
        <v xml:space="preserve"> </v>
      </c>
      <c r="Q57" s="1610"/>
      <c r="R57" s="1118" t="str">
        <f>IF(ISERROR(R56/R47)," ",R56/R47)</f>
        <v xml:space="preserve"> </v>
      </c>
      <c r="S57" s="1610"/>
      <c r="T57" s="1118" t="str">
        <f>IF(ISERROR(T56/T47)," ",T56/T47)</f>
        <v xml:space="preserve"> </v>
      </c>
      <c r="U57" s="1117"/>
      <c r="V57" s="1567" t="str">
        <f>IF(ISERROR(V56/V47)," ",V56/V47)</f>
        <v xml:space="preserve"> </v>
      </c>
      <c r="W57" s="1610"/>
      <c r="X57" s="1118" t="str">
        <f>IF(ISERROR(X56/X47)," ",X56/X47)</f>
        <v xml:space="preserve"> </v>
      </c>
      <c r="Y57" s="1117"/>
    </row>
    <row r="58" spans="2:25" s="1121" customFormat="1" ht="18" customHeight="1">
      <c r="B58" s="1731" t="s">
        <v>516</v>
      </c>
      <c r="C58" s="1743">
        <v>2050</v>
      </c>
      <c r="D58" s="1744" t="s">
        <v>517</v>
      </c>
      <c r="E58" s="1127"/>
      <c r="F58" s="1611"/>
      <c r="G58" s="1568"/>
      <c r="H58" s="1611"/>
      <c r="I58" s="1661"/>
      <c r="J58" s="1611"/>
      <c r="K58" s="1127"/>
      <c r="L58" s="1611"/>
      <c r="M58" s="1127"/>
      <c r="N58" s="1128"/>
      <c r="P58" s="1129"/>
      <c r="Q58" s="1611"/>
      <c r="R58" s="1127"/>
      <c r="S58" s="1611"/>
      <c r="T58" s="1127"/>
      <c r="U58" s="1128"/>
      <c r="V58" s="1568"/>
      <c r="W58" s="1611"/>
      <c r="X58" s="1127"/>
      <c r="Y58" s="1128"/>
    </row>
    <row r="59" spans="2:25" ht="18" customHeight="1">
      <c r="B59" s="1732" t="s">
        <v>201</v>
      </c>
      <c r="C59" s="1745"/>
      <c r="D59" s="1746"/>
      <c r="E59" s="1125" t="str">
        <f>IF(ISERROR(E58/E48)," ",E58/E48)</f>
        <v xml:space="preserve"> </v>
      </c>
      <c r="F59" s="1612"/>
      <c r="G59" s="1563" t="str">
        <f>IF(ISERROR(G58/G48)," ",G58/G48)</f>
        <v xml:space="preserve"> </v>
      </c>
      <c r="H59" s="1612"/>
      <c r="I59" s="1662" t="str">
        <f>IF(ISERROR(I58/I48)," ",I58/I48)</f>
        <v xml:space="preserve"> </v>
      </c>
      <c r="J59" s="1612"/>
      <c r="K59" s="1125" t="str">
        <f>IF(ISERROR(K58/K48)," ",K58/K48)</f>
        <v xml:space="preserve"> </v>
      </c>
      <c r="L59" s="1612"/>
      <c r="M59" s="1125" t="str">
        <f>IF(ISERROR(M58/M48)," ",M58/M48)</f>
        <v xml:space="preserve"> </v>
      </c>
      <c r="N59" s="496"/>
      <c r="O59" s="338"/>
      <c r="P59" s="1126" t="str">
        <f>IF(ISERROR(P58/P48)," ",P58/P48)</f>
        <v xml:space="preserve"> </v>
      </c>
      <c r="Q59" s="1619"/>
      <c r="R59" s="1125" t="str">
        <f>IF(ISERROR(R58/R48)," ",R58/R48)</f>
        <v xml:space="preserve"> </v>
      </c>
      <c r="S59" s="1612"/>
      <c r="T59" s="1125" t="str">
        <f>IF(ISERROR(T58/T48)," ",T58/T48)</f>
        <v xml:space="preserve"> </v>
      </c>
      <c r="U59" s="496"/>
      <c r="V59" s="1563" t="str">
        <f>IF(ISERROR(V58/V48)," ",V58/V48)</f>
        <v xml:space="preserve"> </v>
      </c>
      <c r="W59" s="1612"/>
      <c r="X59" s="1125" t="str">
        <f>IF(ISERROR(X58/X48)," ",X58/X48)</f>
        <v xml:space="preserve"> </v>
      </c>
      <c r="Y59" s="496"/>
    </row>
    <row r="60" spans="2:25" s="1123" customFormat="1" ht="18" customHeight="1">
      <c r="B60" s="1733" t="s">
        <v>312</v>
      </c>
      <c r="C60" s="1747"/>
      <c r="D60" s="1748"/>
      <c r="E60" s="1132">
        <f>ae_1+ph_1+qx_1+x_1</f>
        <v>0</v>
      </c>
      <c r="F60" s="1613"/>
      <c r="G60" s="1569">
        <f>ae_2+ph_2+qx_2+x_2</f>
        <v>0</v>
      </c>
      <c r="H60" s="1613"/>
      <c r="I60" s="1663">
        <f>ae_3+ph_3+qx_3+x_3</f>
        <v>0</v>
      </c>
      <c r="J60" s="1613"/>
      <c r="K60" s="1132">
        <f>ae_4+ph_4+qx_4+x_4</f>
        <v>0</v>
      </c>
      <c r="L60" s="1613"/>
      <c r="M60" s="1132">
        <f>ae_5+ph_5+qx_5+x_5</f>
        <v>0</v>
      </c>
      <c r="N60" s="497"/>
      <c r="O60" s="1121"/>
      <c r="P60" s="1133">
        <f>P50+P52+P54+P56</f>
        <v>0</v>
      </c>
      <c r="Q60" s="1613"/>
      <c r="R60" s="1132">
        <f>R50+R52+R54+R56</f>
        <v>0</v>
      </c>
      <c r="S60" s="1613"/>
      <c r="T60" s="1132">
        <f>T50+T52+T54+T56</f>
        <v>0</v>
      </c>
      <c r="U60" s="497"/>
      <c r="V60" s="1569">
        <f>V50+V52+V54+V56</f>
        <v>0</v>
      </c>
      <c r="W60" s="1613"/>
      <c r="X60" s="1132">
        <f>X50+X52+X54+X56</f>
        <v>0</v>
      </c>
      <c r="Y60" s="497"/>
    </row>
    <row r="61" spans="2:25" s="338" customFormat="1" ht="18" customHeight="1">
      <c r="B61" s="1734" t="s">
        <v>201</v>
      </c>
      <c r="C61" s="1749"/>
      <c r="D61" s="1750"/>
      <c r="E61" s="1645" t="str">
        <f>IF(ISERROR(E60/E49)," ",E60/E49)</f>
        <v xml:space="preserve"> </v>
      </c>
      <c r="F61" s="1614"/>
      <c r="G61" s="1570" t="str">
        <f>IF(ISERROR(G60/G49)," ",G60/G49)</f>
        <v xml:space="preserve"> </v>
      </c>
      <c r="H61" s="1614"/>
      <c r="I61" s="1664" t="str">
        <f>IF(ISERROR(I60/I49)," ",I60/I49)</f>
        <v xml:space="preserve"> </v>
      </c>
      <c r="J61" s="1614"/>
      <c r="K61" s="1645" t="str">
        <f>IF(ISERROR(K60/K49)," ",K60/K49)</f>
        <v xml:space="preserve"> </v>
      </c>
      <c r="L61" s="1614"/>
      <c r="M61" s="1130" t="str">
        <f>IF(ISERROR(M60/M49)," ",M60/M49)</f>
        <v xml:space="preserve"> </v>
      </c>
      <c r="N61" s="1124"/>
      <c r="P61" s="1131" t="str">
        <f>IF(ISERROR(P60/P49)," ",P60/P49)</f>
        <v xml:space="preserve"> </v>
      </c>
      <c r="Q61" s="1621"/>
      <c r="R61" s="1645" t="str">
        <f>IF(ISERROR(R60/R49)," ",R60/R49)</f>
        <v xml:space="preserve"> </v>
      </c>
      <c r="S61" s="1614"/>
      <c r="T61" s="1130" t="str">
        <f>IF(ISERROR(T60/T49)," ",T60/T49)</f>
        <v xml:space="preserve"> </v>
      </c>
      <c r="U61" s="1124"/>
      <c r="V61" s="1570" t="str">
        <f>IF(ISERROR(V60/V49)," ",V60/V49)</f>
        <v xml:space="preserve"> </v>
      </c>
      <c r="W61" s="1614"/>
      <c r="X61" s="1130" t="str">
        <f>IF(ISERROR(X60/X49)," ",X60/X49)</f>
        <v xml:space="preserve"> </v>
      </c>
      <c r="Y61" s="1124"/>
    </row>
    <row r="62" spans="2:25" ht="21.9" customHeight="1">
      <c r="B62" s="2080" t="s">
        <v>66</v>
      </c>
      <c r="C62" s="2081"/>
      <c r="D62" s="2082"/>
      <c r="E62" s="335">
        <f>IF(ISERROR(E49-E60)," ",E49-E60)</f>
        <v>0</v>
      </c>
      <c r="F62" s="1615" t="str">
        <f>IF(ISERROR(bj_1/b_1)," ",bj_1/b_1)</f>
        <v xml:space="preserve"> </v>
      </c>
      <c r="G62" s="335">
        <f>IF(ISERROR(G49-G60)," ",G49-G60)</f>
        <v>0</v>
      </c>
      <c r="H62" s="1615" t="str">
        <f>IF(ISERROR(bj_2/b_2)," ",bj_2/b_2)</f>
        <v xml:space="preserve"> </v>
      </c>
      <c r="I62" s="334">
        <f>IF(ISERROR(I49-I60)," ",I49-I60)</f>
        <v>0</v>
      </c>
      <c r="J62" s="1768" t="str">
        <f>IF(ISERROR(bj_3/b_3)," ",bj_3/b_3)</f>
        <v xml:space="preserve"> </v>
      </c>
      <c r="K62" s="335">
        <f>IF(ISERROR(K49-K60)," ",K49-K60)</f>
        <v>0</v>
      </c>
      <c r="L62" s="1615" t="str">
        <f>IF(ISERROR(bj_4/b_4)," ",bj_4/b_4)</f>
        <v xml:space="preserve"> </v>
      </c>
      <c r="M62" s="334">
        <f>IF(ISERROR(M49-M60)," ",M49-M60)</f>
        <v>0</v>
      </c>
      <c r="N62" s="1649" t="str">
        <f>IF(ISERROR(bj_5/b_5)," ",bj_5/b_5)</f>
        <v xml:space="preserve"> </v>
      </c>
      <c r="P62" s="1644">
        <f>IF(ISERROR(P49-P60)," ",P49-P60)</f>
        <v>0</v>
      </c>
      <c r="Q62" s="1615" t="str">
        <f>IF(ISERROR(P62/P115)," ",P62/P115)</f>
        <v xml:space="preserve"> </v>
      </c>
      <c r="R62" s="334">
        <f>IF(ISERROR(R49-R60)," ",R49-R60)</f>
        <v>0</v>
      </c>
      <c r="S62" s="1615" t="str">
        <f>IF(ISERROR(R62/R115)," ",R62/R115)</f>
        <v xml:space="preserve"> </v>
      </c>
      <c r="T62" s="334">
        <f>IF(ISERROR(T49-T60)," ",T49-T60)</f>
        <v>0</v>
      </c>
      <c r="U62" s="1615" t="str">
        <f>IF(ISERROR(T62/T115)," ",T62/T115)</f>
        <v xml:space="preserve"> </v>
      </c>
      <c r="V62" s="335">
        <f>IF(ISERROR(V49-V60)," ",V49-V60)</f>
        <v>0</v>
      </c>
      <c r="W62" s="1615" t="str">
        <f>IF(ISERROR(V62/V115)," ",V62/V115)</f>
        <v xml:space="preserve"> </v>
      </c>
      <c r="X62" s="334">
        <f>IF(ISERROR(X49-X60)," ",X49-X60)</f>
        <v>0</v>
      </c>
      <c r="Y62" s="1649" t="str">
        <f>IF(ISERROR(X62/X115)," ",X62/X115)</f>
        <v xml:space="preserve"> </v>
      </c>
    </row>
    <row r="63" spans="2:25" s="32" customFormat="1" ht="20.100000000000001" customHeight="1">
      <c r="B63" s="1382" t="s">
        <v>67</v>
      </c>
      <c r="C63" s="1375">
        <v>2050</v>
      </c>
      <c r="D63" s="1377" t="s">
        <v>68</v>
      </c>
      <c r="E63" s="514"/>
      <c r="F63" s="1608"/>
      <c r="G63" s="1564"/>
      <c r="H63" s="1608"/>
      <c r="I63" s="1655"/>
      <c r="J63" s="1608"/>
      <c r="K63" s="514"/>
      <c r="L63" s="1608"/>
      <c r="M63" s="41"/>
      <c r="N63" s="476"/>
      <c r="O63" s="15"/>
      <c r="P63" s="733"/>
      <c r="Q63" s="1593"/>
      <c r="R63" s="514"/>
      <c r="S63" s="1608"/>
      <c r="T63" s="41"/>
      <c r="U63" s="476"/>
      <c r="V63" s="1564"/>
      <c r="W63" s="1608"/>
      <c r="X63" s="41"/>
      <c r="Y63" s="476"/>
    </row>
    <row r="64" spans="2:25" s="32" customFormat="1" ht="20.100000000000001" customHeight="1">
      <c r="B64" s="1705" t="s">
        <v>70</v>
      </c>
      <c r="C64" s="1703">
        <v>2050</v>
      </c>
      <c r="D64" s="1651" t="s">
        <v>71</v>
      </c>
      <c r="E64" s="471"/>
      <c r="F64" s="1592"/>
      <c r="G64" s="1547"/>
      <c r="H64" s="1592"/>
      <c r="I64" s="1656"/>
      <c r="J64" s="1592"/>
      <c r="K64" s="471"/>
      <c r="L64" s="1592"/>
      <c r="M64" s="471"/>
      <c r="N64" s="478"/>
      <c r="O64" s="8"/>
      <c r="P64" s="727"/>
      <c r="Q64" s="1592"/>
      <c r="R64" s="471"/>
      <c r="S64" s="1592"/>
      <c r="T64" s="471"/>
      <c r="U64" s="478"/>
      <c r="V64" s="1547"/>
      <c r="W64" s="1592"/>
      <c r="X64" s="471"/>
      <c r="Y64" s="478"/>
    </row>
    <row r="65" spans="2:25" s="32" customFormat="1" ht="20.100000000000001" customHeight="1">
      <c r="B65" s="1705" t="s">
        <v>73</v>
      </c>
      <c r="C65" s="1703">
        <v>2050</v>
      </c>
      <c r="D65" s="1651" t="s">
        <v>74</v>
      </c>
      <c r="E65" s="471"/>
      <c r="F65" s="1592"/>
      <c r="G65" s="1547"/>
      <c r="H65" s="1592"/>
      <c r="I65" s="1656"/>
      <c r="J65" s="1592"/>
      <c r="K65" s="471"/>
      <c r="L65" s="1592"/>
      <c r="M65" s="471"/>
      <c r="N65" s="478"/>
      <c r="O65" s="4"/>
      <c r="P65" s="727"/>
      <c r="Q65" s="1592"/>
      <c r="R65" s="471"/>
      <c r="S65" s="1592"/>
      <c r="T65" s="471"/>
      <c r="U65" s="478"/>
      <c r="V65" s="1547"/>
      <c r="W65" s="1592"/>
      <c r="X65" s="471"/>
      <c r="Y65" s="478"/>
    </row>
    <row r="66" spans="2:25" s="32" customFormat="1" ht="20.100000000000001" customHeight="1">
      <c r="B66" s="1705" t="s">
        <v>76</v>
      </c>
      <c r="C66" s="1703">
        <v>2050</v>
      </c>
      <c r="D66" s="1651" t="s">
        <v>77</v>
      </c>
      <c r="E66" s="471"/>
      <c r="F66" s="1592"/>
      <c r="G66" s="1547"/>
      <c r="H66" s="1592"/>
      <c r="I66" s="1656"/>
      <c r="J66" s="1592"/>
      <c r="K66" s="471"/>
      <c r="L66" s="1592"/>
      <c r="M66" s="471"/>
      <c r="N66" s="478"/>
      <c r="O66" s="4"/>
      <c r="P66" s="727"/>
      <c r="Q66" s="1592"/>
      <c r="R66" s="471"/>
      <c r="S66" s="1592"/>
      <c r="T66" s="471"/>
      <c r="U66" s="478"/>
      <c r="V66" s="1547"/>
      <c r="W66" s="1592"/>
      <c r="X66" s="471"/>
      <c r="Y66" s="478"/>
    </row>
    <row r="67" spans="2:25" s="32" customFormat="1" ht="20.100000000000001" customHeight="1">
      <c r="B67" s="1444" t="s">
        <v>79</v>
      </c>
      <c r="C67" s="1049">
        <v>2050</v>
      </c>
      <c r="D67" s="1050" t="s">
        <v>80</v>
      </c>
      <c r="E67" s="41"/>
      <c r="F67" s="1593"/>
      <c r="G67" s="1559"/>
      <c r="H67" s="1593"/>
      <c r="I67" s="1665"/>
      <c r="J67" s="1593"/>
      <c r="K67" s="41"/>
      <c r="L67" s="1593"/>
      <c r="M67" s="41"/>
      <c r="N67" s="476"/>
      <c r="O67" s="4"/>
      <c r="P67" s="733"/>
      <c r="Q67" s="1593"/>
      <c r="R67" s="41"/>
      <c r="S67" s="1593"/>
      <c r="T67" s="41"/>
      <c r="U67" s="476"/>
      <c r="V67" s="1559"/>
      <c r="W67" s="1593"/>
      <c r="X67" s="41"/>
      <c r="Y67" s="476"/>
    </row>
    <row r="68" spans="2:25" ht="18" customHeight="1">
      <c r="B68" s="2121" t="s">
        <v>186</v>
      </c>
      <c r="C68" s="2122"/>
      <c r="D68" s="2123"/>
      <c r="E68" s="1137">
        <f>SUM(E63:E67)</f>
        <v>0</v>
      </c>
      <c r="F68" s="1616"/>
      <c r="G68" s="1571">
        <f>SUM(G63:G67)</f>
        <v>0</v>
      </c>
      <c r="H68" s="1616"/>
      <c r="I68" s="1666">
        <f>SUM(I63:I67)</f>
        <v>0</v>
      </c>
      <c r="J68" s="1616"/>
      <c r="K68" s="1137">
        <f>SUM(K63:K67)</f>
        <v>0</v>
      </c>
      <c r="L68" s="1616"/>
      <c r="M68" s="1137">
        <f>SUM(M63:M67)</f>
        <v>0</v>
      </c>
      <c r="N68" s="1138"/>
      <c r="O68" s="1121"/>
      <c r="P68" s="1139">
        <f>SUM(P63:P67)</f>
        <v>0</v>
      </c>
      <c r="Q68" s="1616"/>
      <c r="R68" s="1137">
        <f>SUM(R63:R67)</f>
        <v>0</v>
      </c>
      <c r="S68" s="1616"/>
      <c r="T68" s="1137">
        <f>SUM(T63:T67)</f>
        <v>0</v>
      </c>
      <c r="U68" s="1138"/>
      <c r="V68" s="1571">
        <f>SUM(V63:V67)</f>
        <v>0</v>
      </c>
      <c r="W68" s="1616"/>
      <c r="X68" s="1137">
        <f>SUM(X63:X67)</f>
        <v>0</v>
      </c>
      <c r="Y68" s="1138"/>
    </row>
    <row r="69" spans="2:25" s="1116" customFormat="1" ht="18" customHeight="1">
      <c r="B69" s="2124"/>
      <c r="C69" s="2125"/>
      <c r="D69" s="2126"/>
      <c r="E69" s="1134" t="str">
        <f>IF(st_1=0," ",st_1/ca_1)</f>
        <v xml:space="preserve"> </v>
      </c>
      <c r="F69" s="1617"/>
      <c r="G69" s="1572" t="str">
        <f>IF(st_2=0," ",st_2/ca_2)</f>
        <v xml:space="preserve"> </v>
      </c>
      <c r="H69" s="1617"/>
      <c r="I69" s="1667" t="str">
        <f>IF(st_3=0," ",st_3/ca_3)</f>
        <v xml:space="preserve"> </v>
      </c>
      <c r="J69" s="1617"/>
      <c r="K69" s="1134" t="str">
        <f>IF(st_4=0," ",st_4/ca_4)</f>
        <v xml:space="preserve"> </v>
      </c>
      <c r="L69" s="1617"/>
      <c r="M69" s="1134" t="str">
        <f>IF(st_5=0," ",st_5/ca_5)</f>
        <v xml:space="preserve"> </v>
      </c>
      <c r="N69" s="1135"/>
      <c r="P69" s="1136" t="str">
        <f>IF(P68=0," ",P68/resultat!K29)</f>
        <v xml:space="preserve"> </v>
      </c>
      <c r="Q69" s="1647"/>
      <c r="R69" s="1134" t="str">
        <f>IF(R68=0," ",R68/resultat!L29)</f>
        <v xml:space="preserve"> </v>
      </c>
      <c r="S69" s="1617"/>
      <c r="T69" s="1134" t="str">
        <f>IF(T68=0," ",T68/resultat!M29)</f>
        <v xml:space="preserve"> </v>
      </c>
      <c r="U69" s="1135"/>
      <c r="V69" s="1572" t="str">
        <f>IF(V68=0," ",V68/resultat!N29)</f>
        <v xml:space="preserve"> </v>
      </c>
      <c r="W69" s="1617"/>
      <c r="X69" s="1134" t="str">
        <f>IF(X68=0," ",X68/resultat!O29)</f>
        <v xml:space="preserve"> </v>
      </c>
      <c r="Y69" s="1135"/>
    </row>
    <row r="70" spans="2:25" s="1123" customFormat="1" ht="18" customHeight="1">
      <c r="B70" s="1717" t="s">
        <v>323</v>
      </c>
      <c r="C70" s="1722">
        <v>2050</v>
      </c>
      <c r="D70" s="1723" t="s">
        <v>69</v>
      </c>
      <c r="E70" s="1120"/>
      <c r="F70" s="1593"/>
      <c r="G70" s="1566"/>
      <c r="H70" s="1593"/>
      <c r="I70" s="1659"/>
      <c r="J70" s="1593"/>
      <c r="K70" s="1120"/>
      <c r="L70" s="1593"/>
      <c r="M70" s="1120"/>
      <c r="N70" s="476"/>
      <c r="O70" s="1068"/>
      <c r="P70" s="1122"/>
      <c r="Q70" s="1593"/>
      <c r="R70" s="1120"/>
      <c r="S70" s="1593"/>
      <c r="T70" s="1120"/>
      <c r="U70" s="476"/>
      <c r="V70" s="1566"/>
      <c r="W70" s="1593"/>
      <c r="X70" s="1120"/>
      <c r="Y70" s="476"/>
    </row>
    <row r="71" spans="2:25" s="338" customFormat="1" ht="18" customHeight="1">
      <c r="B71" s="1700" t="s">
        <v>201</v>
      </c>
      <c r="C71" s="1724"/>
      <c r="D71" s="1725"/>
      <c r="E71" s="1143" t="str">
        <f>IF(ISERROR(bm_1/bl_1)," ",bm_1/bl_1)</f>
        <v xml:space="preserve"> </v>
      </c>
      <c r="F71" s="1618"/>
      <c r="G71" s="1573" t="str">
        <f>IF(ISERROR(bm_2/bl_2)," ",bm_2/bl_2)</f>
        <v xml:space="preserve"> </v>
      </c>
      <c r="H71" s="1618"/>
      <c r="I71" s="1668" t="str">
        <f>IF(ISERROR(bm_3/bl_3)," ",bm_3/bl_3)</f>
        <v xml:space="preserve"> </v>
      </c>
      <c r="J71" s="1618"/>
      <c r="K71" s="1143" t="str">
        <f>IF(ISERROR(bm_4/bl_4)," ",bm_4/bl_4)</f>
        <v xml:space="preserve"> </v>
      </c>
      <c r="L71" s="1618"/>
      <c r="M71" s="1143" t="str">
        <f>IF(ISERROR(bm_5/bl_5)," ",bm_5/bl_5)</f>
        <v xml:space="preserve"> </v>
      </c>
      <c r="N71" s="1144"/>
      <c r="P71" s="1145" t="str">
        <f>IF(ISERROR(P70/P63)," ",P70/P63)</f>
        <v xml:space="preserve"> </v>
      </c>
      <c r="Q71" s="1619"/>
      <c r="R71" s="1143" t="str">
        <f>IF(ISERROR(R70/R63)," ",R70/R63)</f>
        <v xml:space="preserve"> </v>
      </c>
      <c r="S71" s="1618"/>
      <c r="T71" s="1146" t="str">
        <f>IF(ISERROR(T70/T63)," ",T70/T63)</f>
        <v xml:space="preserve"> </v>
      </c>
      <c r="U71" s="496"/>
      <c r="V71" s="1573" t="str">
        <f>IF(ISERROR(V70/V63)," ",V70/V63)</f>
        <v xml:space="preserve"> </v>
      </c>
      <c r="W71" s="1618"/>
      <c r="X71" s="1146" t="str">
        <f>IF(ISERROR(X70/X63)," ",X70/X63)</f>
        <v xml:space="preserve"> </v>
      </c>
      <c r="Y71" s="496"/>
    </row>
    <row r="72" spans="2:25" s="1123" customFormat="1" ht="18" customHeight="1">
      <c r="B72" s="1717" t="s">
        <v>188</v>
      </c>
      <c r="C72" s="1722">
        <v>2050</v>
      </c>
      <c r="D72" s="1723" t="s">
        <v>72</v>
      </c>
      <c r="E72" s="1120"/>
      <c r="F72" s="1593"/>
      <c r="G72" s="1566"/>
      <c r="H72" s="1593"/>
      <c r="I72" s="1659"/>
      <c r="J72" s="1593"/>
      <c r="K72" s="1120"/>
      <c r="L72" s="1593"/>
      <c r="M72" s="1120"/>
      <c r="N72" s="476"/>
      <c r="O72" s="25"/>
      <c r="P72" s="1141"/>
      <c r="Q72" s="1620"/>
      <c r="R72" s="1120"/>
      <c r="S72" s="1593"/>
      <c r="T72" s="1142"/>
      <c r="U72" s="498"/>
      <c r="V72" s="1566"/>
      <c r="W72" s="1593"/>
      <c r="X72" s="1142"/>
      <c r="Y72" s="498"/>
    </row>
    <row r="73" spans="2:25" s="338" customFormat="1" ht="18" customHeight="1">
      <c r="B73" s="1700" t="s">
        <v>201</v>
      </c>
      <c r="C73" s="1726"/>
      <c r="D73" s="1727"/>
      <c r="E73" s="1143" t="str">
        <f>IF(ISERROR(bo_1/bn_1)," ",bo_1/bn_1)</f>
        <v xml:space="preserve"> </v>
      </c>
      <c r="F73" s="1618"/>
      <c r="G73" s="1573" t="str">
        <f>IF(ISERROR(bo_2/bn_2)," ",bo_2/bn_2)</f>
        <v xml:space="preserve"> </v>
      </c>
      <c r="H73" s="1618"/>
      <c r="I73" s="1668" t="str">
        <f>IF(ISERROR(bo_3/bn_3)," ",bo_3/bn_3)</f>
        <v xml:space="preserve"> </v>
      </c>
      <c r="J73" s="1618"/>
      <c r="K73" s="1143" t="str">
        <f>IF(ISERROR(bo_4/bn_4)," ",bo_4/bn_4)</f>
        <v xml:space="preserve"> </v>
      </c>
      <c r="L73" s="1618"/>
      <c r="M73" s="1143" t="str">
        <f>IF(ISERROR(bo_51/bn_5)," ",bo_5/bn_5)</f>
        <v xml:space="preserve"> </v>
      </c>
      <c r="N73" s="1144"/>
      <c r="O73" s="382"/>
      <c r="P73" s="1147" t="str">
        <f>IF(ISERROR(P72/P64)," ",P72/P64)</f>
        <v xml:space="preserve"> </v>
      </c>
      <c r="Q73" s="1618"/>
      <c r="R73" s="1143" t="str">
        <f>IF(ISERROR(R72/R64)," ",R72/R64)</f>
        <v xml:space="preserve"> </v>
      </c>
      <c r="S73" s="1618"/>
      <c r="T73" s="1143" t="str">
        <f>IF(ISERROR(T72/T64)," ",T72/T64)</f>
        <v xml:space="preserve"> </v>
      </c>
      <c r="U73" s="1144"/>
      <c r="V73" s="1573" t="str">
        <f>IF(ISERROR(V72/V64)," ",V72/V64)</f>
        <v xml:space="preserve"> </v>
      </c>
      <c r="W73" s="1618"/>
      <c r="X73" s="1143" t="str">
        <f>IF(ISERROR(X72/X64)," ",X72/X64)</f>
        <v xml:space="preserve"> </v>
      </c>
      <c r="Y73" s="1144"/>
    </row>
    <row r="74" spans="2:25" s="1123" customFormat="1" ht="18" customHeight="1">
      <c r="B74" s="1717" t="s">
        <v>189</v>
      </c>
      <c r="C74" s="1728">
        <v>2050</v>
      </c>
      <c r="D74" s="1729" t="s">
        <v>75</v>
      </c>
      <c r="E74" s="1120"/>
      <c r="F74" s="1593"/>
      <c r="G74" s="1566"/>
      <c r="H74" s="1593"/>
      <c r="I74" s="1659"/>
      <c r="J74" s="1593"/>
      <c r="K74" s="1120"/>
      <c r="L74" s="1593"/>
      <c r="M74" s="1120"/>
      <c r="N74" s="476"/>
      <c r="O74" s="1121"/>
      <c r="P74" s="1122"/>
      <c r="Q74" s="1593"/>
      <c r="R74" s="1120"/>
      <c r="S74" s="1593"/>
      <c r="T74" s="1120"/>
      <c r="U74" s="476"/>
      <c r="V74" s="1566"/>
      <c r="W74" s="1593"/>
      <c r="X74" s="1120"/>
      <c r="Y74" s="476"/>
    </row>
    <row r="75" spans="2:25" s="338" customFormat="1" ht="18" customHeight="1">
      <c r="B75" s="1700" t="s">
        <v>201</v>
      </c>
      <c r="C75" s="1724"/>
      <c r="D75" s="1725"/>
      <c r="E75" s="1143" t="str">
        <f>IF(ISERROR(bq_1/bp_1)," ",bq_1/bp_1)</f>
        <v xml:space="preserve"> </v>
      </c>
      <c r="F75" s="1618"/>
      <c r="G75" s="1573" t="str">
        <f>IF(ISERROR(bq_2/bp_2)," ",bq_2/bp_2)</f>
        <v xml:space="preserve"> </v>
      </c>
      <c r="H75" s="1618"/>
      <c r="I75" s="1668" t="str">
        <f>IF(ISERROR(bq_3/bp_3)," ",bq_3/bp_3)</f>
        <v xml:space="preserve"> </v>
      </c>
      <c r="J75" s="1618"/>
      <c r="K75" s="1143" t="str">
        <f>IF(ISERROR(bq_4/bp_4)," ",bq_4/bp_4)</f>
        <v xml:space="preserve"> </v>
      </c>
      <c r="L75" s="1618"/>
      <c r="M75" s="1143" t="str">
        <f>IF(ISERROR(bq_5/bp_5)," ",bq_5/bp_5)</f>
        <v xml:space="preserve"> </v>
      </c>
      <c r="N75" s="1144"/>
      <c r="P75" s="1145" t="str">
        <f>IF(ISERROR(P74/P65)," ",P74/P65)</f>
        <v xml:space="preserve"> </v>
      </c>
      <c r="Q75" s="1619"/>
      <c r="R75" s="1143" t="str">
        <f>IF(ISERROR(R74/R65)," ",R74/R65)</f>
        <v xml:space="preserve"> </v>
      </c>
      <c r="S75" s="1618"/>
      <c r="T75" s="1146" t="str">
        <f>IF(ISERROR(T74/T65)," ",T74/T65)</f>
        <v xml:space="preserve"> </v>
      </c>
      <c r="U75" s="496"/>
      <c r="V75" s="1573" t="str">
        <f>IF(ISERROR(V74/V65)," ",V74/V65)</f>
        <v xml:space="preserve"> </v>
      </c>
      <c r="W75" s="1618"/>
      <c r="X75" s="1146" t="str">
        <f>IF(ISERROR(X74/X65)," ",X74/X65)</f>
        <v xml:space="preserve"> </v>
      </c>
      <c r="Y75" s="496"/>
    </row>
    <row r="76" spans="2:25" s="1123" customFormat="1" ht="18" customHeight="1">
      <c r="B76" s="1717" t="s">
        <v>190</v>
      </c>
      <c r="C76" s="1722">
        <v>2050</v>
      </c>
      <c r="D76" s="1723" t="s">
        <v>78</v>
      </c>
      <c r="E76" s="1120"/>
      <c r="F76" s="1593"/>
      <c r="G76" s="1566"/>
      <c r="H76" s="1593"/>
      <c r="I76" s="1659"/>
      <c r="J76" s="1593"/>
      <c r="K76" s="1120"/>
      <c r="L76" s="1593"/>
      <c r="M76" s="1120"/>
      <c r="N76" s="476"/>
      <c r="O76" s="1121"/>
      <c r="P76" s="1141"/>
      <c r="Q76" s="1620"/>
      <c r="R76" s="1120"/>
      <c r="S76" s="1593"/>
      <c r="T76" s="1142"/>
      <c r="U76" s="498"/>
      <c r="V76" s="1566"/>
      <c r="W76" s="1593"/>
      <c r="X76" s="1142"/>
      <c r="Y76" s="498"/>
    </row>
    <row r="77" spans="2:25" s="338" customFormat="1" ht="18" customHeight="1">
      <c r="B77" s="1718" t="s">
        <v>201</v>
      </c>
      <c r="C77" s="1726"/>
      <c r="D77" s="1727"/>
      <c r="E77" s="1146" t="str">
        <f>IF(ISERROR(bs_1/br_1)," ",bs_1/br_1)</f>
        <v xml:space="preserve"> </v>
      </c>
      <c r="F77" s="1619"/>
      <c r="G77" s="1574" t="str">
        <f>IF(ISERROR(bs_2/br_2)," ",bs_2/br_2)</f>
        <v xml:space="preserve"> </v>
      </c>
      <c r="H77" s="1619"/>
      <c r="I77" s="1669" t="str">
        <f>IF(ISERROR(bs_3/br_3)," ",bs_3/br_3)</f>
        <v xml:space="preserve"> </v>
      </c>
      <c r="J77" s="1619"/>
      <c r="K77" s="1146" t="str">
        <f>IF(ISERROR(bs_4/br_4)," ",bs_4/br_4)</f>
        <v xml:space="preserve"> </v>
      </c>
      <c r="L77" s="1619"/>
      <c r="M77" s="1146" t="str">
        <f>IF(ISERROR(bs_5/br_5)," ",bs_5/br_5)</f>
        <v xml:space="preserve"> </v>
      </c>
      <c r="N77" s="496"/>
      <c r="P77" s="1147" t="str">
        <f>IF(ISERROR(P76/P66)," ",P76/P66)</f>
        <v xml:space="preserve"> </v>
      </c>
      <c r="Q77" s="1618"/>
      <c r="R77" s="1146" t="str">
        <f>IF(ISERROR(R76/R66)," ",R76/R66)</f>
        <v xml:space="preserve"> </v>
      </c>
      <c r="S77" s="1619"/>
      <c r="T77" s="1143" t="str">
        <f>IF(ISERROR(T76/T66)," ",T76/T66)</f>
        <v xml:space="preserve"> </v>
      </c>
      <c r="U77" s="1144"/>
      <c r="V77" s="1574" t="str">
        <f>IF(ISERROR(V76/V66)," ",V76/V66)</f>
        <v xml:space="preserve"> </v>
      </c>
      <c r="W77" s="1619"/>
      <c r="X77" s="1143" t="str">
        <f>IF(ISERROR(X76/X66)," ",X76/X66)</f>
        <v xml:space="preserve"> </v>
      </c>
      <c r="Y77" s="1144"/>
    </row>
    <row r="78" spans="2:25" s="1123" customFormat="1" ht="18" customHeight="1">
      <c r="B78" s="1719" t="s">
        <v>191</v>
      </c>
      <c r="C78" s="1728">
        <v>2050</v>
      </c>
      <c r="D78" s="1729" t="s">
        <v>81</v>
      </c>
      <c r="E78" s="1142"/>
      <c r="F78" s="1620"/>
      <c r="G78" s="1575"/>
      <c r="H78" s="1620"/>
      <c r="I78" s="1670"/>
      <c r="J78" s="1620"/>
      <c r="K78" s="1142"/>
      <c r="L78" s="1620"/>
      <c r="M78" s="1142"/>
      <c r="N78" s="498"/>
      <c r="O78" s="1121"/>
      <c r="P78" s="1122"/>
      <c r="Q78" s="1593"/>
      <c r="R78" s="1142"/>
      <c r="S78" s="1620"/>
      <c r="T78" s="1120"/>
      <c r="U78" s="476"/>
      <c r="V78" s="1575"/>
      <c r="W78" s="1620"/>
      <c r="X78" s="1120"/>
      <c r="Y78" s="476"/>
    </row>
    <row r="79" spans="2:25" s="338" customFormat="1" ht="18" customHeight="1">
      <c r="B79" s="1718" t="s">
        <v>201</v>
      </c>
      <c r="C79" s="1724"/>
      <c r="D79" s="1725"/>
      <c r="E79" s="1146" t="str">
        <f>IF(ISERROR(bu_1/bt_1)," ",bu_1/bt_1)</f>
        <v xml:space="preserve"> </v>
      </c>
      <c r="F79" s="1619"/>
      <c r="G79" s="1574" t="str">
        <f>IF(ISERROR(bu_2/bt_2)," ",bu_2/bt_2)</f>
        <v xml:space="preserve"> </v>
      </c>
      <c r="H79" s="1619"/>
      <c r="I79" s="1669" t="str">
        <f>IF(ISERROR(bu_3/bt_3)," ",bu_3/bt_3)</f>
        <v xml:space="preserve"> </v>
      </c>
      <c r="J79" s="1619"/>
      <c r="K79" s="1146" t="str">
        <f>IF(ISERROR(bu_4/bt_4)," ",bu_4/bt_4)</f>
        <v xml:space="preserve"> </v>
      </c>
      <c r="L79" s="1619"/>
      <c r="M79" s="1146" t="str">
        <f>IF(ISERROR(bu_5/bt_5)," ",bu_5/bt_5)</f>
        <v xml:space="preserve"> </v>
      </c>
      <c r="N79" s="496"/>
      <c r="P79" s="1145" t="str">
        <f>IF(ISERROR(P78/P67)," ",P78/P67)</f>
        <v xml:space="preserve"> </v>
      </c>
      <c r="Q79" s="1619"/>
      <c r="R79" s="1146" t="str">
        <f>IF(ISERROR(R78/R67)," ",R78/R67)</f>
        <v xml:space="preserve"> </v>
      </c>
      <c r="S79" s="1619"/>
      <c r="T79" s="1146" t="str">
        <f>IF(ISERROR(T78/T67)," ",T78/T67)</f>
        <v xml:space="preserve"> </v>
      </c>
      <c r="U79" s="496"/>
      <c r="V79" s="1574" t="str">
        <f>IF(ISERROR(V78/V67)," ",V78/V67)</f>
        <v xml:space="preserve"> </v>
      </c>
      <c r="W79" s="1619"/>
      <c r="X79" s="1146" t="str">
        <f>IF(ISERROR(X78/X67)," ",X78/X67)</f>
        <v xml:space="preserve"> </v>
      </c>
      <c r="Y79" s="496"/>
    </row>
    <row r="80" spans="2:25" s="1123" customFormat="1" ht="18" customHeight="1">
      <c r="B80" s="1720" t="s">
        <v>187</v>
      </c>
      <c r="C80" s="1722"/>
      <c r="D80" s="1723"/>
      <c r="E80" s="1714">
        <f>bm_1+bo_1+bq_1+bs_1+bu_1</f>
        <v>0</v>
      </c>
      <c r="F80" s="1712"/>
      <c r="G80" s="1711">
        <f>bm_2+bo_2+bq_2+bs_2+bu_2</f>
        <v>0</v>
      </c>
      <c r="H80" s="1712"/>
      <c r="I80" s="1713">
        <f>bm_3+bo_3+bq_3+bs_3+bu_3</f>
        <v>0</v>
      </c>
      <c r="J80" s="1712"/>
      <c r="K80" s="1714">
        <f>bm_4+bo_4+bq_4+bs_4+bu_4</f>
        <v>0</v>
      </c>
      <c r="L80" s="1712"/>
      <c r="M80" s="1714">
        <f>bm_5+bo_5+bq_5+bs_5+bu_5</f>
        <v>0</v>
      </c>
      <c r="N80" s="1715"/>
      <c r="O80" s="1121"/>
      <c r="P80" s="1716">
        <f>P70+P72+P74+P76+P78</f>
        <v>0</v>
      </c>
      <c r="Q80" s="1712"/>
      <c r="R80" s="1714">
        <f>R70+R72+R74+R76+R78</f>
        <v>0</v>
      </c>
      <c r="S80" s="1712"/>
      <c r="T80" s="1714">
        <f>T70+T72+T74+T76+T78</f>
        <v>0</v>
      </c>
      <c r="U80" s="1715"/>
      <c r="V80" s="1711">
        <f>V70+V72+V74+V76+V78</f>
        <v>0</v>
      </c>
      <c r="W80" s="1712"/>
      <c r="X80" s="1714">
        <f>X70+X72+X74+X76+X78</f>
        <v>0</v>
      </c>
      <c r="Y80" s="1715"/>
    </row>
    <row r="81" spans="2:25" s="338" customFormat="1" ht="18" customHeight="1">
      <c r="B81" s="1721" t="s">
        <v>201</v>
      </c>
      <c r="C81" s="1726"/>
      <c r="D81" s="1727"/>
      <c r="E81" s="1130" t="str">
        <f>IF(ISERROR(E80/E68)," ",E80/E68)</f>
        <v xml:space="preserve"> </v>
      </c>
      <c r="F81" s="1621"/>
      <c r="G81" s="1576" t="str">
        <f>IF(ISERROR(G80/G68)," ",G80/G68)</f>
        <v xml:space="preserve"> </v>
      </c>
      <c r="H81" s="1621"/>
      <c r="I81" s="1671" t="str">
        <f>IF(ISERROR(I80/I68)," ",I80/I68)</f>
        <v xml:space="preserve"> </v>
      </c>
      <c r="J81" s="1621"/>
      <c r="K81" s="1130" t="str">
        <f>IF(ISERROR(K80/K68)," ",K80/K68)</f>
        <v xml:space="preserve"> </v>
      </c>
      <c r="L81" s="1621"/>
      <c r="M81" s="1130" t="str">
        <f>IF(ISERROR(M80/M68)," ",M80/M68)</f>
        <v xml:space="preserve"> </v>
      </c>
      <c r="N81" s="1124"/>
      <c r="P81" s="1131" t="str">
        <f>IF(ISERROR(P80/P68)," ",P80/P68)</f>
        <v xml:space="preserve"> </v>
      </c>
      <c r="Q81" s="1621"/>
      <c r="R81" s="1130" t="str">
        <f>IF(ISERROR(R80/R68)," ",R80/R68)</f>
        <v xml:space="preserve"> </v>
      </c>
      <c r="S81" s="1621"/>
      <c r="T81" s="1130" t="str">
        <f>IF(ISERROR(T80/T68)," ",T80/T68)</f>
        <v xml:space="preserve"> </v>
      </c>
      <c r="U81" s="1124"/>
      <c r="V81" s="1576" t="str">
        <f>IF(ISERROR(V80/V68)," ",V80/V68)</f>
        <v xml:space="preserve"> </v>
      </c>
      <c r="W81" s="1621"/>
      <c r="X81" s="1130" t="str">
        <f>IF(ISERROR(X80/X68)," ",X80/X68)</f>
        <v xml:space="preserve"> </v>
      </c>
      <c r="Y81" s="1124"/>
    </row>
    <row r="82" spans="2:25" ht="21.9" customHeight="1">
      <c r="B82" s="1974" t="s">
        <v>700</v>
      </c>
      <c r="C82" s="2051"/>
      <c r="D82" s="2127"/>
      <c r="E82" s="741">
        <f>E68-E80</f>
        <v>0</v>
      </c>
      <c r="F82" s="1622" t="str">
        <f>IF(ISERROR(stn_1/b_1)," ",stn_1/b_1)</f>
        <v xml:space="preserve"> </v>
      </c>
      <c r="G82" s="1551">
        <f>G68-G80</f>
        <v>0</v>
      </c>
      <c r="H82" s="1622" t="str">
        <f>IF(ISERROR(stn_2/b_2)," ",stn_2/b_2)</f>
        <v xml:space="preserve"> </v>
      </c>
      <c r="I82" s="1672">
        <f>I68-I80</f>
        <v>0</v>
      </c>
      <c r="J82" s="1622" t="str">
        <f>IF(ISERROR(stn_3/b_3)," ",stn_3/b_3)</f>
        <v xml:space="preserve"> </v>
      </c>
      <c r="K82" s="741">
        <f>K68-K80</f>
        <v>0</v>
      </c>
      <c r="L82" s="1622" t="str">
        <f>IF(ISERROR(stn_4/b_4)," ",stn_4/b_4)</f>
        <v xml:space="preserve"> </v>
      </c>
      <c r="M82" s="741">
        <f>M68-M80</f>
        <v>0</v>
      </c>
      <c r="N82" s="776" t="str">
        <f>IF(ISERROR(stn_5/b_5)," ",stn_5/b_5)</f>
        <v xml:space="preserve"> </v>
      </c>
      <c r="P82" s="742">
        <f>P68-P80</f>
        <v>0</v>
      </c>
      <c r="Q82" s="1622" t="str">
        <f>IF(ISERROR(P82/P115)," ",P82/P115)</f>
        <v xml:space="preserve"> </v>
      </c>
      <c r="R82" s="741">
        <f>R68-R80</f>
        <v>0</v>
      </c>
      <c r="S82" s="1622" t="str">
        <f>IF(ISERROR(R82/R115)," ",R82/R115)</f>
        <v xml:space="preserve"> </v>
      </c>
      <c r="T82" s="741">
        <f>T68-T80</f>
        <v>0</v>
      </c>
      <c r="U82" s="776" t="str">
        <f>IF(ISERROR(T82/T115)," ",T82/T115)</f>
        <v xml:space="preserve"> </v>
      </c>
      <c r="V82" s="1551">
        <f>V68-V80</f>
        <v>0</v>
      </c>
      <c r="W82" s="1622" t="str">
        <f>IF(ISERROR(V82/V115)," ",V82/V115)</f>
        <v xml:space="preserve"> </v>
      </c>
      <c r="X82" s="741">
        <f>X68-X80</f>
        <v>0</v>
      </c>
      <c r="Y82" s="776" t="str">
        <f>IF(ISERROR(X82/X115)," ",X82/X115)</f>
        <v xml:space="preserve"> </v>
      </c>
    </row>
    <row r="83" spans="2:25" s="32" customFormat="1" ht="20.100000000000001" customHeight="1">
      <c r="B83" s="1461" t="s">
        <v>303</v>
      </c>
      <c r="C83" s="1702">
        <v>2050</v>
      </c>
      <c r="D83" s="1654" t="s">
        <v>82</v>
      </c>
      <c r="E83" s="41"/>
      <c r="F83" s="1593"/>
      <c r="G83" s="1559"/>
      <c r="H83" s="1593"/>
      <c r="I83" s="1673"/>
      <c r="J83" s="1593"/>
      <c r="K83" s="41"/>
      <c r="L83" s="1593"/>
      <c r="M83" s="41"/>
      <c r="N83" s="476"/>
      <c r="O83" s="15"/>
      <c r="P83" s="733"/>
      <c r="Q83" s="1593"/>
      <c r="R83" s="41"/>
      <c r="S83" s="1593"/>
      <c r="T83" s="41"/>
      <c r="U83" s="476"/>
      <c r="V83" s="1559"/>
      <c r="W83" s="1593"/>
      <c r="X83" s="41"/>
      <c r="Y83" s="476"/>
    </row>
    <row r="84" spans="2:25" s="32" customFormat="1" ht="20.100000000000001" customHeight="1">
      <c r="B84" s="1705" t="s">
        <v>84</v>
      </c>
      <c r="C84" s="1694" t="s">
        <v>163</v>
      </c>
      <c r="D84" s="1652" t="s">
        <v>85</v>
      </c>
      <c r="E84" s="471"/>
      <c r="F84" s="1592"/>
      <c r="G84" s="1547"/>
      <c r="H84" s="1592"/>
      <c r="I84" s="1656"/>
      <c r="J84" s="1592"/>
      <c r="K84" s="471"/>
      <c r="L84" s="1592"/>
      <c r="M84" s="471"/>
      <c r="N84" s="478"/>
      <c r="O84" s="4"/>
      <c r="P84" s="727"/>
      <c r="Q84" s="1592"/>
      <c r="R84" s="471"/>
      <c r="S84" s="1592"/>
      <c r="T84" s="471"/>
      <c r="U84" s="478"/>
      <c r="V84" s="1547"/>
      <c r="W84" s="1592"/>
      <c r="X84" s="471"/>
      <c r="Y84" s="478"/>
    </row>
    <row r="85" spans="2:25" s="32" customFormat="1" ht="20.100000000000001" customHeight="1">
      <c r="B85" s="1705" t="s">
        <v>512</v>
      </c>
      <c r="C85" s="1694" t="s">
        <v>513</v>
      </c>
      <c r="D85" s="1709" t="s">
        <v>477</v>
      </c>
      <c r="E85" s="471"/>
      <c r="F85" s="1592"/>
      <c r="G85" s="1547"/>
      <c r="H85" s="1592"/>
      <c r="I85" s="1656"/>
      <c r="J85" s="1592"/>
      <c r="K85" s="471"/>
      <c r="L85" s="1592"/>
      <c r="M85" s="471"/>
      <c r="N85" s="478"/>
      <c r="O85" s="4"/>
      <c r="P85" s="727"/>
      <c r="Q85" s="1592"/>
      <c r="R85" s="471"/>
      <c r="S85" s="1592"/>
      <c r="T85" s="471"/>
      <c r="U85" s="478"/>
      <c r="V85" s="1547"/>
      <c r="W85" s="1592"/>
      <c r="X85" s="471"/>
      <c r="Y85" s="478"/>
    </row>
    <row r="86" spans="2:25" s="32" customFormat="1" ht="20.100000000000001" customHeight="1">
      <c r="B86" s="1705" t="s">
        <v>86</v>
      </c>
      <c r="C86" s="1694" t="s">
        <v>459</v>
      </c>
      <c r="D86" s="1709" t="s">
        <v>477</v>
      </c>
      <c r="E86" s="529">
        <f>factor_1A+factor_1B+factor_1C</f>
        <v>0</v>
      </c>
      <c r="F86" s="1592"/>
      <c r="G86" s="1577">
        <f>factor_2A+factor_2B+factor_2C</f>
        <v>0</v>
      </c>
      <c r="H86" s="1592"/>
      <c r="I86" s="1674">
        <f>factor_3A+factor_3B+factor_3C</f>
        <v>0</v>
      </c>
      <c r="J86" s="1592"/>
      <c r="K86" s="529">
        <f>factor_4A+factor_4B+factor_4C</f>
        <v>0</v>
      </c>
      <c r="L86" s="1592"/>
      <c r="M86" s="529">
        <f>factor_5A+factor_5B+factor_5C</f>
        <v>0</v>
      </c>
      <c r="N86" s="478"/>
      <c r="O86" s="4"/>
      <c r="P86" s="632">
        <f>P99+P119+P122</f>
        <v>0</v>
      </c>
      <c r="Q86" s="1592"/>
      <c r="R86" s="529">
        <f>R99+R119+R122</f>
        <v>0</v>
      </c>
      <c r="S86" s="1592"/>
      <c r="T86" s="529">
        <f>T99+T119+T122</f>
        <v>0</v>
      </c>
      <c r="U86" s="478"/>
      <c r="V86" s="1577">
        <f>V99+V119+V122</f>
        <v>0</v>
      </c>
      <c r="W86" s="1592"/>
      <c r="X86" s="529">
        <f>X99+X119+X122</f>
        <v>0</v>
      </c>
      <c r="Y86" s="478"/>
    </row>
    <row r="87" spans="2:25" s="32" customFormat="1" ht="20.100000000000001" customHeight="1">
      <c r="B87" s="1708" t="s">
        <v>217</v>
      </c>
      <c r="C87" s="1049"/>
      <c r="D87" s="1710"/>
      <c r="E87" s="494" t="str">
        <f>IF(ISERROR((E84+E86)/clt_brut_1)," ",(E84+E86)/clt_brut_1)</f>
        <v xml:space="preserve"> </v>
      </c>
      <c r="F87" s="1623"/>
      <c r="G87" s="1578" t="str">
        <f>IF(ISERROR((G84+G86)/clt_brut_2)," ",(G84+G86)/clt_brut_2)</f>
        <v xml:space="preserve"> </v>
      </c>
      <c r="H87" s="1623"/>
      <c r="I87" s="1675" t="str">
        <f>IF(ISERROR((I84+I86)/clt_brut_3)," ",(I84+I86)/clt_brut_3)</f>
        <v xml:space="preserve"> </v>
      </c>
      <c r="J87" s="1623"/>
      <c r="K87" s="494" t="str">
        <f>IF(ISERROR((K84+K86)/clt_brut_4)," ",(K84+K86)/clt_brut_4)</f>
        <v xml:space="preserve"> </v>
      </c>
      <c r="L87" s="1623"/>
      <c r="M87" s="494" t="str">
        <f>IF(ISERROR((M84+M86)/clt_brut_5)," ",(M84+M86)/clt_brut_5)</f>
        <v xml:space="preserve"> </v>
      </c>
      <c r="N87" s="477"/>
      <c r="O87" s="13"/>
      <c r="P87" s="756" t="str">
        <f>IF(ISERROR((P84+P86)/P88)," ",(P84+P86)/P88)</f>
        <v xml:space="preserve"> </v>
      </c>
      <c r="Q87" s="1623"/>
      <c r="R87" s="494" t="str">
        <f>IF(ISERROR((R84+R86)/R88)," ",(R84+R86)/R88)</f>
        <v xml:space="preserve"> </v>
      </c>
      <c r="S87" s="1623"/>
      <c r="T87" s="494" t="str">
        <f>IF(ISERROR((T84+T86)/T88)," ",(T84+T86)/T88)</f>
        <v xml:space="preserve"> </v>
      </c>
      <c r="U87" s="477"/>
      <c r="V87" s="1578" t="str">
        <f>IF(ISERROR((V84+V86)/V88)," ",(V84+V86)/V88)</f>
        <v xml:space="preserve"> </v>
      </c>
      <c r="W87" s="1623"/>
      <c r="X87" s="494" t="str">
        <f>IF(ISERROR((X84+X86)/X88)," ",(X84+X86)/X88)</f>
        <v xml:space="preserve"> </v>
      </c>
      <c r="Y87" s="477"/>
    </row>
    <row r="88" spans="2:25" s="26" customFormat="1" ht="18" customHeight="1">
      <c r="B88" s="2121" t="s">
        <v>304</v>
      </c>
      <c r="C88" s="2122"/>
      <c r="D88" s="2123"/>
      <c r="E88" s="1137">
        <f>SUM(E83:E86)</f>
        <v>0</v>
      </c>
      <c r="F88" s="1616"/>
      <c r="G88" s="1571">
        <f>SUM(G83:G86)</f>
        <v>0</v>
      </c>
      <c r="H88" s="1616"/>
      <c r="I88" s="1666">
        <f>SUM(I83:I86)</f>
        <v>0</v>
      </c>
      <c r="J88" s="1616"/>
      <c r="K88" s="1137">
        <f>SUM(K83:K86)</f>
        <v>0</v>
      </c>
      <c r="L88" s="1616"/>
      <c r="M88" s="1137">
        <f>SUM(M83:M86)</f>
        <v>0</v>
      </c>
      <c r="N88" s="1138"/>
      <c r="O88" s="1121"/>
      <c r="P88" s="1139">
        <f>P83+P84+P85+P86</f>
        <v>0</v>
      </c>
      <c r="Q88" s="1616"/>
      <c r="R88" s="1137">
        <f>R83+R84+R85+R86</f>
        <v>0</v>
      </c>
      <c r="S88" s="1616"/>
      <c r="T88" s="1137">
        <f>T83+T84+T85+T86</f>
        <v>0</v>
      </c>
      <c r="U88" s="1138"/>
      <c r="V88" s="1571">
        <f>V83+V84+V85+V86</f>
        <v>0</v>
      </c>
      <c r="W88" s="1616"/>
      <c r="X88" s="1137">
        <f>X83+X84+X85+X86</f>
        <v>0</v>
      </c>
      <c r="Y88" s="1138"/>
    </row>
    <row r="89" spans="2:25" s="408" customFormat="1" ht="18" customHeight="1">
      <c r="B89" s="2124"/>
      <c r="C89" s="2125"/>
      <c r="D89" s="2126"/>
      <c r="E89" s="1134" t="str">
        <f>IF(clt_brut_1=0," ",clt_brut_1/ca_1)</f>
        <v xml:space="preserve"> </v>
      </c>
      <c r="F89" s="1617"/>
      <c r="G89" s="1572" t="str">
        <f>IF(clt_brut_2=0," ",clt_brut_2/ca_2)</f>
        <v xml:space="preserve"> </v>
      </c>
      <c r="H89" s="1617"/>
      <c r="I89" s="1667" t="str">
        <f>IF(clt_brut_3=0," ",clt_brut_3/ca_3)</f>
        <v xml:space="preserve"> </v>
      </c>
      <c r="J89" s="1617"/>
      <c r="K89" s="1134" t="str">
        <f>IF(clt_brut_4=0," ",clt_brut_4/ca_4)</f>
        <v xml:space="preserve"> </v>
      </c>
      <c r="L89" s="1617"/>
      <c r="M89" s="1134" t="str">
        <f>IF(clt_brut_5=0," ",clt_brut_5/ca_5)</f>
        <v xml:space="preserve"> </v>
      </c>
      <c r="N89" s="1135"/>
      <c r="P89" s="1136" t="str">
        <f>IF(P88=0," ",P88/resultat!K29)</f>
        <v xml:space="preserve"> </v>
      </c>
      <c r="Q89" s="1617"/>
      <c r="R89" s="1134" t="str">
        <f>IF(R88=0," ",R88/resultat!L29)</f>
        <v xml:space="preserve"> </v>
      </c>
      <c r="S89" s="1617"/>
      <c r="T89" s="1134" t="str">
        <f>IF(T88=0," ",T88/resultat!M29)</f>
        <v xml:space="preserve"> </v>
      </c>
      <c r="U89" s="1135"/>
      <c r="V89" s="1572" t="str">
        <f>IF(V88=0," ",V88/resultat!N29)</f>
        <v xml:space="preserve"> </v>
      </c>
      <c r="W89" s="1617"/>
      <c r="X89" s="1134" t="str">
        <f>IF(X88=0," ",X88/resultat!O29)</f>
        <v xml:space="preserve"> </v>
      </c>
      <c r="Y89" s="1135"/>
    </row>
    <row r="90" spans="2:25" s="32" customFormat="1" ht="18" customHeight="1">
      <c r="B90" s="1236" t="s">
        <v>192</v>
      </c>
      <c r="C90" s="1233">
        <v>2050</v>
      </c>
      <c r="D90" s="1140" t="s">
        <v>83</v>
      </c>
      <c r="E90" s="1566"/>
      <c r="F90" s="1593"/>
      <c r="G90" s="1566"/>
      <c r="H90" s="1593"/>
      <c r="I90" s="1659"/>
      <c r="J90" s="1593"/>
      <c r="K90" s="1120"/>
      <c r="L90" s="1593"/>
      <c r="M90" s="1120"/>
      <c r="N90" s="476"/>
      <c r="O90" s="8"/>
      <c r="P90" s="1122"/>
      <c r="Q90" s="1593"/>
      <c r="R90" s="1120"/>
      <c r="S90" s="1593"/>
      <c r="T90" s="1120"/>
      <c r="U90" s="476"/>
      <c r="V90" s="1566"/>
      <c r="W90" s="1593"/>
      <c r="X90" s="1120"/>
      <c r="Y90" s="476"/>
    </row>
    <row r="91" spans="2:25" s="338" customFormat="1" ht="18" customHeight="1">
      <c r="B91" s="1235" t="s">
        <v>201</v>
      </c>
      <c r="C91" s="1234"/>
      <c r="D91" s="501"/>
      <c r="E91" s="1574" t="str">
        <f>IF(ISERROR(by_1/E88)," ",by_1/E88)</f>
        <v xml:space="preserve"> </v>
      </c>
      <c r="F91" s="1619"/>
      <c r="G91" s="1574" t="str">
        <f>IF(ISERROR(by_2/G88)," ",by_2/G88)</f>
        <v xml:space="preserve"> </v>
      </c>
      <c r="H91" s="1619"/>
      <c r="I91" s="1669" t="str">
        <f>IF(ISERROR(by_3/I88)," ",by_3/I88)</f>
        <v xml:space="preserve"> </v>
      </c>
      <c r="J91" s="1619"/>
      <c r="K91" s="1146" t="str">
        <f>IF(ISERROR(by_4/K88)," ",by_4/K88)</f>
        <v xml:space="preserve"> </v>
      </c>
      <c r="L91" s="1619"/>
      <c r="M91" s="1146" t="str">
        <f>IF(ISERROR(by_5/M88)," ",by_5/M88)</f>
        <v xml:space="preserve"> </v>
      </c>
      <c r="N91" s="496"/>
      <c r="O91" s="382"/>
      <c r="P91" s="1145" t="str">
        <f>IF(ISERROR(P90/P88)," ",P90/P88)</f>
        <v xml:space="preserve"> </v>
      </c>
      <c r="Q91" s="1619"/>
      <c r="R91" s="1146" t="str">
        <f>IF(ISERROR(R90/R88)," ",R90/R88)</f>
        <v xml:space="preserve"> </v>
      </c>
      <c r="S91" s="1619"/>
      <c r="T91" s="1146" t="str">
        <f>IF(ISERROR(T90/T88)," ",T90/T88)</f>
        <v xml:space="preserve"> </v>
      </c>
      <c r="U91" s="496"/>
      <c r="V91" s="1574" t="str">
        <f>IF(ISERROR(V90/V88)," ",V90/V88)</f>
        <v xml:space="preserve"> </v>
      </c>
      <c r="W91" s="1619"/>
      <c r="X91" s="1146" t="str">
        <f>IF(ISERROR(X90/X88)," ",X90/X88)</f>
        <v xml:space="preserve"> </v>
      </c>
      <c r="Y91" s="496"/>
    </row>
    <row r="92" spans="2:25" s="26" customFormat="1" ht="18" customHeight="1">
      <c r="B92" s="2128" t="s">
        <v>305</v>
      </c>
      <c r="C92" s="2129"/>
      <c r="D92" s="2130"/>
      <c r="E92" s="773">
        <f>E88-E90</f>
        <v>0</v>
      </c>
      <c r="F92" s="1624" t="str">
        <f>IF(ISERROR(E92/b_1)," ",E92/b_1)</f>
        <v xml:space="preserve"> </v>
      </c>
      <c r="G92" s="1579">
        <f>G88-G90</f>
        <v>0</v>
      </c>
      <c r="H92" s="1624" t="str">
        <f>IF(ISERROR(G92/b_2)," ",G92/b_2)</f>
        <v xml:space="preserve"> </v>
      </c>
      <c r="I92" s="1676">
        <f>I88-I90</f>
        <v>0</v>
      </c>
      <c r="J92" s="1624" t="str">
        <f>IF(ISERROR(I92/b_3)," ",I92/b_3)</f>
        <v xml:space="preserve"> </v>
      </c>
      <c r="K92" s="773">
        <f>K88-K90</f>
        <v>0</v>
      </c>
      <c r="L92" s="1624" t="str">
        <f>IF(ISERROR(K92/b_4)," ",K92/b_4)</f>
        <v xml:space="preserve"> </v>
      </c>
      <c r="M92" s="773">
        <f>M88-M90</f>
        <v>0</v>
      </c>
      <c r="N92" s="774" t="str">
        <f>IF(ISERROR(M92/b_5)," ",M92/b_5)</f>
        <v xml:space="preserve"> </v>
      </c>
      <c r="P92" s="775">
        <f>P88-P90</f>
        <v>0</v>
      </c>
      <c r="Q92" s="1624" t="str">
        <f>IF(ISERROR(P92/P115)," ",P92/P115)</f>
        <v xml:space="preserve"> </v>
      </c>
      <c r="R92" s="773">
        <f>R88-R90</f>
        <v>0</v>
      </c>
      <c r="S92" s="1624" t="str">
        <f>IF(ISERROR(R92/R115)," ",R92/R115)</f>
        <v xml:space="preserve"> </v>
      </c>
      <c r="T92" s="773">
        <f>T88-T90</f>
        <v>0</v>
      </c>
      <c r="U92" s="774" t="str">
        <f>IF(ISERROR(T92/T115)," ",T92/T115)</f>
        <v xml:space="preserve"> </v>
      </c>
      <c r="V92" s="1579">
        <f>V88-V90</f>
        <v>0</v>
      </c>
      <c r="W92" s="1624" t="str">
        <f>IF(ISERROR(V92/V115)," ",V92/V115)</f>
        <v xml:space="preserve"> </v>
      </c>
      <c r="X92" s="773">
        <f>X88-X90</f>
        <v>0</v>
      </c>
      <c r="Y92" s="774" t="str">
        <f>IF(ISERROR(X92/X115)," ",X92/X115)</f>
        <v xml:space="preserve"> </v>
      </c>
    </row>
    <row r="93" spans="2:25" s="408" customFormat="1" ht="18" customHeight="1">
      <c r="B93" s="2131"/>
      <c r="C93" s="2132"/>
      <c r="D93" s="2133"/>
      <c r="E93" s="1148" t="str">
        <f>IF(E92=0," ",E92/ca_1)</f>
        <v xml:space="preserve"> </v>
      </c>
      <c r="F93" s="1625"/>
      <c r="G93" s="1580" t="str">
        <f>IF(G92=0," ",G92/ca_2)</f>
        <v xml:space="preserve"> </v>
      </c>
      <c r="H93" s="1625"/>
      <c r="I93" s="1677" t="str">
        <f>IF(I92=0," ",I92/ca_3)</f>
        <v xml:space="preserve"> </v>
      </c>
      <c r="J93" s="1625"/>
      <c r="K93" s="1148" t="str">
        <f>IF(K92=0," ",K92/ca_4)</f>
        <v xml:space="preserve"> </v>
      </c>
      <c r="L93" s="1625"/>
      <c r="M93" s="1148" t="str">
        <f>IF(M92=0," ",M92/ca_5)</f>
        <v xml:space="preserve"> </v>
      </c>
      <c r="N93" s="1149"/>
      <c r="P93" s="1150" t="str">
        <f>IF(P92=0," ",P92/resultat!K29)</f>
        <v xml:space="preserve"> </v>
      </c>
      <c r="Q93" s="1625"/>
      <c r="R93" s="1148" t="str">
        <f>IF(R92=0," ",R92/resultat!L29)</f>
        <v xml:space="preserve"> </v>
      </c>
      <c r="S93" s="1625"/>
      <c r="T93" s="1148" t="str">
        <f>IF(T92=0," ",T92/resultat!M29)</f>
        <v xml:space="preserve"> </v>
      </c>
      <c r="U93" s="1149"/>
      <c r="V93" s="1580" t="str">
        <f>IF(V92=0," ",V92/resultat!N29)</f>
        <v xml:space="preserve"> </v>
      </c>
      <c r="W93" s="1625"/>
      <c r="X93" s="1148" t="str">
        <f>IF(X92=0," ",X92/resultat!O29)</f>
        <v xml:space="preserve"> </v>
      </c>
      <c r="Y93" s="1149"/>
    </row>
    <row r="94" spans="2:25" s="32" customFormat="1" ht="20.100000000000001" customHeight="1">
      <c r="B94" s="1461" t="s">
        <v>324</v>
      </c>
      <c r="C94" s="1702">
        <v>2050</v>
      </c>
      <c r="D94" s="1654" t="s">
        <v>398</v>
      </c>
      <c r="E94" s="41"/>
      <c r="F94" s="1593"/>
      <c r="G94" s="1559"/>
      <c r="H94" s="1593"/>
      <c r="I94" s="1673"/>
      <c r="J94" s="1593"/>
      <c r="K94" s="41"/>
      <c r="L94" s="1593"/>
      <c r="M94" s="41"/>
      <c r="N94" s="476"/>
      <c r="O94" s="15"/>
      <c r="P94" s="733"/>
      <c r="Q94" s="1593"/>
      <c r="R94" s="41"/>
      <c r="S94" s="1593"/>
      <c r="T94" s="41"/>
      <c r="U94" s="476"/>
      <c r="V94" s="1559"/>
      <c r="W94" s="1593"/>
      <c r="X94" s="41"/>
      <c r="Y94" s="476"/>
    </row>
    <row r="95" spans="2:25" s="32" customFormat="1" ht="20.100000000000001" customHeight="1">
      <c r="B95" s="1705" t="s">
        <v>87</v>
      </c>
      <c r="C95" s="1703">
        <v>2050</v>
      </c>
      <c r="D95" s="1651" t="s">
        <v>307</v>
      </c>
      <c r="E95" s="471"/>
      <c r="F95" s="1592"/>
      <c r="G95" s="1547"/>
      <c r="H95" s="1592"/>
      <c r="I95" s="1656"/>
      <c r="J95" s="1592"/>
      <c r="K95" s="471"/>
      <c r="L95" s="1592"/>
      <c r="M95" s="471"/>
      <c r="N95" s="478"/>
      <c r="O95" s="21"/>
      <c r="P95" s="727"/>
      <c r="Q95" s="1592"/>
      <c r="R95" s="471"/>
      <c r="S95" s="1592"/>
      <c r="T95" s="471"/>
      <c r="U95" s="478"/>
      <c r="V95" s="1547"/>
      <c r="W95" s="1592"/>
      <c r="X95" s="471"/>
      <c r="Y95" s="478"/>
    </row>
    <row r="96" spans="2:25" s="264" customFormat="1" ht="20.100000000000001" customHeight="1">
      <c r="B96" s="1706" t="s">
        <v>269</v>
      </c>
      <c r="C96" s="1694">
        <v>2057</v>
      </c>
      <c r="D96" s="1652" t="s">
        <v>270</v>
      </c>
      <c r="E96" s="472"/>
      <c r="F96" s="1626"/>
      <c r="G96" s="1581"/>
      <c r="H96" s="1626"/>
      <c r="I96" s="1678"/>
      <c r="J96" s="1626"/>
      <c r="K96" s="472"/>
      <c r="L96" s="1626"/>
      <c r="M96" s="472"/>
      <c r="N96" s="479"/>
      <c r="O96" s="262"/>
      <c r="P96" s="757"/>
      <c r="Q96" s="1626"/>
      <c r="R96" s="472"/>
      <c r="S96" s="1626"/>
      <c r="T96" s="472"/>
      <c r="U96" s="479"/>
      <c r="V96" s="1581"/>
      <c r="W96" s="1626"/>
      <c r="X96" s="472"/>
      <c r="Y96" s="479"/>
    </row>
    <row r="97" spans="2:25" s="264" customFormat="1" ht="20.100000000000001" customHeight="1">
      <c r="B97" s="1706" t="s">
        <v>271</v>
      </c>
      <c r="C97" s="1694">
        <v>2057</v>
      </c>
      <c r="D97" s="1652" t="s">
        <v>272</v>
      </c>
      <c r="E97" s="472"/>
      <c r="F97" s="1626"/>
      <c r="G97" s="1581"/>
      <c r="H97" s="1626"/>
      <c r="I97" s="1678"/>
      <c r="J97" s="1626"/>
      <c r="K97" s="472"/>
      <c r="L97" s="1626"/>
      <c r="M97" s="472"/>
      <c r="N97" s="479"/>
      <c r="O97" s="262"/>
      <c r="P97" s="757"/>
      <c r="Q97" s="1626"/>
      <c r="R97" s="472"/>
      <c r="S97" s="1626"/>
      <c r="T97" s="472"/>
      <c r="U97" s="479"/>
      <c r="V97" s="1581"/>
      <c r="W97" s="1626"/>
      <c r="X97" s="472"/>
      <c r="Y97" s="479"/>
    </row>
    <row r="98" spans="2:25" s="264" customFormat="1" ht="20.100000000000001" customHeight="1">
      <c r="B98" s="1706" t="s">
        <v>467</v>
      </c>
      <c r="C98" s="1694">
        <v>2057</v>
      </c>
      <c r="D98" s="1652" t="s">
        <v>468</v>
      </c>
      <c r="E98" s="472"/>
      <c r="F98" s="1626"/>
      <c r="G98" s="1581"/>
      <c r="H98" s="1626"/>
      <c r="I98" s="1678"/>
      <c r="J98" s="1626"/>
      <c r="K98" s="472"/>
      <c r="L98" s="1626"/>
      <c r="M98" s="472"/>
      <c r="N98" s="479"/>
      <c r="O98" s="262"/>
      <c r="P98" s="757"/>
      <c r="Q98" s="1626"/>
      <c r="R98" s="472"/>
      <c r="S98" s="1626"/>
      <c r="T98" s="472"/>
      <c r="U98" s="479"/>
      <c r="V98" s="1581"/>
      <c r="W98" s="1626"/>
      <c r="X98" s="472"/>
      <c r="Y98" s="479"/>
    </row>
    <row r="99" spans="2:25" s="264" customFormat="1" ht="20.100000000000001" customHeight="1">
      <c r="B99" s="1707" t="s">
        <v>455</v>
      </c>
      <c r="C99" s="2137" t="s">
        <v>456</v>
      </c>
      <c r="D99" s="2138"/>
      <c r="E99" s="473"/>
      <c r="F99" s="1604"/>
      <c r="G99" s="1561"/>
      <c r="H99" s="1604"/>
      <c r="I99" s="1657"/>
      <c r="J99" s="1604"/>
      <c r="K99" s="473"/>
      <c r="L99" s="1604"/>
      <c r="M99" s="473"/>
      <c r="N99" s="480"/>
      <c r="O99" s="262"/>
      <c r="P99" s="734"/>
      <c r="Q99" s="1604"/>
      <c r="R99" s="473"/>
      <c r="S99" s="1604"/>
      <c r="T99" s="473"/>
      <c r="U99" s="480"/>
      <c r="V99" s="1561"/>
      <c r="W99" s="1604"/>
      <c r="X99" s="473"/>
      <c r="Y99" s="480"/>
    </row>
    <row r="100" spans="2:25" ht="21.9" customHeight="1">
      <c r="B100" s="2083" t="s">
        <v>309</v>
      </c>
      <c r="C100" s="1953"/>
      <c r="D100" s="2076"/>
      <c r="E100" s="752">
        <f>E94+E95-E96-E97-E98-E99</f>
        <v>0</v>
      </c>
      <c r="F100" s="1627"/>
      <c r="G100" s="1565">
        <f>G94+G95-G96-G97-G98-G99</f>
        <v>0</v>
      </c>
      <c r="H100" s="1627"/>
      <c r="I100" s="1658">
        <f>I94+I95-I96-I97-I98-I99</f>
        <v>0</v>
      </c>
      <c r="J100" s="1627"/>
      <c r="K100" s="752">
        <f>K94+K95-K96-K97-K98-K99</f>
        <v>0</v>
      </c>
      <c r="L100" s="1627"/>
      <c r="M100" s="752">
        <f>M94+M95-M96-M97-M98-M99</f>
        <v>0</v>
      </c>
      <c r="N100" s="770"/>
      <c r="O100" s="771"/>
      <c r="P100" s="754">
        <f>P94+P95-P96-P97-P98-P99</f>
        <v>0</v>
      </c>
      <c r="Q100" s="1627"/>
      <c r="R100" s="752">
        <f>R94+R95-R96-R97-R98-R99</f>
        <v>0</v>
      </c>
      <c r="S100" s="1627"/>
      <c r="T100" s="752">
        <f>T94+T95-T96-T97-T98-T99</f>
        <v>0</v>
      </c>
      <c r="U100" s="770"/>
      <c r="V100" s="1565">
        <f>V94+V95-V96-V97-V98-V99</f>
        <v>0</v>
      </c>
      <c r="W100" s="1627"/>
      <c r="X100" s="752">
        <f>X94+X95-X96-X97-X98-X99</f>
        <v>0</v>
      </c>
      <c r="Y100" s="770"/>
    </row>
    <row r="101" spans="2:25" s="32" customFormat="1" ht="20.100000000000001" customHeight="1">
      <c r="B101" s="1698" t="s">
        <v>400</v>
      </c>
      <c r="C101" s="1702">
        <v>2050</v>
      </c>
      <c r="D101" s="1654" t="s">
        <v>399</v>
      </c>
      <c r="E101" s="470"/>
      <c r="F101" s="1593"/>
      <c r="G101" s="1582"/>
      <c r="H101" s="1593"/>
      <c r="I101" s="1679"/>
      <c r="J101" s="1593"/>
      <c r="K101" s="470"/>
      <c r="L101" s="1593"/>
      <c r="M101" s="470"/>
      <c r="N101" s="476"/>
      <c r="O101" s="8"/>
      <c r="P101" s="755"/>
      <c r="Q101" s="1593"/>
      <c r="R101" s="470"/>
      <c r="S101" s="1593"/>
      <c r="T101" s="470"/>
      <c r="U101" s="476"/>
      <c r="V101" s="1582"/>
      <c r="W101" s="1593"/>
      <c r="X101" s="470"/>
      <c r="Y101" s="476"/>
    </row>
    <row r="102" spans="2:25" s="32" customFormat="1" ht="20.100000000000001" customHeight="1">
      <c r="B102" s="1699" t="s">
        <v>308</v>
      </c>
      <c r="C102" s="1703">
        <v>2050</v>
      </c>
      <c r="D102" s="1651" t="s">
        <v>306</v>
      </c>
      <c r="E102" s="475"/>
      <c r="F102" s="1592"/>
      <c r="G102" s="1583"/>
      <c r="H102" s="1592"/>
      <c r="I102" s="1680"/>
      <c r="J102" s="1592"/>
      <c r="K102" s="475"/>
      <c r="L102" s="1592"/>
      <c r="M102" s="475"/>
      <c r="N102" s="478"/>
      <c r="O102" s="8"/>
      <c r="P102" s="758"/>
      <c r="Q102" s="1592"/>
      <c r="R102" s="475"/>
      <c r="S102" s="1592"/>
      <c r="T102" s="475"/>
      <c r="U102" s="478"/>
      <c r="V102" s="1583"/>
      <c r="W102" s="1592"/>
      <c r="X102" s="475"/>
      <c r="Y102" s="478"/>
    </row>
    <row r="103" spans="2:25" ht="20.100000000000001" customHeight="1">
      <c r="B103" s="1700" t="s">
        <v>201</v>
      </c>
      <c r="C103" s="1049"/>
      <c r="D103" s="1050"/>
      <c r="E103" s="1151" t="str">
        <f>IF(ISERROR((E101+dbz_1)/acre_1)," ",(E101+E102)/acre_1)</f>
        <v xml:space="preserve"> </v>
      </c>
      <c r="F103" s="1619"/>
      <c r="G103" s="1584" t="str">
        <f>IF(ISERROR((G101+dbz_2)/acre_2)," ",(G101+G102)/acre_2)</f>
        <v xml:space="preserve"> </v>
      </c>
      <c r="H103" s="1619"/>
      <c r="I103" s="1681" t="str">
        <f>IF(ISERROR((I101+dbz_3)/acre_3)," ",(I101+I102)/acre_3)</f>
        <v xml:space="preserve"> </v>
      </c>
      <c r="J103" s="1619"/>
      <c r="K103" s="1151" t="str">
        <f>IF(ISERROR((K101+dbz_4)/acre_4)," ",(K101+K102)/acre_4)</f>
        <v xml:space="preserve"> </v>
      </c>
      <c r="L103" s="1619"/>
      <c r="M103" s="1151" t="str">
        <f>IF(ISERROR((M101+dbz_5)/acre_5)," ",(M101+M102)/acre_5)</f>
        <v xml:space="preserve"> </v>
      </c>
      <c r="N103" s="496"/>
      <c r="O103" s="8"/>
      <c r="P103" s="1152"/>
      <c r="Q103" s="1619"/>
      <c r="R103" s="1151"/>
      <c r="S103" s="1619"/>
      <c r="T103" s="1151"/>
      <c r="U103" s="496"/>
      <c r="V103" s="1584"/>
      <c r="W103" s="1619"/>
      <c r="X103" s="1151"/>
      <c r="Y103" s="496"/>
    </row>
    <row r="104" spans="2:25" ht="21.9" customHeight="1">
      <c r="B104" s="2079" t="s">
        <v>310</v>
      </c>
      <c r="C104" s="2105"/>
      <c r="D104" s="2106"/>
      <c r="E104" s="1551">
        <f>E100-E101-E102</f>
        <v>0</v>
      </c>
      <c r="F104" s="1628" t="str">
        <f>IF(ISERROR(E104/b_1)," ",E104/b_1)</f>
        <v xml:space="preserve"> </v>
      </c>
      <c r="G104" s="1551">
        <f>G100-G101-G102</f>
        <v>0</v>
      </c>
      <c r="H104" s="1628" t="str">
        <f>IF(ISERROR(G104/b_2)," ",G104/b_2)</f>
        <v xml:space="preserve"> </v>
      </c>
      <c r="I104" s="1672">
        <f>I100-I101-I102</f>
        <v>0</v>
      </c>
      <c r="J104" s="1628" t="str">
        <f>IF(ISERROR(I104/b_3)," ",I104/b_3)</f>
        <v xml:space="preserve"> </v>
      </c>
      <c r="K104" s="741">
        <f>K100-K101-K102</f>
        <v>0</v>
      </c>
      <c r="L104" s="1628" t="str">
        <f>IF(ISERROR(K104/b_4)," ",K104/b_4)</f>
        <v xml:space="preserve"> </v>
      </c>
      <c r="M104" s="741">
        <f>M100-M101-M102</f>
        <v>0</v>
      </c>
      <c r="N104" s="772" t="str">
        <f>IF(ISERROR(M104/b_5)," ",M104/b_5)</f>
        <v xml:space="preserve"> </v>
      </c>
      <c r="O104" s="21"/>
      <c r="P104" s="742">
        <f>P100-P101-P102</f>
        <v>0</v>
      </c>
      <c r="Q104" s="1628" t="str">
        <f>IF(ISERROR(P104/P115)," ",P104/P115)</f>
        <v xml:space="preserve"> </v>
      </c>
      <c r="R104" s="741">
        <f>R100-R101-R102</f>
        <v>0</v>
      </c>
      <c r="S104" s="1628" t="str">
        <f>IF(ISERROR(R104/R115)," ",R104/R115)</f>
        <v xml:space="preserve"> </v>
      </c>
      <c r="T104" s="741">
        <f>T100-T101-T102</f>
        <v>0</v>
      </c>
      <c r="U104" s="772" t="str">
        <f>IF(ISERROR(T104/T115)," ",T104/T115)</f>
        <v xml:space="preserve"> </v>
      </c>
      <c r="V104" s="1551">
        <f>V100-V101-V102</f>
        <v>0</v>
      </c>
      <c r="W104" s="1628" t="str">
        <f>IF(ISERROR(V104/V115)," ",V104/V115)</f>
        <v xml:space="preserve"> </v>
      </c>
      <c r="X104" s="741">
        <f>X100-X101-X102</f>
        <v>0</v>
      </c>
      <c r="Y104" s="772" t="str">
        <f>IF(ISERROR(X104/X115)," ",X104/X115)</f>
        <v xml:space="preserve"> </v>
      </c>
    </row>
    <row r="105" spans="2:25" s="32" customFormat="1" ht="21.9" customHeight="1">
      <c r="B105" s="1701" t="s">
        <v>120</v>
      </c>
      <c r="C105" s="1446">
        <v>2050</v>
      </c>
      <c r="D105" s="1704" t="s">
        <v>164</v>
      </c>
      <c r="E105" s="41"/>
      <c r="F105" s="1593"/>
      <c r="G105" s="1559"/>
      <c r="H105" s="1593"/>
      <c r="I105" s="1673"/>
      <c r="J105" s="1593"/>
      <c r="K105" s="41"/>
      <c r="L105" s="1593"/>
      <c r="M105" s="41"/>
      <c r="N105" s="476"/>
      <c r="O105" s="4"/>
      <c r="P105" s="733"/>
      <c r="Q105" s="1593"/>
      <c r="R105" s="41"/>
      <c r="S105" s="1593"/>
      <c r="T105" s="41"/>
      <c r="U105" s="476"/>
      <c r="V105" s="1559"/>
      <c r="W105" s="1593"/>
      <c r="X105" s="41"/>
      <c r="Y105" s="476"/>
    </row>
    <row r="106" spans="2:25" ht="21.9" customHeight="1">
      <c r="B106" s="1936" t="s">
        <v>602</v>
      </c>
      <c r="C106" s="2077"/>
      <c r="D106" s="2078"/>
      <c r="E106" s="736">
        <f>E92+E104+E105</f>
        <v>0</v>
      </c>
      <c r="F106" s="1629" t="str">
        <f>IF(ISERROR(E106/b_1)," ",E106/b_1)</f>
        <v xml:space="preserve"> </v>
      </c>
      <c r="G106" s="1557">
        <f>G92+G104+G105</f>
        <v>0</v>
      </c>
      <c r="H106" s="1629" t="str">
        <f>IF(ISERROR(G106/b_2)," ",G106/b_2)</f>
        <v xml:space="preserve"> </v>
      </c>
      <c r="I106" s="1682">
        <f>I92+I104+I105</f>
        <v>0</v>
      </c>
      <c r="J106" s="1629" t="str">
        <f>IF(ISERROR(I106/b_3)," ",I106/b_3)</f>
        <v xml:space="preserve"> </v>
      </c>
      <c r="K106" s="736">
        <f>K92+K104+K105</f>
        <v>0</v>
      </c>
      <c r="L106" s="1629" t="str">
        <f>IF(ISERROR(K106/b_4)," ",K106/b_4)</f>
        <v xml:space="preserve"> </v>
      </c>
      <c r="M106" s="736">
        <f>M92+M104+M105</f>
        <v>0</v>
      </c>
      <c r="N106" s="769" t="str">
        <f>IF(ISERROR(M106/b_5)," ",M106/b_5)</f>
        <v xml:space="preserve"> </v>
      </c>
      <c r="O106" s="21"/>
      <c r="P106" s="737">
        <f>P92+P104+P105</f>
        <v>0</v>
      </c>
      <c r="Q106" s="1629" t="str">
        <f>IF(ISERROR(P106/P115)," ",P106/P115)</f>
        <v xml:space="preserve"> </v>
      </c>
      <c r="R106" s="736">
        <f>R92+R104+R105</f>
        <v>0</v>
      </c>
      <c r="S106" s="1629" t="str">
        <f>IF(ISERROR(R106/R115)," ",R106/R115)</f>
        <v xml:space="preserve"> </v>
      </c>
      <c r="T106" s="736">
        <f>T92+T104+T105</f>
        <v>0</v>
      </c>
      <c r="U106" s="769" t="str">
        <f>IF(ISERROR(T106/T115)," ",T106/T115)</f>
        <v xml:space="preserve"> </v>
      </c>
      <c r="V106" s="1557">
        <f>V92+V104+V105</f>
        <v>0</v>
      </c>
      <c r="W106" s="1629" t="str">
        <f>IF(ISERROR(V106/V115)," ",V106/V115)</f>
        <v xml:space="preserve"> </v>
      </c>
      <c r="X106" s="736">
        <f>X92+X104+X105</f>
        <v>0</v>
      </c>
      <c r="Y106" s="769" t="str">
        <f>IF(ISERROR(X106/X115)," ",X106/X115)</f>
        <v xml:space="preserve"> </v>
      </c>
    </row>
    <row r="107" spans="2:25" ht="21.9" customHeight="1">
      <c r="B107" s="2086" t="s">
        <v>607</v>
      </c>
      <c r="C107" s="2081"/>
      <c r="D107" s="2082"/>
      <c r="E107" s="330">
        <f>E82+E106</f>
        <v>0</v>
      </c>
      <c r="F107" s="1607" t="str">
        <f>IF(ISERROR(E107/b_1)," ",E107/b_1)</f>
        <v xml:space="preserve"> </v>
      </c>
      <c r="G107" s="330">
        <f>G82+G106</f>
        <v>0</v>
      </c>
      <c r="H107" s="1607" t="str">
        <f>IF(ISERROR(G107/b_2)," ",G107/b_2)</f>
        <v xml:space="preserve"> </v>
      </c>
      <c r="I107" s="330">
        <f>I82+I106</f>
        <v>0</v>
      </c>
      <c r="J107" s="1607" t="str">
        <f>IF(ISERROR(I107/b_3)," ",I107/b_3)</f>
        <v xml:space="preserve"> </v>
      </c>
      <c r="K107" s="330">
        <f>K82+K106</f>
        <v>0</v>
      </c>
      <c r="L107" s="1607" t="str">
        <f>IF(ISERROR(K107/b_4)," ",K107/b_4)</f>
        <v xml:space="preserve"> </v>
      </c>
      <c r="M107" s="330">
        <f>M82+M106</f>
        <v>0</v>
      </c>
      <c r="N107" s="1643" t="str">
        <f>IF(ISERROR(M107/b_5)," ",M107/b_5)</f>
        <v xml:space="preserve"> </v>
      </c>
      <c r="O107" s="21"/>
      <c r="P107" s="732">
        <f>P82+P106</f>
        <v>0</v>
      </c>
      <c r="Q107" s="1607" t="str">
        <f>IF(ISERROR(P107/P115)," ",P107/P115)</f>
        <v xml:space="preserve"> </v>
      </c>
      <c r="R107" s="330">
        <f>R82+R106</f>
        <v>0</v>
      </c>
      <c r="S107" s="1607" t="str">
        <f>IF(ISERROR(R107/R115)," ",R107/R115)</f>
        <v xml:space="preserve"> </v>
      </c>
      <c r="T107" s="330">
        <f>T82+T106</f>
        <v>0</v>
      </c>
      <c r="U107" s="1607" t="str">
        <f>IF(ISERROR(T107/T115)," ",T107/T115)</f>
        <v xml:space="preserve"> </v>
      </c>
      <c r="V107" s="330">
        <f>V82+V106</f>
        <v>0</v>
      </c>
      <c r="W107" s="1607" t="str">
        <f>IF(ISERROR(V107/V115)," ",V107/V115)</f>
        <v xml:space="preserve"> </v>
      </c>
      <c r="X107" s="330">
        <f>X82+X106</f>
        <v>0</v>
      </c>
      <c r="Y107" s="1643" t="str">
        <f>IF(ISERROR(X107/X115)," ",X107/X115)</f>
        <v xml:space="preserve"> </v>
      </c>
    </row>
    <row r="108" spans="2:25" s="32" customFormat="1" ht="20.100000000000001" customHeight="1">
      <c r="B108" s="1374" t="s">
        <v>108</v>
      </c>
      <c r="C108" s="1375">
        <v>2050</v>
      </c>
      <c r="D108" s="1377" t="s">
        <v>165</v>
      </c>
      <c r="E108" s="514"/>
      <c r="F108" s="1608"/>
      <c r="G108" s="1564"/>
      <c r="H108" s="1608"/>
      <c r="I108" s="1655"/>
      <c r="J108" s="1608"/>
      <c r="K108" s="514"/>
      <c r="L108" s="1608"/>
      <c r="M108" s="41"/>
      <c r="N108" s="476"/>
      <c r="O108" s="4"/>
      <c r="P108" s="733"/>
      <c r="Q108" s="1593"/>
      <c r="R108" s="514"/>
      <c r="S108" s="1608"/>
      <c r="T108" s="41"/>
      <c r="U108" s="476"/>
      <c r="V108" s="1564"/>
      <c r="W108" s="1608"/>
      <c r="X108" s="41"/>
      <c r="Y108" s="476"/>
    </row>
    <row r="109" spans="2:25" s="8" customFormat="1" ht="20.100000000000001" customHeight="1">
      <c r="B109" s="1697" t="s">
        <v>274</v>
      </c>
      <c r="C109" s="1694">
        <v>2057</v>
      </c>
      <c r="D109" s="1652" t="s">
        <v>270</v>
      </c>
      <c r="E109" s="491" t="str">
        <f>IF(ca_1=0," ",E96)</f>
        <v xml:space="preserve"> </v>
      </c>
      <c r="F109" s="1605"/>
      <c r="G109" s="1562" t="str">
        <f>IF(ca_2=0," ",G96)</f>
        <v xml:space="preserve"> </v>
      </c>
      <c r="H109" s="1605"/>
      <c r="I109" s="1683" t="str">
        <f>IF(ca_3=0," ",I96)</f>
        <v xml:space="preserve"> </v>
      </c>
      <c r="J109" s="1605"/>
      <c r="K109" s="491" t="str">
        <f>IF(ca_4=0," ",K96)</f>
        <v xml:space="preserve"> </v>
      </c>
      <c r="L109" s="1605"/>
      <c r="M109" s="491" t="str">
        <f>IF(ca_5=0," ",M96)</f>
        <v xml:space="preserve"> </v>
      </c>
      <c r="N109" s="492"/>
      <c r="O109" s="4"/>
      <c r="P109" s="735">
        <f>P96</f>
        <v>0</v>
      </c>
      <c r="Q109" s="1605"/>
      <c r="R109" s="491">
        <f>R96</f>
        <v>0</v>
      </c>
      <c r="S109" s="1605"/>
      <c r="T109" s="491">
        <f>T96</f>
        <v>0</v>
      </c>
      <c r="U109" s="492"/>
      <c r="V109" s="1562">
        <f>V96</f>
        <v>0</v>
      </c>
      <c r="W109" s="1605"/>
      <c r="X109" s="491">
        <f>X96</f>
        <v>0</v>
      </c>
      <c r="Y109" s="492"/>
    </row>
    <row r="110" spans="2:25" s="8" customFormat="1" ht="20.100000000000001" customHeight="1">
      <c r="B110" s="1697" t="s">
        <v>275</v>
      </c>
      <c r="C110" s="1694">
        <v>2057</v>
      </c>
      <c r="D110" s="1652" t="s">
        <v>272</v>
      </c>
      <c r="E110" s="491" t="str">
        <f>IF(ca_1= 0," ",E97)</f>
        <v xml:space="preserve"> </v>
      </c>
      <c r="F110" s="1605"/>
      <c r="G110" s="1562" t="str">
        <f>IF(ca_2= 0," ",G97)</f>
        <v xml:space="preserve"> </v>
      </c>
      <c r="H110" s="1605"/>
      <c r="I110" s="1683" t="str">
        <f>IF(ca_3= 0," ",I97)</f>
        <v xml:space="preserve"> </v>
      </c>
      <c r="J110" s="1605"/>
      <c r="K110" s="491" t="str">
        <f>IF(ca_4= 0," ",K97)</f>
        <v xml:space="preserve"> </v>
      </c>
      <c r="L110" s="1605"/>
      <c r="M110" s="491" t="str">
        <f>IF(ca_5= 0," ",M97)</f>
        <v xml:space="preserve"> </v>
      </c>
      <c r="N110" s="492"/>
      <c r="O110" s="4"/>
      <c r="P110" s="735">
        <f>P97</f>
        <v>0</v>
      </c>
      <c r="Q110" s="1605"/>
      <c r="R110" s="491">
        <f>R97</f>
        <v>0</v>
      </c>
      <c r="S110" s="1605"/>
      <c r="T110" s="491">
        <f>T97</f>
        <v>0</v>
      </c>
      <c r="U110" s="492"/>
      <c r="V110" s="1562">
        <f>V97</f>
        <v>0</v>
      </c>
      <c r="W110" s="1605"/>
      <c r="X110" s="491">
        <f>X97</f>
        <v>0</v>
      </c>
      <c r="Y110" s="492"/>
    </row>
    <row r="111" spans="2:25" s="8" customFormat="1" ht="20.100000000000001" customHeight="1">
      <c r="B111" s="1385" t="s">
        <v>469</v>
      </c>
      <c r="C111" s="1695">
        <v>2057</v>
      </c>
      <c r="D111" s="1696" t="s">
        <v>468</v>
      </c>
      <c r="E111" s="495" t="str">
        <f>IF(ca_1= 0," ",E98)</f>
        <v xml:space="preserve"> </v>
      </c>
      <c r="F111" s="1630"/>
      <c r="G111" s="1585" t="str">
        <f>IF(ca_2= 0," ",G98)</f>
        <v xml:space="preserve"> </v>
      </c>
      <c r="H111" s="1630"/>
      <c r="I111" s="1684" t="str">
        <f>IF(ca_3= 0," ",I98)</f>
        <v xml:space="preserve"> </v>
      </c>
      <c r="J111" s="1630"/>
      <c r="K111" s="495" t="str">
        <f>IF(ca_4= 0," ",K98)</f>
        <v xml:space="preserve"> </v>
      </c>
      <c r="L111" s="1630"/>
      <c r="M111" s="495" t="str">
        <f>IF(ca_5= 0," ",M98)</f>
        <v xml:space="preserve"> </v>
      </c>
      <c r="N111" s="499"/>
      <c r="O111" s="4"/>
      <c r="P111" s="759">
        <f>P98</f>
        <v>0</v>
      </c>
      <c r="Q111" s="1630"/>
      <c r="R111" s="495">
        <f>R98</f>
        <v>0</v>
      </c>
      <c r="S111" s="1630"/>
      <c r="T111" s="495">
        <f>T98</f>
        <v>0</v>
      </c>
      <c r="U111" s="499"/>
      <c r="V111" s="1585">
        <f>V98</f>
        <v>0</v>
      </c>
      <c r="W111" s="1630"/>
      <c r="X111" s="495">
        <f>X98</f>
        <v>0</v>
      </c>
      <c r="Y111" s="499"/>
    </row>
    <row r="112" spans="2:25" ht="21.9" customHeight="1">
      <c r="B112" s="1936" t="s">
        <v>378</v>
      </c>
      <c r="C112" s="2077"/>
      <c r="D112" s="2078"/>
      <c r="E112" s="736">
        <f>SUM(E108:E111)</f>
        <v>0</v>
      </c>
      <c r="F112" s="1606" t="str">
        <f>IF(ISERROR(E112/b_1)," ",E112/b_1)</f>
        <v xml:space="preserve"> </v>
      </c>
      <c r="G112" s="1557">
        <f>SUM(G108:G111)</f>
        <v>0</v>
      </c>
      <c r="H112" s="1606" t="str">
        <f>IF(ISERROR(G112/b_2)," ",G112/b_2)</f>
        <v xml:space="preserve"> </v>
      </c>
      <c r="I112" s="1682">
        <f>SUM(I108:I111)</f>
        <v>0</v>
      </c>
      <c r="J112" s="1606" t="str">
        <f>IF(ISERROR(I112/b_3)," ",I112/b_3)</f>
        <v xml:space="preserve"> </v>
      </c>
      <c r="K112" s="736">
        <f>SUM(K108:K111)</f>
        <v>0</v>
      </c>
      <c r="L112" s="1606" t="str">
        <f>IF(ISERROR(K112/b_4)," ",K112/b_4)</f>
        <v xml:space="preserve"> </v>
      </c>
      <c r="M112" s="736">
        <f>SUM(M108:M111)</f>
        <v>0</v>
      </c>
      <c r="N112" s="493" t="str">
        <f>IF(ISERROR(M112/b_5)," ",M112/b_5)</f>
        <v xml:space="preserve"> </v>
      </c>
      <c r="O112" s="21"/>
      <c r="P112" s="737">
        <f>SUM(P108:P111)</f>
        <v>0</v>
      </c>
      <c r="Q112" s="1600" t="str">
        <f>IF(ISERROR(P112/P115)," ",P112/P115)</f>
        <v xml:space="preserve"> </v>
      </c>
      <c r="R112" s="736">
        <f>SUM(R108:R111)</f>
        <v>0</v>
      </c>
      <c r="S112" s="1606" t="str">
        <f>IF(ISERROR(R112/R115)," ",R112/R115)</f>
        <v xml:space="preserve"> </v>
      </c>
      <c r="T112" s="736">
        <f>SUM(T108:T111)</f>
        <v>0</v>
      </c>
      <c r="U112" s="493" t="str">
        <f>IF(ISERROR(T112/T115)," ",T112/T115)</f>
        <v xml:space="preserve"> </v>
      </c>
      <c r="V112" s="1557">
        <f>SUM(V108:V111)</f>
        <v>0</v>
      </c>
      <c r="W112" s="1606" t="str">
        <f>IF(ISERROR(V112/V115)," ",V112/V115)</f>
        <v xml:space="preserve"> </v>
      </c>
      <c r="X112" s="736">
        <f>SUM(X108:X111)</f>
        <v>0</v>
      </c>
      <c r="Y112" s="493" t="str">
        <f>IF(ISERROR(X112/X115)," ",X112/X115)</f>
        <v xml:space="preserve"> </v>
      </c>
    </row>
    <row r="113" spans="2:26" ht="21.9" customHeight="1">
      <c r="B113" s="2136" t="s">
        <v>601</v>
      </c>
      <c r="C113" s="2081"/>
      <c r="D113" s="2081"/>
      <c r="E113" s="719">
        <f>E26+E42-E62-E107-E112</f>
        <v>0</v>
      </c>
      <c r="F113" s="1631"/>
      <c r="G113" s="719">
        <f>G26+G42-G62-G107-G112</f>
        <v>0</v>
      </c>
      <c r="H113" s="1631"/>
      <c r="I113" s="719">
        <f>I26+I42-I62-I107-I112</f>
        <v>0</v>
      </c>
      <c r="J113" s="1631"/>
      <c r="K113" s="719">
        <f>K26+K42-K62-K107-K112</f>
        <v>0</v>
      </c>
      <c r="L113" s="1631"/>
      <c r="M113" s="719">
        <f>M26+M42-M62-M107-M112</f>
        <v>0</v>
      </c>
      <c r="N113" s="1769"/>
      <c r="P113" s="760">
        <f>P26+P42-P62-P107-P112</f>
        <v>0</v>
      </c>
      <c r="Q113" s="1648"/>
      <c r="R113" s="1646">
        <f>R26+R42-R62-R107-R112</f>
        <v>0</v>
      </c>
      <c r="S113" s="1631"/>
      <c r="T113" s="717">
        <f>T26+T42-T62-T107-T112</f>
        <v>0</v>
      </c>
      <c r="U113" s="718"/>
      <c r="V113" s="719">
        <f>V26+V42-V62-V107-V112</f>
        <v>0</v>
      </c>
      <c r="W113" s="1631"/>
      <c r="X113" s="717">
        <f>X26+X42-X62-X107-X112</f>
        <v>0</v>
      </c>
      <c r="Y113" s="720"/>
    </row>
    <row r="114" spans="2:26" s="8" customFormat="1" ht="3" customHeight="1">
      <c r="C114" s="343"/>
      <c r="D114" s="426"/>
      <c r="E114" s="41"/>
      <c r="F114" s="136"/>
      <c r="G114" s="41"/>
      <c r="H114" s="136"/>
      <c r="I114" s="41"/>
      <c r="J114" s="136"/>
      <c r="K114" s="41"/>
      <c r="L114" s="136"/>
      <c r="M114" s="41"/>
      <c r="N114" s="136"/>
      <c r="O114" s="4"/>
      <c r="P114" s="41"/>
      <c r="Q114" s="136"/>
      <c r="R114" s="41"/>
      <c r="S114" s="136"/>
      <c r="T114" s="41"/>
      <c r="U114" s="136"/>
      <c r="V114" s="41"/>
      <c r="W114" s="136"/>
      <c r="X114" s="41"/>
      <c r="Y114" s="136"/>
    </row>
    <row r="115" spans="2:26" ht="21.9" customHeight="1">
      <c r="B115" s="333"/>
      <c r="C115" s="2134" t="s">
        <v>97</v>
      </c>
      <c r="D115" s="2135"/>
      <c r="E115" s="500" t="str">
        <f>IF(ca_1=0," ",eh_1+cp_1+E13+E36+E41)</f>
        <v xml:space="preserve"> </v>
      </c>
      <c r="F115" s="1633" t="str">
        <f>IF(E115=" "," ",100%)</f>
        <v xml:space="preserve"> </v>
      </c>
      <c r="G115" s="1632" t="str">
        <f>IF(ca_2=0," ",eh_2+cp_2+G13+G36+G41)</f>
        <v xml:space="preserve"> </v>
      </c>
      <c r="H115" s="1633" t="str">
        <f>IF(G115=" "," ",100%)</f>
        <v xml:space="preserve"> </v>
      </c>
      <c r="I115" s="722" t="str">
        <f>IF(ca_3=0," ",eh_3+cp_3+I13+I36+I41)</f>
        <v xml:space="preserve"> </v>
      </c>
      <c r="J115" s="721" t="str">
        <f>IF(I115=" "," ",100%)</f>
        <v xml:space="preserve"> </v>
      </c>
      <c r="K115" s="1632" t="str">
        <f>IF(ca_4=0," ",eh_4+cp_4+K13+K36+K41)</f>
        <v xml:space="preserve"> </v>
      </c>
      <c r="L115" s="1633" t="str">
        <f>IF(K115=" "," ",100%)</f>
        <v xml:space="preserve"> </v>
      </c>
      <c r="M115" s="500" t="str">
        <f>IF(ca_5=0," ",eh_5+cp_5+M13+M36+M41)</f>
        <v xml:space="preserve"> </v>
      </c>
      <c r="N115" s="721" t="str">
        <f>IF(M115=" "," ",100%)</f>
        <v xml:space="preserve"> </v>
      </c>
      <c r="P115" s="761">
        <f>P13+P24+P26+P36+P41</f>
        <v>0</v>
      </c>
      <c r="Q115" s="1633" t="str">
        <f>IF(P115=0," ",100%)</f>
        <v xml:space="preserve"> </v>
      </c>
      <c r="R115" s="500">
        <f>R13+R24+R26+R36+R41</f>
        <v>0</v>
      </c>
      <c r="S115" s="1633" t="str">
        <f>IF(R115=0," ",100%)</f>
        <v xml:space="preserve"> </v>
      </c>
      <c r="T115" s="722">
        <f>T13+T24+T26+T36+T41</f>
        <v>0</v>
      </c>
      <c r="U115" s="721" t="str">
        <f>IF(T115=0," ",100%)</f>
        <v xml:space="preserve"> </v>
      </c>
      <c r="V115" s="1632">
        <f>V13+V24+V26+V36+V41</f>
        <v>0</v>
      </c>
      <c r="W115" s="1633" t="str">
        <f>IF(V115=0," ",100%)</f>
        <v xml:space="preserve"> </v>
      </c>
      <c r="X115" s="500">
        <f>X13+X24+X26+X36+X41</f>
        <v>0</v>
      </c>
      <c r="Y115" s="721" t="str">
        <f>IF(X115=0," ",100%)</f>
        <v xml:space="preserve"> </v>
      </c>
    </row>
    <row r="116" spans="2:26" s="338" customFormat="1" ht="20.100000000000001" customHeight="1">
      <c r="B116" s="340" t="s">
        <v>603</v>
      </c>
      <c r="C116" s="427"/>
      <c r="D116" s="428"/>
      <c r="E116" s="1640"/>
      <c r="F116" s="411"/>
      <c r="G116" s="410"/>
      <c r="H116" s="411"/>
      <c r="I116" s="410"/>
      <c r="J116" s="411"/>
      <c r="K116" s="1640"/>
      <c r="L116" s="411"/>
      <c r="M116" s="409"/>
      <c r="N116" s="411"/>
      <c r="P116" s="336"/>
      <c r="Q116" s="337"/>
      <c r="R116" s="1640"/>
      <c r="S116" s="411"/>
      <c r="T116" s="336"/>
      <c r="U116" s="337"/>
      <c r="V116" s="1640"/>
      <c r="W116" s="411"/>
      <c r="X116" s="336"/>
      <c r="Y116" s="337"/>
    </row>
    <row r="117" spans="2:26" s="26" customFormat="1" ht="20.100000000000001" customHeight="1">
      <c r="B117" s="1374" t="s">
        <v>98</v>
      </c>
      <c r="C117" s="1375">
        <v>2050</v>
      </c>
      <c r="D117" s="1377" t="s">
        <v>99</v>
      </c>
      <c r="E117" s="514"/>
      <c r="F117" s="1634"/>
      <c r="G117" s="1564"/>
      <c r="H117" s="1634"/>
      <c r="I117" s="1655"/>
      <c r="J117" s="1634"/>
      <c r="K117" s="514"/>
      <c r="L117" s="1634"/>
      <c r="M117" s="514"/>
      <c r="N117" s="723"/>
      <c r="P117" s="753"/>
      <c r="Q117" s="1634"/>
      <c r="R117" s="514"/>
      <c r="S117" s="1634"/>
      <c r="T117" s="514"/>
      <c r="U117" s="723"/>
      <c r="V117" s="1564"/>
      <c r="W117" s="1634"/>
      <c r="X117" s="514"/>
      <c r="Y117" s="723"/>
    </row>
    <row r="118" spans="2:26" s="26" customFormat="1" ht="20.100000000000001" customHeight="1">
      <c r="B118" s="1690" t="s">
        <v>100</v>
      </c>
      <c r="C118" s="1047">
        <v>2050</v>
      </c>
      <c r="D118" s="1048" t="s">
        <v>101</v>
      </c>
      <c r="E118" s="520"/>
      <c r="F118" s="1635"/>
      <c r="G118" s="1586"/>
      <c r="H118" s="1635"/>
      <c r="I118" s="1685"/>
      <c r="J118" s="1635"/>
      <c r="K118" s="520"/>
      <c r="L118" s="1635"/>
      <c r="M118" s="520"/>
      <c r="N118" s="521"/>
      <c r="P118" s="762"/>
      <c r="Q118" s="1635"/>
      <c r="R118" s="520"/>
      <c r="S118" s="1635"/>
      <c r="T118" s="520"/>
      <c r="U118" s="521"/>
      <c r="V118" s="1586"/>
      <c r="W118" s="1635"/>
      <c r="X118" s="520"/>
      <c r="Y118" s="521"/>
    </row>
    <row r="119" spans="2:26" s="264" customFormat="1" ht="20.100000000000001" customHeight="1">
      <c r="B119" s="1691" t="s">
        <v>670</v>
      </c>
      <c r="C119" s="2115" t="s">
        <v>456</v>
      </c>
      <c r="D119" s="2116"/>
      <c r="E119" s="530"/>
      <c r="F119" s="1636"/>
      <c r="G119" s="1587"/>
      <c r="H119" s="1636"/>
      <c r="I119" s="1686"/>
      <c r="J119" s="1636"/>
      <c r="K119" s="530"/>
      <c r="L119" s="1636"/>
      <c r="M119" s="526"/>
      <c r="N119" s="527"/>
      <c r="O119" s="262"/>
      <c r="P119" s="763"/>
      <c r="Q119" s="1636"/>
      <c r="R119" s="530"/>
      <c r="S119" s="1636"/>
      <c r="T119" s="526"/>
      <c r="U119" s="527"/>
      <c r="V119" s="1587"/>
      <c r="W119" s="1636"/>
      <c r="X119" s="526"/>
      <c r="Y119" s="527"/>
    </row>
    <row r="120" spans="2:26" s="147" customFormat="1" ht="20.100000000000001" customHeight="1">
      <c r="B120" s="1271" t="s">
        <v>84</v>
      </c>
      <c r="C120" s="1457"/>
      <c r="D120" s="1653"/>
      <c r="E120" s="522">
        <f>ys_1</f>
        <v>0</v>
      </c>
      <c r="F120" s="1590"/>
      <c r="G120" s="1270">
        <f>ys_2</f>
        <v>0</v>
      </c>
      <c r="H120" s="1590"/>
      <c r="I120" s="1687">
        <f>ys_3</f>
        <v>0</v>
      </c>
      <c r="J120" s="1638"/>
      <c r="K120" s="522">
        <f>ys_4</f>
        <v>0</v>
      </c>
      <c r="L120" s="1590"/>
      <c r="M120" s="522">
        <f>ys_5</f>
        <v>0</v>
      </c>
      <c r="N120" s="523"/>
      <c r="P120" s="764">
        <f>P84</f>
        <v>0</v>
      </c>
      <c r="Q120" s="1638"/>
      <c r="R120" s="522">
        <f>-R84</f>
        <v>0</v>
      </c>
      <c r="S120" s="1590"/>
      <c r="T120" s="522">
        <f>-T84</f>
        <v>0</v>
      </c>
      <c r="U120" s="523"/>
      <c r="V120" s="1270">
        <f>-V84</f>
        <v>0</v>
      </c>
      <c r="W120" s="1590"/>
      <c r="X120" s="522">
        <f>-X84</f>
        <v>0</v>
      </c>
      <c r="Y120" s="523"/>
      <c r="Z120" s="26"/>
    </row>
    <row r="121" spans="2:26" ht="20.100000000000001" customHeight="1">
      <c r="B121" s="1692" t="s">
        <v>514</v>
      </c>
      <c r="C121" s="1694"/>
      <c r="D121" s="1652"/>
      <c r="E121" s="524">
        <f>E85</f>
        <v>0</v>
      </c>
      <c r="F121" s="1637"/>
      <c r="G121" s="1588">
        <f>G85</f>
        <v>0</v>
      </c>
      <c r="H121" s="1637"/>
      <c r="I121" s="1688">
        <f>I85</f>
        <v>0</v>
      </c>
      <c r="J121" s="1637"/>
      <c r="K121" s="524">
        <f>K85</f>
        <v>0</v>
      </c>
      <c r="L121" s="1637"/>
      <c r="M121" s="524">
        <f>M85</f>
        <v>0</v>
      </c>
      <c r="N121" s="525"/>
      <c r="P121" s="765">
        <f>P85</f>
        <v>0</v>
      </c>
      <c r="Q121" s="1637"/>
      <c r="R121" s="524">
        <f>-R85</f>
        <v>0</v>
      </c>
      <c r="S121" s="1637"/>
      <c r="T121" s="524">
        <f>-T85</f>
        <v>0</v>
      </c>
      <c r="U121" s="525"/>
      <c r="V121" s="1588">
        <f>-V85</f>
        <v>0</v>
      </c>
      <c r="W121" s="1637"/>
      <c r="X121" s="524">
        <f>-X85</f>
        <v>0</v>
      </c>
      <c r="Y121" s="525"/>
      <c r="Z121" s="26"/>
    </row>
    <row r="122" spans="2:26" ht="20.100000000000001" customHeight="1">
      <c r="B122" s="1692" t="s">
        <v>671</v>
      </c>
      <c r="C122" s="2117" t="s">
        <v>672</v>
      </c>
      <c r="D122" s="2118"/>
      <c r="E122" s="528"/>
      <c r="F122" s="1637"/>
      <c r="G122" s="1589"/>
      <c r="H122" s="1637"/>
      <c r="I122" s="1689"/>
      <c r="J122" s="1637"/>
      <c r="K122" s="528"/>
      <c r="L122" s="1637"/>
      <c r="M122" s="528"/>
      <c r="N122" s="525"/>
      <c r="P122" s="766"/>
      <c r="Q122" s="1637"/>
      <c r="R122" s="528"/>
      <c r="S122" s="1637"/>
      <c r="T122" s="528"/>
      <c r="U122" s="525"/>
      <c r="V122" s="1589"/>
      <c r="W122" s="1637"/>
      <c r="X122" s="528"/>
      <c r="Y122" s="525"/>
    </row>
    <row r="123" spans="2:26" ht="20.100000000000001" customHeight="1">
      <c r="B123" s="1693" t="s">
        <v>390</v>
      </c>
      <c r="C123" s="1695">
        <v>2051</v>
      </c>
      <c r="D123" s="1696" t="s">
        <v>119</v>
      </c>
      <c r="E123" s="522">
        <f>eh_1</f>
        <v>0</v>
      </c>
      <c r="F123" s="1638"/>
      <c r="G123" s="1270">
        <f>eh_2</f>
        <v>0</v>
      </c>
      <c r="H123" s="1638"/>
      <c r="I123" s="1687">
        <f>eh_3</f>
        <v>0</v>
      </c>
      <c r="J123" s="1638"/>
      <c r="K123" s="522">
        <f>eh_4</f>
        <v>0</v>
      </c>
      <c r="L123" s="1638"/>
      <c r="M123" s="522">
        <f>eh_5</f>
        <v>0</v>
      </c>
      <c r="N123" s="523"/>
      <c r="P123" s="764">
        <f>P24</f>
        <v>0</v>
      </c>
      <c r="Q123" s="1638"/>
      <c r="R123" s="522">
        <f>-R24</f>
        <v>0</v>
      </c>
      <c r="S123" s="1638"/>
      <c r="T123" s="522">
        <f>-T24</f>
        <v>0</v>
      </c>
      <c r="U123" s="523"/>
      <c r="V123" s="1270">
        <f>-V24</f>
        <v>0</v>
      </c>
      <c r="W123" s="1638"/>
      <c r="X123" s="522">
        <f>-X24</f>
        <v>0</v>
      </c>
      <c r="Y123" s="523"/>
    </row>
    <row r="124" spans="2:26" ht="21.9" customHeight="1">
      <c r="B124" s="1936" t="s">
        <v>102</v>
      </c>
      <c r="C124" s="2077"/>
      <c r="D124" s="2078"/>
      <c r="E124" s="736">
        <f>IF(b_1=" ",0,E117+E118-E119-E120-E121-E122-E123)</f>
        <v>0</v>
      </c>
      <c r="F124" s="1639"/>
      <c r="G124" s="1557">
        <f>IF(b_2=" ",0,G117+G118-G119-G120-G121-G122-G123)</f>
        <v>0</v>
      </c>
      <c r="H124" s="1639"/>
      <c r="I124" s="1682">
        <f>IF(b_3=" ",0,I117+I118-I119-I120-I121-I122-I123)</f>
        <v>0</v>
      </c>
      <c r="J124" s="1639"/>
      <c r="K124" s="736">
        <f>IF(b_4=" ",0,K117+K118-K119-K120-K121-K122-K123)</f>
        <v>0</v>
      </c>
      <c r="L124" s="1639"/>
      <c r="M124" s="736">
        <f>IF(b_5=" ",0,M117+M118-M119-M120-M121-M122-M123)</f>
        <v>0</v>
      </c>
      <c r="N124" s="767"/>
      <c r="P124" s="737">
        <f>P117+P118-P119-P120-P121-P122-P123</f>
        <v>0</v>
      </c>
      <c r="Q124" s="1639"/>
      <c r="R124" s="736">
        <f>R117+R118-R119-R120-R121-R122-R123</f>
        <v>0</v>
      </c>
      <c r="S124" s="1639"/>
      <c r="T124" s="736">
        <f>T117+T118-T119-T120-T121-T122-T123</f>
        <v>0</v>
      </c>
      <c r="U124" s="767"/>
      <c r="V124" s="1557">
        <f>V117+V118-V119-V120-V121-V122-V123</f>
        <v>0</v>
      </c>
      <c r="W124" s="1639"/>
      <c r="X124" s="736">
        <f>X117+X118-X119-X120-X121-X122-X123</f>
        <v>0</v>
      </c>
      <c r="Y124" s="767"/>
    </row>
    <row r="125" spans="2:26" ht="6" customHeight="1"/>
    <row r="126" spans="2:26" s="133" customFormat="1" ht="20.100000000000001" customHeight="1">
      <c r="B126" s="341"/>
      <c r="C126" s="2119" t="s">
        <v>684</v>
      </c>
      <c r="D126" s="2120"/>
      <c r="E126" s="139" t="str">
        <f>IF(ca_1=0," ",tr_1-E124)</f>
        <v xml:space="preserve"> </v>
      </c>
      <c r="F126" s="37"/>
      <c r="G126" s="139" t="str">
        <f>IF(ca_2=0," ",tr_2-G124)</f>
        <v xml:space="preserve"> </v>
      </c>
      <c r="H126" s="37"/>
      <c r="I126" s="139" t="str">
        <f>IF(ca_3=0," ",tr_3-I124)</f>
        <v xml:space="preserve"> </v>
      </c>
      <c r="J126" s="37"/>
      <c r="K126" s="139" t="str">
        <f>IF(ca_4=0," ",tr_4-K124)</f>
        <v xml:space="preserve"> </v>
      </c>
      <c r="L126" s="37"/>
      <c r="M126" s="139" t="str">
        <f>IF(ca_5=0," ",tr_5-M124)</f>
        <v xml:space="preserve"> </v>
      </c>
      <c r="P126" s="139">
        <f>P113-P124</f>
        <v>0</v>
      </c>
      <c r="Q126" s="37"/>
      <c r="R126" s="139">
        <f>R113-R124</f>
        <v>0</v>
      </c>
      <c r="S126" s="37"/>
      <c r="T126" s="139">
        <f>T113-T124</f>
        <v>0</v>
      </c>
      <c r="U126" s="37"/>
      <c r="V126" s="139">
        <f>V113-V124</f>
        <v>0</v>
      </c>
      <c r="W126" s="37"/>
      <c r="X126" s="139">
        <f>X113-X124</f>
        <v>0</v>
      </c>
    </row>
    <row r="127" spans="2:26">
      <c r="F127" s="304"/>
      <c r="H127" s="304"/>
      <c r="J127" s="304"/>
      <c r="L127" s="304"/>
      <c r="N127" s="304"/>
      <c r="Q127" s="26"/>
      <c r="S127" s="26"/>
      <c r="U127" s="26"/>
      <c r="W127" s="26"/>
      <c r="Y127" s="304"/>
    </row>
    <row r="128" spans="2:26">
      <c r="E128" s="50"/>
      <c r="F128" s="304"/>
      <c r="G128" s="50"/>
      <c r="H128" s="304"/>
      <c r="I128" s="50"/>
      <c r="J128" s="304"/>
      <c r="K128" s="50"/>
      <c r="L128" s="304"/>
      <c r="M128" s="50"/>
      <c r="N128" s="304"/>
      <c r="Q128" s="304"/>
      <c r="S128" s="304"/>
      <c r="U128" s="304"/>
      <c r="W128" s="304"/>
      <c r="Y128" s="304"/>
    </row>
    <row r="129" spans="6:25">
      <c r="F129" s="304"/>
      <c r="H129" s="304"/>
      <c r="J129" s="304"/>
      <c r="L129" s="304"/>
      <c r="N129" s="304"/>
      <c r="Q129" s="304"/>
      <c r="S129" s="304"/>
      <c r="U129" s="304"/>
      <c r="W129" s="304"/>
      <c r="Y129" s="304"/>
    </row>
    <row r="130" spans="6:25">
      <c r="F130" s="304"/>
      <c r="H130" s="304"/>
      <c r="J130" s="304"/>
      <c r="L130" s="304"/>
      <c r="N130" s="304"/>
      <c r="Q130" s="304"/>
      <c r="S130" s="304"/>
      <c r="U130" s="304"/>
      <c r="W130" s="304"/>
      <c r="Y130" s="304"/>
    </row>
    <row r="131" spans="6:25">
      <c r="F131" s="304"/>
      <c r="H131" s="304"/>
      <c r="J131" s="304"/>
      <c r="L131" s="304"/>
      <c r="N131" s="304"/>
      <c r="Q131" s="304"/>
      <c r="S131" s="304"/>
      <c r="U131" s="304"/>
      <c r="W131" s="304"/>
      <c r="Y131" s="304"/>
    </row>
    <row r="132" spans="6:25">
      <c r="F132" s="304"/>
      <c r="H132" s="304"/>
      <c r="J132" s="304"/>
      <c r="L132" s="304"/>
      <c r="N132" s="304"/>
      <c r="Q132" s="304"/>
      <c r="S132" s="304"/>
      <c r="U132" s="304"/>
      <c r="W132" s="304"/>
      <c r="Y132" s="304"/>
    </row>
    <row r="133" spans="6:25">
      <c r="F133" s="304"/>
      <c r="H133" s="304"/>
      <c r="J133" s="304"/>
      <c r="L133" s="304"/>
      <c r="N133" s="304"/>
      <c r="Q133" s="304"/>
      <c r="S133" s="304"/>
      <c r="U133" s="304"/>
      <c r="W133" s="304"/>
      <c r="Y133" s="304"/>
    </row>
    <row r="134" spans="6:25">
      <c r="F134" s="304"/>
      <c r="H134" s="304"/>
      <c r="J134" s="304"/>
      <c r="L134" s="304"/>
      <c r="N134" s="304"/>
      <c r="Q134" s="304"/>
      <c r="S134" s="304"/>
      <c r="U134" s="304"/>
      <c r="W134" s="304"/>
      <c r="Y134" s="304"/>
    </row>
    <row r="135" spans="6:25">
      <c r="F135" s="304"/>
      <c r="H135" s="304"/>
      <c r="J135" s="304"/>
      <c r="L135" s="304"/>
      <c r="N135" s="304"/>
      <c r="Q135" s="304"/>
      <c r="S135" s="304"/>
      <c r="U135" s="304"/>
      <c r="W135" s="304"/>
      <c r="Y135" s="304"/>
    </row>
    <row r="136" spans="6:25">
      <c r="F136" s="304"/>
      <c r="H136" s="304"/>
      <c r="J136" s="304"/>
      <c r="L136" s="304"/>
      <c r="N136" s="304"/>
      <c r="Q136" s="304"/>
      <c r="S136" s="304"/>
      <c r="U136" s="304"/>
      <c r="W136" s="304"/>
      <c r="Y136" s="304"/>
    </row>
    <row r="137" spans="6:25">
      <c r="F137" s="304"/>
      <c r="H137" s="304"/>
      <c r="J137" s="304"/>
      <c r="L137" s="304"/>
      <c r="N137" s="304"/>
      <c r="Q137" s="304"/>
      <c r="S137" s="304"/>
      <c r="U137" s="304"/>
      <c r="W137" s="304"/>
      <c r="Y137" s="304"/>
    </row>
    <row r="138" spans="6:25">
      <c r="F138" s="304"/>
      <c r="H138" s="304"/>
      <c r="J138" s="304"/>
      <c r="L138" s="304"/>
      <c r="N138" s="304"/>
      <c r="Q138" s="304"/>
      <c r="S138" s="304"/>
      <c r="U138" s="304"/>
      <c r="W138" s="304"/>
      <c r="Y138" s="304"/>
    </row>
    <row r="139" spans="6:25">
      <c r="F139" s="304"/>
      <c r="H139" s="304"/>
      <c r="J139" s="304"/>
      <c r="L139" s="304"/>
      <c r="N139" s="304"/>
      <c r="Q139" s="304"/>
      <c r="S139" s="304"/>
      <c r="U139" s="304"/>
      <c r="W139" s="304"/>
      <c r="Y139" s="304"/>
    </row>
    <row r="140" spans="6:25">
      <c r="F140" s="304"/>
      <c r="H140" s="304"/>
      <c r="J140" s="304"/>
      <c r="L140" s="304"/>
      <c r="N140" s="304"/>
      <c r="Q140" s="304"/>
      <c r="S140" s="304"/>
      <c r="U140" s="304"/>
      <c r="W140" s="304"/>
      <c r="Y140" s="304"/>
    </row>
    <row r="141" spans="6:25">
      <c r="F141" s="304"/>
      <c r="H141" s="304"/>
      <c r="J141" s="304"/>
      <c r="L141" s="304"/>
      <c r="N141" s="304"/>
      <c r="Q141" s="304"/>
      <c r="S141" s="304"/>
      <c r="U141" s="304"/>
      <c r="W141" s="304"/>
      <c r="Y141" s="304"/>
    </row>
    <row r="142" spans="6:25">
      <c r="F142" s="304"/>
      <c r="H142" s="304"/>
      <c r="J142" s="304"/>
      <c r="L142" s="304"/>
      <c r="N142" s="304"/>
      <c r="Q142" s="304"/>
      <c r="S142" s="304"/>
      <c r="U142" s="304"/>
      <c r="W142" s="304"/>
      <c r="Y142" s="304"/>
    </row>
    <row r="143" spans="6:25">
      <c r="F143" s="304"/>
      <c r="H143" s="304"/>
      <c r="J143" s="304"/>
      <c r="L143" s="304"/>
      <c r="N143" s="304"/>
      <c r="Q143" s="304"/>
      <c r="S143" s="304"/>
      <c r="U143" s="304"/>
      <c r="W143" s="304"/>
      <c r="Y143" s="304"/>
    </row>
    <row r="144" spans="6:25">
      <c r="F144" s="304"/>
      <c r="H144" s="304"/>
      <c r="J144" s="304"/>
      <c r="L144" s="304"/>
      <c r="N144" s="304"/>
      <c r="Q144" s="304"/>
      <c r="S144" s="304"/>
      <c r="U144" s="304"/>
      <c r="W144" s="304"/>
      <c r="Y144" s="304"/>
    </row>
    <row r="145" spans="2:25">
      <c r="F145" s="304"/>
      <c r="H145" s="304"/>
      <c r="J145" s="304"/>
      <c r="L145" s="304"/>
      <c r="N145" s="304"/>
      <c r="Q145" s="304"/>
      <c r="S145" s="304"/>
      <c r="U145" s="304"/>
      <c r="W145" s="304"/>
      <c r="Y145" s="304"/>
    </row>
    <row r="146" spans="2:25">
      <c r="F146" s="304"/>
      <c r="H146" s="304"/>
      <c r="J146" s="304"/>
      <c r="L146" s="304"/>
      <c r="N146" s="304"/>
      <c r="Q146" s="304"/>
      <c r="S146" s="304"/>
      <c r="U146" s="304"/>
      <c r="W146" s="304"/>
      <c r="Y146" s="304"/>
    </row>
    <row r="147" spans="2:25">
      <c r="F147" s="304"/>
      <c r="H147" s="304"/>
      <c r="J147" s="304"/>
      <c r="L147" s="304"/>
      <c r="N147" s="304"/>
      <c r="Q147" s="304"/>
      <c r="S147" s="304"/>
      <c r="U147" s="304"/>
      <c r="W147" s="304"/>
      <c r="Y147" s="304"/>
    </row>
    <row r="148" spans="2:25">
      <c r="F148" s="304"/>
      <c r="H148" s="304"/>
      <c r="J148" s="304"/>
      <c r="L148" s="304"/>
      <c r="N148" s="304"/>
      <c r="Q148" s="304"/>
      <c r="S148" s="304"/>
      <c r="U148" s="304"/>
      <c r="W148" s="304"/>
      <c r="Y148" s="304"/>
    </row>
    <row r="149" spans="2:25">
      <c r="B149" s="39"/>
      <c r="C149" s="343"/>
      <c r="D149" s="426"/>
    </row>
    <row r="151" spans="2:25">
      <c r="E151" s="41"/>
      <c r="F151" s="136"/>
      <c r="G151" s="41"/>
      <c r="H151" s="136"/>
      <c r="I151" s="41"/>
      <c r="J151" s="136"/>
      <c r="K151" s="41"/>
      <c r="L151" s="136"/>
      <c r="M151" s="41"/>
      <c r="N151" s="136"/>
      <c r="P151" s="41"/>
      <c r="Q151" s="136"/>
      <c r="R151" s="41"/>
      <c r="S151" s="136"/>
      <c r="T151" s="41"/>
      <c r="U151" s="136"/>
      <c r="V151" s="41"/>
      <c r="W151" s="136"/>
      <c r="X151" s="41"/>
      <c r="Y151" s="136"/>
    </row>
    <row r="238" spans="5:25">
      <c r="E238" s="147"/>
      <c r="F238" s="138"/>
      <c r="H238" s="138"/>
      <c r="J238" s="138"/>
      <c r="L238" s="138"/>
      <c r="N238" s="138"/>
      <c r="Q238" s="138"/>
      <c r="S238" s="138"/>
      <c r="U238" s="138"/>
      <c r="W238" s="138"/>
      <c r="Y238" s="138"/>
    </row>
  </sheetData>
  <sheetProtection algorithmName="SHA-512" hashValue="HR7Pu/vk5TQGjehQ5VPqIr3zWQw7itrjqTwS8s80knEIQ1hEyXcbqLRZAy+douCDJDD/yj851YLACAKnQ/ir9g==" saltValue="1lkWnhPEJJ93dd1Qe39Hdw==" spinCount="100000" sheet="1" formatCells="0" formatColumns="0" formatRows="0" insertColumns="0" insertRows="0" insertHyperlinks="0" deleteColumns="0" deleteRows="0" sort="0" autoFilter="0" pivotTables="0"/>
  <mergeCells count="52">
    <mergeCell ref="C119:D119"/>
    <mergeCell ref="C122:D122"/>
    <mergeCell ref="C126:D126"/>
    <mergeCell ref="B68:D69"/>
    <mergeCell ref="B82:D82"/>
    <mergeCell ref="B88:D89"/>
    <mergeCell ref="B92:D93"/>
    <mergeCell ref="C115:D115"/>
    <mergeCell ref="B113:D113"/>
    <mergeCell ref="C99:D99"/>
    <mergeCell ref="B106:D106"/>
    <mergeCell ref="B107:D107"/>
    <mergeCell ref="B112:D112"/>
    <mergeCell ref="B124:D124"/>
    <mergeCell ref="C6:D6"/>
    <mergeCell ref="B100:D100"/>
    <mergeCell ref="B104:D104"/>
    <mergeCell ref="T4:U4"/>
    <mergeCell ref="T5:U5"/>
    <mergeCell ref="B4:B6"/>
    <mergeCell ref="C4:D4"/>
    <mergeCell ref="C5:D5"/>
    <mergeCell ref="M4:N4"/>
    <mergeCell ref="G5:H5"/>
    <mergeCell ref="I5:J5"/>
    <mergeCell ref="K5:L5"/>
    <mergeCell ref="M5:N5"/>
    <mergeCell ref="K4:L4"/>
    <mergeCell ref="I4:J4"/>
    <mergeCell ref="B34:D34"/>
    <mergeCell ref="V4:W4"/>
    <mergeCell ref="V5:W5"/>
    <mergeCell ref="X4:Y4"/>
    <mergeCell ref="X5:Y5"/>
    <mergeCell ref="C2:N2"/>
    <mergeCell ref="E4:F4"/>
    <mergeCell ref="P4:Q4"/>
    <mergeCell ref="P5:Q5"/>
    <mergeCell ref="R4:S4"/>
    <mergeCell ref="R5:S5"/>
    <mergeCell ref="E5:F5"/>
    <mergeCell ref="P2:Y2"/>
    <mergeCell ref="G4:H4"/>
    <mergeCell ref="B30:D30"/>
    <mergeCell ref="B25:D25"/>
    <mergeCell ref="B18:D18"/>
    <mergeCell ref="B62:D62"/>
    <mergeCell ref="B49:D49"/>
    <mergeCell ref="B42:D42"/>
    <mergeCell ref="B41:D41"/>
    <mergeCell ref="B36:D36"/>
    <mergeCell ref="B23:D23"/>
  </mergeCells>
  <phoneticPr fontId="0" type="noConversion"/>
  <conditionalFormatting sqref="G103:J103 G87:J87 G91:J91 G71:J71 G73:J73 G75:J75 G77:J77 G79:J81 G51:J51 G57:J61 G53:J53 G55:J55 P91:Q91 P103:Q103 P71:Q71 P73:Q73 P75:Q75 P77:Q77 P79:Q81 P87:Q87 P51:Q51 P53:Q53 P55:Q55 P57:Q61 M55:N55 M53:N53 M57:N61 M51:N51 M79:N81 M77:N77 M75:N75 M73:N73 M71:N71 M91:N91 M87:N87 M103:N103 T57:U61 T55:U55 T53:U53 T51:U51 T87:U87 T79:U81 T77:U77 T75:U75 T73:U73 T71:U71 T103:U103 T91:U91 X91:Y91 X103:Y103 X71:Y71 X73:Y73 X75:Y75 X77:Y77 X79:Y81 X87:Y87 X51:Y51 X53:Y53 X55:Y55 X57:Y61">
    <cfRule type="cellIs" dxfId="685" priority="132" stopIfTrue="1" operator="equal">
      <formula>0</formula>
    </cfRule>
  </conditionalFormatting>
  <conditionalFormatting sqref="G17:H17 P17:Q17 M17:N17 T17:U17 X17:Y17">
    <cfRule type="cellIs" dxfId="684" priority="135" stopIfTrue="1" operator="lessThan">
      <formula>0</formula>
    </cfRule>
  </conditionalFormatting>
  <conditionalFormatting sqref="N8 Q8 H8 U8 Y8">
    <cfRule type="cellIs" dxfId="683" priority="144" stopIfTrue="1" operator="lessThan">
      <formula>0</formula>
    </cfRule>
  </conditionalFormatting>
  <conditionalFormatting sqref="P69:Q69 P89:Q89 T89:U89 T69:U69 X69 X89">
    <cfRule type="cellIs" dxfId="682" priority="70" operator="equal">
      <formula>0</formula>
    </cfRule>
  </conditionalFormatting>
  <conditionalFormatting sqref="P93:Q93 T93:U93 X93">
    <cfRule type="cellIs" dxfId="681" priority="69" operator="equal">
      <formula>0</formula>
    </cfRule>
  </conditionalFormatting>
  <conditionalFormatting sqref="G113 I113 M113">
    <cfRule type="cellIs" dxfId="680" priority="65" stopIfTrue="1" operator="lessThan">
      <formula>0</formula>
    </cfRule>
  </conditionalFormatting>
  <conditionalFormatting sqref="H113">
    <cfRule type="expression" dxfId="679" priority="63">
      <formula>G113&lt;0</formula>
    </cfRule>
  </conditionalFormatting>
  <conditionalFormatting sqref="N113">
    <cfRule type="expression" dxfId="678" priority="62">
      <formula>M113&lt;0</formula>
    </cfRule>
  </conditionalFormatting>
  <conditionalFormatting sqref="J113">
    <cfRule type="expression" dxfId="677" priority="61">
      <formula>I113&lt;0</formula>
    </cfRule>
  </conditionalFormatting>
  <conditionalFormatting sqref="P113 T113 X113">
    <cfRule type="cellIs" dxfId="676" priority="57" stopIfTrue="1" operator="lessThan">
      <formula>0</formula>
    </cfRule>
  </conditionalFormatting>
  <conditionalFormatting sqref="Q113">
    <cfRule type="expression" dxfId="675" priority="56">
      <formula>P113&lt;0</formula>
    </cfRule>
  </conditionalFormatting>
  <conditionalFormatting sqref="Y113">
    <cfRule type="expression" dxfId="674" priority="54">
      <formula>X113&lt;0</formula>
    </cfRule>
  </conditionalFormatting>
  <conditionalFormatting sqref="U113">
    <cfRule type="expression" dxfId="673" priority="53">
      <formula>T113&lt;0</formula>
    </cfRule>
  </conditionalFormatting>
  <conditionalFormatting sqref="G8">
    <cfRule type="cellIs" dxfId="672" priority="49" stopIfTrue="1" operator="lessThan">
      <formula>0</formula>
    </cfRule>
    <cfRule type="cellIs" dxfId="671" priority="50" stopIfTrue="1" operator="lessThan">
      <formula>G7</formula>
    </cfRule>
  </conditionalFormatting>
  <conditionalFormatting sqref="M8">
    <cfRule type="cellIs" dxfId="670" priority="43" stopIfTrue="1" operator="lessThan">
      <formula>0</formula>
    </cfRule>
    <cfRule type="cellIs" dxfId="669" priority="44" stopIfTrue="1" operator="lessThan">
      <formula>M7</formula>
    </cfRule>
  </conditionalFormatting>
  <conditionalFormatting sqref="P8">
    <cfRule type="cellIs" dxfId="668" priority="41" stopIfTrue="1" operator="lessThan">
      <formula>0</formula>
    </cfRule>
    <cfRule type="cellIs" dxfId="667" priority="42" stopIfTrue="1" operator="lessThan">
      <formula>P7</formula>
    </cfRule>
  </conditionalFormatting>
  <conditionalFormatting sqref="T8">
    <cfRule type="cellIs" dxfId="666" priority="37" stopIfTrue="1" operator="lessThan">
      <formula>0</formula>
    </cfRule>
    <cfRule type="cellIs" dxfId="665" priority="38" stopIfTrue="1" operator="lessThan">
      <formula>T7</formula>
    </cfRule>
  </conditionalFormatting>
  <conditionalFormatting sqref="X8">
    <cfRule type="cellIs" dxfId="664" priority="33" stopIfTrue="1" operator="lessThan">
      <formula>0</formula>
    </cfRule>
    <cfRule type="cellIs" dxfId="663" priority="34" stopIfTrue="1" operator="lessThan">
      <formula>X7</formula>
    </cfRule>
  </conditionalFormatting>
  <conditionalFormatting sqref="K103:L103 K87:L87 K91:L91 K71:L71 K73:L73 K75:L75 K77:L77 K79:L81 K51:L51 K57:L61 K53:L53 K55:L55">
    <cfRule type="cellIs" dxfId="662" priority="30" stopIfTrue="1" operator="equal">
      <formula>0</formula>
    </cfRule>
  </conditionalFormatting>
  <conditionalFormatting sqref="K17:L17">
    <cfRule type="cellIs" dxfId="661" priority="31" stopIfTrue="1" operator="lessThan">
      <formula>0</formula>
    </cfRule>
  </conditionalFormatting>
  <conditionalFormatting sqref="L8">
    <cfRule type="cellIs" dxfId="660" priority="32" stopIfTrue="1" operator="lessThan">
      <formula>0</formula>
    </cfRule>
  </conditionalFormatting>
  <conditionalFormatting sqref="K113">
    <cfRule type="cellIs" dxfId="659" priority="29" stopIfTrue="1" operator="lessThan">
      <formula>0</formula>
    </cfRule>
  </conditionalFormatting>
  <conditionalFormatting sqref="L113">
    <cfRule type="expression" dxfId="658" priority="28">
      <formula>K113&lt;0</formula>
    </cfRule>
  </conditionalFormatting>
  <conditionalFormatting sqref="K8">
    <cfRule type="cellIs" dxfId="657" priority="26" stopIfTrue="1" operator="lessThan">
      <formula>0</formula>
    </cfRule>
    <cfRule type="cellIs" dxfId="656" priority="27" stopIfTrue="1" operator="lessThan">
      <formula>K7</formula>
    </cfRule>
  </conditionalFormatting>
  <conditionalFormatting sqref="E103:F103 E87:F87 E91:F91 E71:F71 E73:F73 E75:F75 E77:F77 E79:F81 E51:F51 E57:F61 E53:F53 E55:F55">
    <cfRule type="cellIs" dxfId="655" priority="23" stopIfTrue="1" operator="equal">
      <formula>0</formula>
    </cfRule>
  </conditionalFormatting>
  <conditionalFormatting sqref="E17:F17">
    <cfRule type="cellIs" dxfId="654" priority="24" stopIfTrue="1" operator="lessThan">
      <formula>0</formula>
    </cfRule>
  </conditionalFormatting>
  <conditionalFormatting sqref="F8">
    <cfRule type="cellIs" dxfId="653" priority="25" stopIfTrue="1" operator="lessThan">
      <formula>0</formula>
    </cfRule>
  </conditionalFormatting>
  <conditionalFormatting sqref="E113">
    <cfRule type="cellIs" dxfId="652" priority="22" stopIfTrue="1" operator="lessThan">
      <formula>0</formula>
    </cfRule>
  </conditionalFormatting>
  <conditionalFormatting sqref="F113">
    <cfRule type="expression" dxfId="651" priority="21">
      <formula>E113&lt;0</formula>
    </cfRule>
  </conditionalFormatting>
  <conditionalFormatting sqref="E8">
    <cfRule type="cellIs" dxfId="650" priority="19" stopIfTrue="1" operator="lessThan">
      <formula>0</formula>
    </cfRule>
    <cfRule type="cellIs" dxfId="649" priority="20" stopIfTrue="1" operator="lessThan">
      <formula>E7</formula>
    </cfRule>
  </conditionalFormatting>
  <conditionalFormatting sqref="R103:S103 R87:S87 R91:S91 R71:S71 R73:S73 R75:S75 R77:S77 R79:S81 R51:S51 R57:S61 R53:S53 R55:S55">
    <cfRule type="cellIs" dxfId="648" priority="16" stopIfTrue="1" operator="equal">
      <formula>0</formula>
    </cfRule>
  </conditionalFormatting>
  <conditionalFormatting sqref="R17:S17">
    <cfRule type="cellIs" dxfId="647" priority="17" stopIfTrue="1" operator="lessThan">
      <formula>0</formula>
    </cfRule>
  </conditionalFormatting>
  <conditionalFormatting sqref="S8">
    <cfRule type="cellIs" dxfId="646" priority="18" stopIfTrue="1" operator="lessThan">
      <formula>0</formula>
    </cfRule>
  </conditionalFormatting>
  <conditionalFormatting sqref="R113">
    <cfRule type="cellIs" dxfId="645" priority="15" stopIfTrue="1" operator="lessThan">
      <formula>0</formula>
    </cfRule>
  </conditionalFormatting>
  <conditionalFormatting sqref="S113">
    <cfRule type="expression" dxfId="644" priority="14">
      <formula>R113&lt;0</formula>
    </cfRule>
  </conditionalFormatting>
  <conditionalFormatting sqref="R8">
    <cfRule type="cellIs" dxfId="643" priority="12" stopIfTrue="1" operator="lessThan">
      <formula>0</formula>
    </cfRule>
    <cfRule type="cellIs" dxfId="642" priority="13" stopIfTrue="1" operator="lessThan">
      <formula>R7</formula>
    </cfRule>
  </conditionalFormatting>
  <conditionalFormatting sqref="V103:W103 V87:W87 V91:W91 V71:W71 V73:W73 V75:W75 V77:W77 V79:W81 V51:W51 V57:W61 V53:W53 V55:W55">
    <cfRule type="cellIs" dxfId="641" priority="9" stopIfTrue="1" operator="equal">
      <formula>0</formula>
    </cfRule>
  </conditionalFormatting>
  <conditionalFormatting sqref="V17:W17">
    <cfRule type="cellIs" dxfId="640" priority="10" stopIfTrue="1" operator="lessThan">
      <formula>0</formula>
    </cfRule>
  </conditionalFormatting>
  <conditionalFormatting sqref="W8">
    <cfRule type="cellIs" dxfId="639" priority="11" stopIfTrue="1" operator="lessThan">
      <formula>0</formula>
    </cfRule>
  </conditionalFormatting>
  <conditionalFormatting sqref="V113">
    <cfRule type="cellIs" dxfId="638" priority="8" stopIfTrue="1" operator="lessThan">
      <formula>0</formula>
    </cfRule>
  </conditionalFormatting>
  <conditionalFormatting sqref="W113">
    <cfRule type="expression" dxfId="637" priority="7">
      <formula>V113&lt;0</formula>
    </cfRule>
  </conditionalFormatting>
  <conditionalFormatting sqref="V8">
    <cfRule type="cellIs" dxfId="636" priority="5" stopIfTrue="1" operator="lessThan">
      <formula>0</formula>
    </cfRule>
    <cfRule type="cellIs" dxfId="635" priority="6" stopIfTrue="1" operator="lessThan">
      <formula>V7</formula>
    </cfRule>
  </conditionalFormatting>
  <conditionalFormatting sqref="I17:J17">
    <cfRule type="cellIs" dxfId="634" priority="3" stopIfTrue="1" operator="lessThan">
      <formula>0</formula>
    </cfRule>
  </conditionalFormatting>
  <conditionalFormatting sqref="J8">
    <cfRule type="cellIs" dxfId="633" priority="4" stopIfTrue="1" operator="lessThan">
      <formula>0</formula>
    </cfRule>
  </conditionalFormatting>
  <conditionalFormatting sqref="I8">
    <cfRule type="cellIs" dxfId="632" priority="1" stopIfTrue="1" operator="lessThan">
      <formula>0</formula>
    </cfRule>
    <cfRule type="cellIs" dxfId="631" priority="2" stopIfTrue="1" operator="lessThan">
      <formula>I7</formula>
    </cfRule>
  </conditionalFormatting>
  <printOptions horizontalCentered="1" gridLinesSet="0"/>
  <pageMargins left="0" right="0" top="0" bottom="0" header="0" footer="0"/>
  <pageSetup paperSize="9" scale="63" fitToHeight="2"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146"/>
  <sheetViews>
    <sheetView showGridLines="0" showRowColHeaders="0" zoomScaleNormal="100" workbookViewId="0">
      <pane ySplit="5" topLeftCell="A109" activePane="bottomLeft" state="frozenSplit"/>
      <selection pane="bottomLeft" activeCell="Q124" sqref="Q124"/>
    </sheetView>
  </sheetViews>
  <sheetFormatPr baseColWidth="10" defaultColWidth="12" defaultRowHeight="13.8"/>
  <cols>
    <col min="1" max="1" width="1.77734375" style="4" customWidth="1"/>
    <col min="2" max="2" width="50" style="4" customWidth="1"/>
    <col min="3" max="3" width="4.77734375" style="4" customWidth="1"/>
    <col min="4" max="5" width="9.77734375" style="4" customWidth="1"/>
    <col min="6" max="6" width="12.77734375" style="4" customWidth="1"/>
    <col min="7" max="7" width="6.77734375" style="4" customWidth="1"/>
    <col min="8" max="8" width="12.77734375" style="4" customWidth="1"/>
    <col min="9" max="9" width="6.77734375" style="4" customWidth="1"/>
    <col min="10" max="10" width="12.77734375" style="4" customWidth="1"/>
    <col min="11" max="11" width="6.77734375" style="4" customWidth="1"/>
    <col min="12" max="12" width="12.77734375" style="4" customWidth="1"/>
    <col min="13" max="13" width="6.77734375" style="4" customWidth="1"/>
    <col min="14" max="14" width="12.77734375" style="4" customWidth="1"/>
    <col min="15" max="15" width="6.77734375" style="4" customWidth="1"/>
    <col min="16" max="16384" width="12" style="4"/>
  </cols>
  <sheetData>
    <row r="1" spans="2:18" ht="6" customHeight="1"/>
    <row r="2" spans="2:18" s="237" customFormat="1" ht="21.9" customHeight="1">
      <c r="B2" s="2143" t="str">
        <f>IF(ISBLANK(societe)," ",societe)</f>
        <v xml:space="preserve"> </v>
      </c>
      <c r="C2" s="2144"/>
      <c r="D2" s="2093" t="s">
        <v>702</v>
      </c>
      <c r="E2" s="2093"/>
      <c r="F2" s="2093"/>
      <c r="G2" s="2093"/>
      <c r="H2" s="2093"/>
      <c r="I2" s="2093"/>
      <c r="J2" s="2093"/>
      <c r="K2" s="2093"/>
      <c r="L2" s="2093"/>
      <c r="M2" s="2093"/>
      <c r="N2" s="2093"/>
      <c r="O2" s="2094"/>
    </row>
    <row r="4" spans="2:18" ht="21.9" customHeight="1">
      <c r="F4" s="2171" t="str">
        <f>IF(ISBLANK(d_4)," ",d_4)</f>
        <v xml:space="preserve"> </v>
      </c>
      <c r="G4" s="2172"/>
      <c r="H4" s="2226" t="str">
        <f>IF(ISBLANK(d_3)," ",d_3)</f>
        <v xml:space="preserve"> </v>
      </c>
      <c r="I4" s="2172"/>
      <c r="J4" s="2226" t="str">
        <f>IF(ISBLANK(d_2)," ",d_2)</f>
        <v xml:space="preserve"> </v>
      </c>
      <c r="K4" s="2172"/>
      <c r="L4" s="2226" t="str">
        <f>IF(ISBLANK(d_1)," ",d_1)</f>
        <v xml:space="preserve"> </v>
      </c>
      <c r="M4" s="2172"/>
      <c r="N4" s="2226" t="str">
        <f>IF(ISBLANK(d)," ",d)</f>
        <v xml:space="preserve"> </v>
      </c>
      <c r="O4" s="2227"/>
    </row>
    <row r="5" spans="2:18" s="22" customFormat="1" ht="6" customHeight="1">
      <c r="B5" s="29"/>
      <c r="C5" s="29"/>
      <c r="D5" s="30"/>
      <c r="E5" s="31"/>
      <c r="F5" s="5"/>
      <c r="G5" s="5"/>
      <c r="H5" s="5"/>
      <c r="I5" s="5"/>
      <c r="J5" s="5"/>
      <c r="K5" s="5"/>
      <c r="L5" s="5"/>
      <c r="M5" s="5"/>
      <c r="N5" s="5"/>
      <c r="O5" s="6"/>
      <c r="P5" s="6"/>
      <c r="Q5" s="6"/>
      <c r="R5" s="6"/>
    </row>
    <row r="6" spans="2:18" ht="20.100000000000001" customHeight="1">
      <c r="B6" s="2165" t="s">
        <v>252</v>
      </c>
      <c r="C6" s="2165"/>
      <c r="D6" s="2166"/>
      <c r="E6" s="2166"/>
    </row>
    <row r="7" spans="2:18" ht="20.100000000000001" customHeight="1">
      <c r="B7" s="2145" t="s">
        <v>250</v>
      </c>
      <c r="C7" s="2146"/>
      <c r="D7" s="1375">
        <v>2054</v>
      </c>
      <c r="E7" s="1377" t="s">
        <v>246</v>
      </c>
      <c r="F7" s="514"/>
      <c r="G7" s="1788"/>
      <c r="H7" s="514"/>
      <c r="I7" s="1788"/>
      <c r="J7" s="514"/>
      <c r="K7" s="1788"/>
      <c r="L7" s="514"/>
      <c r="M7" s="1788"/>
      <c r="N7" s="514"/>
      <c r="O7" s="1795"/>
    </row>
    <row r="8" spans="2:18" ht="20.100000000000001" customHeight="1">
      <c r="B8" s="2147"/>
      <c r="C8" s="1971"/>
      <c r="D8" s="1376">
        <v>2054</v>
      </c>
      <c r="E8" s="1378" t="s">
        <v>251</v>
      </c>
      <c r="F8" s="463"/>
      <c r="G8" s="1789"/>
      <c r="H8" s="463"/>
      <c r="I8" s="1789"/>
      <c r="J8" s="463"/>
      <c r="K8" s="1789"/>
      <c r="L8" s="463"/>
      <c r="M8" s="1789"/>
      <c r="N8" s="463"/>
      <c r="O8" s="1796"/>
    </row>
    <row r="9" spans="2:18" ht="20.100000000000001" customHeight="1">
      <c r="B9" s="2148"/>
      <c r="C9" s="2149"/>
      <c r="D9" s="1040"/>
      <c r="E9" s="1041" t="s">
        <v>253</v>
      </c>
      <c r="F9" s="676">
        <f>F7-F8</f>
        <v>0</v>
      </c>
      <c r="G9" s="1790"/>
      <c r="H9" s="676">
        <f>H7-H8</f>
        <v>0</v>
      </c>
      <c r="I9" s="1790"/>
      <c r="J9" s="676">
        <f>J7-J8</f>
        <v>0</v>
      </c>
      <c r="K9" s="1790"/>
      <c r="L9" s="676">
        <f>L7-L8</f>
        <v>0</v>
      </c>
      <c r="M9" s="1790"/>
      <c r="N9" s="676">
        <f>N7-N8</f>
        <v>0</v>
      </c>
      <c r="O9" s="1797"/>
    </row>
    <row r="10" spans="2:18" ht="3" customHeight="1">
      <c r="B10" s="40"/>
      <c r="C10" s="40"/>
      <c r="D10" s="9"/>
      <c r="E10" s="419"/>
      <c r="F10" s="96"/>
      <c r="G10" s="96"/>
      <c r="H10" s="96"/>
      <c r="I10" s="96"/>
      <c r="J10" s="96"/>
      <c r="K10" s="96"/>
      <c r="L10" s="96"/>
      <c r="M10" s="96"/>
      <c r="N10" s="96"/>
      <c r="O10" s="96"/>
    </row>
    <row r="11" spans="2:18" ht="20.100000000000001" customHeight="1">
      <c r="B11" s="40"/>
      <c r="C11" s="40"/>
      <c r="D11" s="9"/>
      <c r="E11" s="420" t="s">
        <v>589</v>
      </c>
      <c r="F11" s="1213">
        <f>IF(ISERROR(F9/do_1),0,F9/do_1)</f>
        <v>0</v>
      </c>
      <c r="G11" s="1791"/>
      <c r="H11" s="1787">
        <f>IF(ISERROR(H9/do_2),0,H9/do_2)</f>
        <v>0</v>
      </c>
      <c r="I11" s="1791"/>
      <c r="J11" s="1787">
        <f>IF(ISERROR(J9/do_3),0,J9/do_3)</f>
        <v>0</v>
      </c>
      <c r="K11" s="1791"/>
      <c r="L11" s="1787">
        <f>IF(ISERROR(L9/do_4),0,L9/do_4)</f>
        <v>0</v>
      </c>
      <c r="M11" s="1791"/>
      <c r="N11" s="1787">
        <f>IF(ISERROR(N9/do_5),0,N9/do_5)</f>
        <v>0</v>
      </c>
      <c r="O11" s="1798"/>
    </row>
    <row r="12" spans="2:18" ht="6" customHeight="1">
      <c r="B12" s="40"/>
      <c r="C12" s="40"/>
      <c r="D12" s="9"/>
      <c r="E12" s="9"/>
      <c r="F12" s="14"/>
      <c r="G12" s="14"/>
      <c r="H12" s="14"/>
      <c r="I12" s="14"/>
      <c r="J12" s="14"/>
      <c r="K12" s="14"/>
      <c r="L12" s="14"/>
      <c r="M12" s="14"/>
      <c r="N12" s="14"/>
      <c r="O12" s="14"/>
    </row>
    <row r="13" spans="2:18" ht="20.100000000000001" customHeight="1">
      <c r="B13" s="2145" t="s">
        <v>254</v>
      </c>
      <c r="C13" s="2146"/>
      <c r="D13" s="1375">
        <v>2054</v>
      </c>
      <c r="E13" s="1377" t="s">
        <v>247</v>
      </c>
      <c r="F13" s="514"/>
      <c r="G13" s="1788"/>
      <c r="H13" s="514"/>
      <c r="I13" s="1788"/>
      <c r="J13" s="514"/>
      <c r="K13" s="1788"/>
      <c r="L13" s="514"/>
      <c r="M13" s="1788"/>
      <c r="N13" s="514"/>
      <c r="O13" s="1795"/>
    </row>
    <row r="14" spans="2:18" ht="20.100000000000001" customHeight="1">
      <c r="B14" s="2147"/>
      <c r="C14" s="1971"/>
      <c r="D14" s="1376">
        <v>2054</v>
      </c>
      <c r="E14" s="1378" t="s">
        <v>257</v>
      </c>
      <c r="F14" s="463"/>
      <c r="G14" s="1789"/>
      <c r="H14" s="463"/>
      <c r="I14" s="1789"/>
      <c r="J14" s="463"/>
      <c r="K14" s="1789"/>
      <c r="L14" s="463"/>
      <c r="M14" s="1789"/>
      <c r="N14" s="463"/>
      <c r="O14" s="1796"/>
    </row>
    <row r="15" spans="2:18" ht="20.100000000000001" customHeight="1">
      <c r="B15" s="2148"/>
      <c r="C15" s="2149"/>
      <c r="D15" s="1040"/>
      <c r="E15" s="1041" t="s">
        <v>253</v>
      </c>
      <c r="F15" s="676">
        <f>F13-F14</f>
        <v>0</v>
      </c>
      <c r="G15" s="1790"/>
      <c r="H15" s="676">
        <f>H13-H14</f>
        <v>0</v>
      </c>
      <c r="I15" s="1790"/>
      <c r="J15" s="676">
        <f>J13-J14</f>
        <v>0</v>
      </c>
      <c r="K15" s="1790"/>
      <c r="L15" s="676">
        <f>L13-L14</f>
        <v>0</v>
      </c>
      <c r="M15" s="1790"/>
      <c r="N15" s="676">
        <f>N13-N14</f>
        <v>0</v>
      </c>
      <c r="O15" s="1797"/>
    </row>
    <row r="16" spans="2:18" ht="3" customHeight="1">
      <c r="B16" s="40"/>
      <c r="C16" s="40"/>
      <c r="D16" s="9"/>
      <c r="E16" s="419"/>
      <c r="F16" s="96"/>
      <c r="G16" s="96"/>
      <c r="H16" s="96"/>
      <c r="I16" s="96"/>
      <c r="J16" s="96"/>
      <c r="K16" s="96"/>
      <c r="L16" s="96"/>
      <c r="M16" s="96"/>
      <c r="N16" s="96"/>
      <c r="O16" s="96"/>
    </row>
    <row r="17" spans="2:15" ht="20.100000000000001" customHeight="1">
      <c r="B17" s="40"/>
      <c r="C17" s="40"/>
      <c r="D17" s="9"/>
      <c r="E17" s="420" t="s">
        <v>589</v>
      </c>
      <c r="F17" s="1213">
        <f>IF(ISERROR(F15/lw_1),0,F15/lw_1)</f>
        <v>0</v>
      </c>
      <c r="G17" s="1791"/>
      <c r="H17" s="1787">
        <f>IF(ISERROR(H15/lw_2),0,H15/lw_2)</f>
        <v>0</v>
      </c>
      <c r="I17" s="1791"/>
      <c r="J17" s="1787">
        <f>IF(ISERROR(J15/lw_3),0,J15/lw_3)</f>
        <v>0</v>
      </c>
      <c r="K17" s="1791"/>
      <c r="L17" s="1787">
        <f>IF(ISERROR(L15/lw_4),0,L15/lw_4)</f>
        <v>0</v>
      </c>
      <c r="M17" s="1791"/>
      <c r="N17" s="1787">
        <f>IF(ISERROR(N15/lw_5),0,N15/lw_5)</f>
        <v>0</v>
      </c>
      <c r="O17" s="1798"/>
    </row>
    <row r="18" spans="2:15" ht="6" customHeight="1">
      <c r="B18" s="40"/>
      <c r="C18" s="40"/>
      <c r="D18" s="9"/>
      <c r="E18" s="9"/>
      <c r="F18" s="14"/>
      <c r="G18" s="14"/>
      <c r="H18" s="14"/>
      <c r="I18" s="14"/>
      <c r="J18" s="14"/>
      <c r="K18" s="14"/>
      <c r="L18" s="14"/>
      <c r="M18" s="14"/>
      <c r="N18" s="14"/>
      <c r="O18" s="14"/>
    </row>
    <row r="19" spans="2:15" ht="20.100000000000001" customHeight="1">
      <c r="B19" s="2145" t="s">
        <v>255</v>
      </c>
      <c r="C19" s="2146"/>
      <c r="D19" s="1375">
        <v>2054</v>
      </c>
      <c r="E19" s="1377" t="s">
        <v>248</v>
      </c>
      <c r="F19" s="514"/>
      <c r="G19" s="1788"/>
      <c r="H19" s="514"/>
      <c r="I19" s="1788"/>
      <c r="J19" s="514"/>
      <c r="K19" s="1788"/>
      <c r="L19" s="514"/>
      <c r="M19" s="1788"/>
      <c r="N19" s="514"/>
      <c r="O19" s="1795"/>
    </row>
    <row r="20" spans="2:15" ht="20.100000000000001" customHeight="1">
      <c r="B20" s="2147"/>
      <c r="C20" s="1971"/>
      <c r="D20" s="1376">
        <v>2054</v>
      </c>
      <c r="E20" s="1378" t="s">
        <v>258</v>
      </c>
      <c r="F20" s="463"/>
      <c r="G20" s="1789"/>
      <c r="H20" s="463"/>
      <c r="I20" s="1789"/>
      <c r="J20" s="463"/>
      <c r="K20" s="1789"/>
      <c r="L20" s="463"/>
      <c r="M20" s="1789"/>
      <c r="N20" s="463"/>
      <c r="O20" s="1796"/>
    </row>
    <row r="21" spans="2:15" ht="20.100000000000001" customHeight="1">
      <c r="B21" s="2148"/>
      <c r="C21" s="2149"/>
      <c r="D21" s="1042"/>
      <c r="E21" s="1041" t="s">
        <v>253</v>
      </c>
      <c r="F21" s="676">
        <f>F19-F20</f>
        <v>0</v>
      </c>
      <c r="G21" s="1790"/>
      <c r="H21" s="676">
        <f>H19-H20</f>
        <v>0</v>
      </c>
      <c r="I21" s="1790"/>
      <c r="J21" s="676">
        <f>J19-J20</f>
        <v>0</v>
      </c>
      <c r="K21" s="1790"/>
      <c r="L21" s="676">
        <f>L19-L20</f>
        <v>0</v>
      </c>
      <c r="M21" s="1790"/>
      <c r="N21" s="676">
        <f>N19-N20</f>
        <v>0</v>
      </c>
      <c r="O21" s="1797"/>
    </row>
    <row r="22" spans="2:15" ht="3" customHeight="1">
      <c r="B22" s="40"/>
      <c r="C22" s="40"/>
      <c r="D22" s="9"/>
      <c r="E22" s="419"/>
      <c r="F22" s="96"/>
      <c r="G22" s="96"/>
      <c r="H22" s="96"/>
      <c r="I22" s="96"/>
      <c r="J22" s="96"/>
      <c r="K22" s="96"/>
      <c r="L22" s="96"/>
      <c r="M22" s="96"/>
      <c r="N22" s="96"/>
      <c r="O22" s="96"/>
    </row>
    <row r="23" spans="2:15" ht="20.100000000000001" customHeight="1">
      <c r="B23" s="40"/>
      <c r="C23" s="40"/>
      <c r="D23" s="9"/>
      <c r="E23" s="420" t="s">
        <v>589</v>
      </c>
      <c r="F23" s="1213">
        <f>IF(ISERROR(F21/nh_1),0,F21/nh_1)</f>
        <v>0</v>
      </c>
      <c r="G23" s="1791"/>
      <c r="H23" s="1787">
        <f>IF(ISERROR(H21/nh_2),0,H21/nh_2)</f>
        <v>0</v>
      </c>
      <c r="I23" s="1791"/>
      <c r="J23" s="1787">
        <f>IF(ISERROR(J21/nh_3),0,J21/nh_3)</f>
        <v>0</v>
      </c>
      <c r="K23" s="1791"/>
      <c r="L23" s="1787">
        <f>IF(ISERROR(L21/nh_4),0,L21/nh_4)</f>
        <v>0</v>
      </c>
      <c r="M23" s="1791"/>
      <c r="N23" s="1787">
        <f>IF(ISERROR(N21/nh_5),0,N21/nh_5)</f>
        <v>0</v>
      </c>
      <c r="O23" s="1798"/>
    </row>
    <row r="24" spans="2:15" ht="6" customHeight="1">
      <c r="B24" s="40"/>
      <c r="C24" s="40"/>
      <c r="D24" s="9"/>
      <c r="E24" s="421"/>
      <c r="F24" s="14"/>
      <c r="G24" s="14"/>
      <c r="H24" s="14"/>
      <c r="I24" s="14"/>
      <c r="J24" s="14"/>
      <c r="K24" s="14"/>
      <c r="L24" s="14"/>
      <c r="M24" s="14"/>
      <c r="N24" s="14"/>
      <c r="O24" s="14"/>
    </row>
    <row r="25" spans="2:15" s="254" customFormat="1" ht="20.100000000000001" customHeight="1">
      <c r="B25" s="40"/>
      <c r="C25" s="40"/>
      <c r="D25" s="9"/>
      <c r="E25" s="422" t="s">
        <v>588</v>
      </c>
      <c r="F25" s="1214" t="str">
        <f>IF(ISERROR((immo_1-immo_fi_1)/(do_1+lw_1+nh_1))," ",(immo_1-immo_fi_1)/(do_1+lw_1+nh_1))</f>
        <v xml:space="preserve"> </v>
      </c>
      <c r="G25" s="1791"/>
      <c r="H25" s="1215" t="str">
        <f>IF(ISERROR((immo_2-immo_fi_2)/(do_2+lw_2+nh_2))," ",(immo_2-immo_fi_2)/(do_2+lw_2+nh_2))</f>
        <v xml:space="preserve"> </v>
      </c>
      <c r="I25" s="1791"/>
      <c r="J25" s="1215" t="str">
        <f>IF(ISERROR((immo_3-immo_fi_3)/(do_3+lw_3+nh_3))," ",(immo_3-immo_fi_3)/(do_3+lw_3+nh_3))</f>
        <v xml:space="preserve"> </v>
      </c>
      <c r="K25" s="1791"/>
      <c r="L25" s="1215" t="str">
        <f>IF(ISERROR((immo_4-immo_fi_4)/(do_4+lw_4+nh_4))," ",(immo_4-immo_fi_4)/(do_4+lw_4+nh_4))</f>
        <v xml:space="preserve"> </v>
      </c>
      <c r="M25" s="1791"/>
      <c r="N25" s="1215" t="str">
        <f>IF(ISERROR((immo_5-immo_fi_5)/(do_5+lw_5+nh_5))," ",(immo_5-immo_fi_5)/(do_5+lw_5+nh_5))</f>
        <v xml:space="preserve"> </v>
      </c>
      <c r="O25" s="1798"/>
    </row>
    <row r="26" spans="2:15" ht="6" customHeight="1">
      <c r="B26" s="40"/>
      <c r="C26" s="40"/>
      <c r="D26" s="9"/>
      <c r="E26" s="9"/>
      <c r="F26" s="14"/>
      <c r="G26" s="14"/>
      <c r="H26" s="14"/>
      <c r="I26" s="14"/>
      <c r="J26" s="14"/>
      <c r="K26" s="14"/>
      <c r="L26" s="14"/>
      <c r="M26" s="14"/>
      <c r="N26" s="14"/>
      <c r="O26" s="14"/>
    </row>
    <row r="27" spans="2:15" ht="20.100000000000001" customHeight="1">
      <c r="B27" s="2145" t="s">
        <v>256</v>
      </c>
      <c r="C27" s="2146"/>
      <c r="D27" s="1375">
        <v>2054</v>
      </c>
      <c r="E27" s="1377" t="s">
        <v>249</v>
      </c>
      <c r="F27" s="514"/>
      <c r="G27" s="1788"/>
      <c r="H27" s="514"/>
      <c r="I27" s="1788"/>
      <c r="J27" s="514"/>
      <c r="K27" s="1788"/>
      <c r="L27" s="514"/>
      <c r="M27" s="1788"/>
      <c r="N27" s="514"/>
      <c r="O27" s="1795"/>
    </row>
    <row r="28" spans="2:15" ht="20.100000000000001" customHeight="1">
      <c r="B28" s="2147"/>
      <c r="C28" s="1971"/>
      <c r="D28" s="1376">
        <v>2054</v>
      </c>
      <c r="E28" s="1378" t="s">
        <v>259</v>
      </c>
      <c r="F28" s="463"/>
      <c r="G28" s="1792"/>
      <c r="H28" s="463"/>
      <c r="I28" s="1792"/>
      <c r="J28" s="463"/>
      <c r="K28" s="1792"/>
      <c r="L28" s="463"/>
      <c r="M28" s="1792"/>
      <c r="N28" s="463"/>
      <c r="O28" s="1799"/>
    </row>
    <row r="29" spans="2:15" ht="20.100000000000001" customHeight="1">
      <c r="B29" s="2148"/>
      <c r="C29" s="2149"/>
      <c r="D29" s="1040"/>
      <c r="E29" s="1041" t="s">
        <v>253</v>
      </c>
      <c r="F29" s="676">
        <f>F27-F28</f>
        <v>0</v>
      </c>
      <c r="G29" s="1793"/>
      <c r="H29" s="676">
        <f>H27-H28</f>
        <v>0</v>
      </c>
      <c r="I29" s="1793"/>
      <c r="J29" s="676">
        <f>J27-J28</f>
        <v>0</v>
      </c>
      <c r="K29" s="1793"/>
      <c r="L29" s="676">
        <f>L27-L28</f>
        <v>0</v>
      </c>
      <c r="M29" s="1793"/>
      <c r="N29" s="676">
        <f>N27-N28</f>
        <v>0</v>
      </c>
      <c r="O29" s="1800"/>
    </row>
    <row r="30" spans="2:15" ht="6" customHeight="1">
      <c r="B30" s="40"/>
      <c r="C30" s="40"/>
      <c r="D30" s="9"/>
      <c r="E30" s="9"/>
      <c r="F30" s="14"/>
      <c r="G30" s="14"/>
      <c r="H30" s="14"/>
      <c r="I30" s="14"/>
      <c r="J30" s="14"/>
      <c r="K30" s="14"/>
      <c r="L30" s="14"/>
      <c r="M30" s="14"/>
      <c r="N30" s="14"/>
    </row>
    <row r="31" spans="2:15" ht="21.9" customHeight="1">
      <c r="B31" s="2157" t="s">
        <v>345</v>
      </c>
      <c r="C31" s="2158"/>
      <c r="D31" s="2159"/>
      <c r="E31" s="2160"/>
      <c r="F31" s="474">
        <f>F9+F15+F21+F29</f>
        <v>0</v>
      </c>
      <c r="G31" s="1794"/>
      <c r="H31" s="474">
        <f>H9+H15+H21+H29</f>
        <v>0</v>
      </c>
      <c r="I31" s="1794"/>
      <c r="J31" s="474">
        <f>J9+J15+J21+J29</f>
        <v>0</v>
      </c>
      <c r="K31" s="1794"/>
      <c r="L31" s="474">
        <f>L9+L15+L21+L29</f>
        <v>0</v>
      </c>
      <c r="M31" s="1794"/>
      <c r="N31" s="474">
        <f>N9+N15+N21+N29</f>
        <v>0</v>
      </c>
      <c r="O31" s="1801"/>
    </row>
    <row r="32" spans="2:15" ht="15" customHeight="1">
      <c r="F32" s="316"/>
      <c r="G32" s="316"/>
    </row>
    <row r="33" spans="2:15" ht="20.100000000000001" customHeight="1">
      <c r="B33" s="2165" t="s">
        <v>649</v>
      </c>
      <c r="C33" s="2165"/>
      <c r="D33" s="2166"/>
      <c r="E33" s="2166"/>
      <c r="N33" s="21"/>
    </row>
    <row r="34" spans="2:15" ht="20.100000000000001" customHeight="1">
      <c r="B34" s="2154" t="s">
        <v>297</v>
      </c>
      <c r="C34" s="2146"/>
      <c r="D34" s="1043" t="s">
        <v>264</v>
      </c>
      <c r="E34" s="1044" t="s">
        <v>458</v>
      </c>
      <c r="F34" s="514"/>
      <c r="G34" s="2150"/>
      <c r="H34" s="514"/>
      <c r="I34" s="2150"/>
      <c r="J34" s="514"/>
      <c r="K34" s="2150"/>
      <c r="L34" s="514"/>
      <c r="M34" s="2150"/>
      <c r="N34" s="514"/>
      <c r="O34" s="2260"/>
    </row>
    <row r="35" spans="2:15" ht="20.100000000000001" customHeight="1">
      <c r="B35" s="2147" t="s">
        <v>576</v>
      </c>
      <c r="C35" s="1971"/>
      <c r="D35" s="1045">
        <v>2054</v>
      </c>
      <c r="E35" s="1046" t="s">
        <v>266</v>
      </c>
      <c r="F35" s="41"/>
      <c r="G35" s="2151"/>
      <c r="H35" s="41"/>
      <c r="I35" s="2151"/>
      <c r="J35" s="41"/>
      <c r="K35" s="2151"/>
      <c r="L35" s="41"/>
      <c r="M35" s="2151"/>
      <c r="N35" s="41"/>
      <c r="O35" s="2261"/>
    </row>
    <row r="36" spans="2:15" ht="20.100000000000001" customHeight="1">
      <c r="B36" s="2147" t="s">
        <v>265</v>
      </c>
      <c r="C36" s="1971"/>
      <c r="D36" s="1045">
        <v>2054</v>
      </c>
      <c r="E36" s="1046" t="s">
        <v>267</v>
      </c>
      <c r="F36" s="41"/>
      <c r="G36" s="2151"/>
      <c r="H36" s="41"/>
      <c r="I36" s="2151"/>
      <c r="J36" s="41"/>
      <c r="K36" s="2151"/>
      <c r="L36" s="41"/>
      <c r="M36" s="2151"/>
      <c r="N36" s="41"/>
      <c r="O36" s="2261"/>
    </row>
    <row r="37" spans="2:15" ht="20.100000000000001" customHeight="1">
      <c r="B37" s="2147" t="s">
        <v>580</v>
      </c>
      <c r="C37" s="1971"/>
      <c r="D37" s="1045">
        <v>2054</v>
      </c>
      <c r="E37" s="1046" t="s">
        <v>268</v>
      </c>
      <c r="F37" s="41"/>
      <c r="G37" s="2151"/>
      <c r="H37" s="41"/>
      <c r="I37" s="2151"/>
      <c r="J37" s="41"/>
      <c r="K37" s="2151"/>
      <c r="L37" s="41"/>
      <c r="M37" s="2151"/>
      <c r="N37" s="41"/>
      <c r="O37" s="2261"/>
    </row>
    <row r="38" spans="2:15" ht="20.100000000000001" customHeight="1">
      <c r="B38" s="2161" t="s">
        <v>230</v>
      </c>
      <c r="C38" s="2162"/>
      <c r="D38" s="2163"/>
      <c r="E38" s="2164"/>
      <c r="F38" s="674">
        <f>SUM(F34:F37)</f>
        <v>0</v>
      </c>
      <c r="G38" s="1802"/>
      <c r="H38" s="674">
        <f>SUM(H34:H37)</f>
        <v>0</v>
      </c>
      <c r="I38" s="1802"/>
      <c r="J38" s="674">
        <f>SUM(J34:J37)</f>
        <v>0</v>
      </c>
      <c r="K38" s="1802"/>
      <c r="L38" s="674">
        <f>SUM(L34:L37)</f>
        <v>0</v>
      </c>
      <c r="M38" s="1802"/>
      <c r="N38" s="674">
        <f>SUM(N34:N37)</f>
        <v>0</v>
      </c>
      <c r="O38" s="1803"/>
    </row>
    <row r="39" spans="2:15" ht="15" customHeight="1"/>
    <row r="40" spans="2:15" ht="20.100000000000001" customHeight="1">
      <c r="B40" s="2214" t="s">
        <v>348</v>
      </c>
      <c r="C40" s="2214"/>
      <c r="D40" s="2215"/>
      <c r="E40" s="2215"/>
    </row>
    <row r="41" spans="2:15" ht="20.100000000000001" customHeight="1">
      <c r="B41" s="2155" t="s">
        <v>349</v>
      </c>
      <c r="C41" s="2156"/>
      <c r="D41" s="2267" t="s">
        <v>459</v>
      </c>
      <c r="E41" s="2268"/>
      <c r="F41" s="514"/>
      <c r="G41" s="2150"/>
      <c r="H41" s="514"/>
      <c r="I41" s="2150"/>
      <c r="J41" s="514"/>
      <c r="K41" s="2150"/>
      <c r="L41" s="514"/>
      <c r="M41" s="2150"/>
      <c r="N41" s="514"/>
      <c r="O41" s="2260"/>
    </row>
    <row r="42" spans="2:15" ht="20.100000000000001" customHeight="1">
      <c r="B42" s="2185" t="s">
        <v>350</v>
      </c>
      <c r="C42" s="2197"/>
      <c r="D42" s="2237" t="s">
        <v>459</v>
      </c>
      <c r="E42" s="2217"/>
      <c r="F42" s="41"/>
      <c r="G42" s="2240"/>
      <c r="H42" s="41"/>
      <c r="I42" s="2240"/>
      <c r="J42" s="41"/>
      <c r="K42" s="2240"/>
      <c r="L42" s="41"/>
      <c r="M42" s="2240"/>
      <c r="N42" s="41"/>
      <c r="O42" s="2264"/>
    </row>
    <row r="43" spans="2:15" ht="20.100000000000001" customHeight="1">
      <c r="B43" s="2231" t="s">
        <v>351</v>
      </c>
      <c r="C43" s="2232"/>
      <c r="D43" s="2269" t="s">
        <v>459</v>
      </c>
      <c r="E43" s="2270"/>
      <c r="F43" s="504"/>
      <c r="G43" s="2262"/>
      <c r="H43" s="504"/>
      <c r="I43" s="2262"/>
      <c r="J43" s="504"/>
      <c r="K43" s="2262"/>
      <c r="L43" s="504"/>
      <c r="M43" s="2262"/>
      <c r="N43" s="504"/>
      <c r="O43" s="2265"/>
    </row>
    <row r="44" spans="2:15" ht="20.100000000000001" customHeight="1">
      <c r="B44" s="2233" t="s">
        <v>352</v>
      </c>
      <c r="C44" s="2197"/>
      <c r="D44" s="2237" t="s">
        <v>459</v>
      </c>
      <c r="E44" s="2217"/>
      <c r="F44" s="463"/>
      <c r="G44" s="2151"/>
      <c r="H44" s="463"/>
      <c r="I44" s="2151"/>
      <c r="J44" s="463"/>
      <c r="K44" s="2151"/>
      <c r="L44" s="463"/>
      <c r="M44" s="2151"/>
      <c r="N44" s="463"/>
      <c r="O44" s="2261"/>
    </row>
    <row r="45" spans="2:15" ht="20.100000000000001" customHeight="1">
      <c r="B45" s="2233" t="s">
        <v>353</v>
      </c>
      <c r="C45" s="2197"/>
      <c r="D45" s="2237" t="s">
        <v>459</v>
      </c>
      <c r="E45" s="2217"/>
      <c r="F45" s="463"/>
      <c r="G45" s="2151"/>
      <c r="H45" s="463"/>
      <c r="I45" s="2151"/>
      <c r="J45" s="463"/>
      <c r="K45" s="2151"/>
      <c r="L45" s="463"/>
      <c r="M45" s="2151"/>
      <c r="N45" s="463"/>
      <c r="O45" s="2261"/>
    </row>
    <row r="46" spans="2:15" ht="20.100000000000001" customHeight="1">
      <c r="B46" s="2233" t="s">
        <v>354</v>
      </c>
      <c r="C46" s="2197"/>
      <c r="D46" s="2237" t="s">
        <v>459</v>
      </c>
      <c r="E46" s="2217"/>
      <c r="F46" s="463"/>
      <c r="G46" s="2151"/>
      <c r="H46" s="463"/>
      <c r="I46" s="2151"/>
      <c r="J46" s="463"/>
      <c r="K46" s="2151"/>
      <c r="L46" s="463"/>
      <c r="M46" s="2151"/>
      <c r="N46" s="463"/>
      <c r="O46" s="2261"/>
    </row>
    <row r="47" spans="2:15" ht="20.100000000000001" customHeight="1">
      <c r="B47" s="2236"/>
      <c r="C47" s="2197"/>
      <c r="D47" s="2247" t="s">
        <v>459</v>
      </c>
      <c r="E47" s="2248"/>
      <c r="F47" s="14"/>
      <c r="G47" s="2263"/>
      <c r="H47" s="14"/>
      <c r="I47" s="2263"/>
      <c r="J47" s="14"/>
      <c r="K47" s="2263"/>
      <c r="L47" s="14"/>
      <c r="M47" s="2263"/>
      <c r="N47" s="14"/>
      <c r="O47" s="2266"/>
    </row>
    <row r="48" spans="2:15" ht="20.100000000000001" customHeight="1">
      <c r="B48" s="2161" t="s">
        <v>355</v>
      </c>
      <c r="C48" s="2162"/>
      <c r="D48" s="2163"/>
      <c r="E48" s="2164"/>
      <c r="F48" s="674">
        <f>SUM(F41:F47)</f>
        <v>0</v>
      </c>
      <c r="G48" s="1802"/>
      <c r="H48" s="674">
        <f>SUM(H41:H47)</f>
        <v>0</v>
      </c>
      <c r="I48" s="1802"/>
      <c r="J48" s="674">
        <f>SUM(J41:J47)</f>
        <v>0</v>
      </c>
      <c r="K48" s="1802"/>
      <c r="L48" s="674">
        <f>SUM(L41:L47)</f>
        <v>0</v>
      </c>
      <c r="M48" s="1802"/>
      <c r="N48" s="674">
        <f>SUM(N41:N47)</f>
        <v>0</v>
      </c>
      <c r="O48" s="1803"/>
    </row>
    <row r="49" spans="2:17" ht="15" customHeight="1"/>
    <row r="50" spans="2:17" ht="20.100000000000001" customHeight="1">
      <c r="B50" s="2214" t="s">
        <v>356</v>
      </c>
      <c r="C50" s="2214"/>
      <c r="D50" s="2215"/>
      <c r="E50" s="2215"/>
    </row>
    <row r="51" spans="2:17" ht="20.100000000000001" customHeight="1">
      <c r="B51" s="2155" t="s">
        <v>357</v>
      </c>
      <c r="C51" s="2156"/>
      <c r="D51" s="2258"/>
      <c r="E51" s="2259"/>
      <c r="F51" s="514"/>
      <c r="G51" s="2150"/>
      <c r="H51" s="514"/>
      <c r="I51" s="2150"/>
      <c r="J51" s="514"/>
      <c r="K51" s="2150"/>
      <c r="L51" s="514"/>
      <c r="M51" s="2150"/>
      <c r="N51" s="514"/>
      <c r="O51" s="2152"/>
    </row>
    <row r="52" spans="2:17" ht="20.100000000000001" customHeight="1">
      <c r="B52" s="2185" t="s">
        <v>359</v>
      </c>
      <c r="C52" s="2197"/>
      <c r="D52" s="2234"/>
      <c r="E52" s="2235"/>
      <c r="F52" s="41"/>
      <c r="G52" s="2240"/>
      <c r="H52" s="41"/>
      <c r="I52" s="2240"/>
      <c r="J52" s="41"/>
      <c r="K52" s="2240"/>
      <c r="L52" s="41"/>
      <c r="M52" s="2240"/>
      <c r="N52" s="41"/>
      <c r="O52" s="2249"/>
    </row>
    <row r="53" spans="2:17" ht="20.100000000000001" customHeight="1">
      <c r="B53" s="2231" t="s">
        <v>360</v>
      </c>
      <c r="C53" s="2232"/>
      <c r="D53" s="2254"/>
      <c r="E53" s="2255"/>
      <c r="F53" s="504"/>
      <c r="G53" s="2241"/>
      <c r="H53" s="504"/>
      <c r="I53" s="2241"/>
      <c r="J53" s="504"/>
      <c r="K53" s="2241"/>
      <c r="L53" s="504"/>
      <c r="M53" s="2241"/>
      <c r="N53" s="504"/>
      <c r="O53" s="2250"/>
    </row>
    <row r="54" spans="2:17" ht="20.100000000000001" customHeight="1">
      <c r="B54" s="2233" t="s">
        <v>361</v>
      </c>
      <c r="C54" s="2197"/>
      <c r="D54" s="2234"/>
      <c r="E54" s="2235"/>
      <c r="F54" s="463"/>
      <c r="G54" s="2242"/>
      <c r="H54" s="463"/>
      <c r="I54" s="2242"/>
      <c r="J54" s="463"/>
      <c r="K54" s="2242"/>
      <c r="L54" s="463"/>
      <c r="M54" s="2242"/>
      <c r="N54" s="463"/>
      <c r="O54" s="2251"/>
    </row>
    <row r="55" spans="2:17" ht="20.100000000000001" customHeight="1">
      <c r="B55" s="2236"/>
      <c r="C55" s="2197"/>
      <c r="D55" s="2256"/>
      <c r="E55" s="2257"/>
      <c r="F55" s="14"/>
      <c r="G55" s="2242"/>
      <c r="H55" s="14"/>
      <c r="I55" s="2242"/>
      <c r="J55" s="14"/>
      <c r="K55" s="2242"/>
      <c r="L55" s="14"/>
      <c r="M55" s="2242"/>
      <c r="N55" s="14"/>
      <c r="O55" s="2251"/>
    </row>
    <row r="56" spans="2:17" ht="20.100000000000001" customHeight="1">
      <c r="B56" s="2161" t="s">
        <v>358</v>
      </c>
      <c r="C56" s="2162"/>
      <c r="D56" s="2163"/>
      <c r="E56" s="2164"/>
      <c r="F56" s="674">
        <f>SUM(F51:F55)</f>
        <v>0</v>
      </c>
      <c r="G56" s="1802"/>
      <c r="H56" s="674">
        <f>SUM(H51:H55)</f>
        <v>0</v>
      </c>
      <c r="I56" s="1802"/>
      <c r="J56" s="674">
        <f>SUM(J51:J55)</f>
        <v>0</v>
      </c>
      <c r="K56" s="1802"/>
      <c r="L56" s="674">
        <f>SUM(L51:L55)</f>
        <v>0</v>
      </c>
      <c r="M56" s="1802"/>
      <c r="N56" s="674">
        <f>SUM(N51:N55)</f>
        <v>0</v>
      </c>
      <c r="O56" s="675"/>
      <c r="Q56" s="8"/>
    </row>
    <row r="57" spans="2:17" ht="15" customHeight="1"/>
    <row r="58" spans="2:17" ht="20.100000000000001" customHeight="1">
      <c r="B58" s="2214" t="s">
        <v>218</v>
      </c>
      <c r="C58" s="2214"/>
      <c r="D58" s="2215"/>
      <c r="E58" s="2215"/>
    </row>
    <row r="59" spans="2:17" ht="20.100000000000001" customHeight="1">
      <c r="B59" s="2155" t="s">
        <v>260</v>
      </c>
      <c r="C59" s="2156"/>
      <c r="D59" s="1036">
        <v>2057</v>
      </c>
      <c r="E59" s="1037" t="s">
        <v>262</v>
      </c>
      <c r="F59" s="514"/>
      <c r="G59" s="2228"/>
      <c r="H59" s="514"/>
      <c r="I59" s="2228"/>
      <c r="J59" s="514"/>
      <c r="K59" s="2228"/>
      <c r="L59" s="514"/>
      <c r="M59" s="2228"/>
      <c r="N59" s="514"/>
      <c r="O59" s="2243"/>
    </row>
    <row r="60" spans="2:17" ht="20.100000000000001" customHeight="1">
      <c r="B60" s="2185" t="s">
        <v>578</v>
      </c>
      <c r="C60" s="2197"/>
      <c r="D60" s="1038">
        <v>2057</v>
      </c>
      <c r="E60" s="1039" t="s">
        <v>421</v>
      </c>
      <c r="F60" s="41"/>
      <c r="G60" s="2229"/>
      <c r="H60" s="41"/>
      <c r="I60" s="2229"/>
      <c r="J60" s="41"/>
      <c r="K60" s="2229"/>
      <c r="L60" s="41"/>
      <c r="M60" s="2229"/>
      <c r="N60" s="41"/>
      <c r="O60" s="2244"/>
    </row>
    <row r="61" spans="2:17" ht="20.100000000000001" customHeight="1">
      <c r="B61" s="2252" t="s">
        <v>261</v>
      </c>
      <c r="C61" s="2232"/>
      <c r="D61" s="1047">
        <v>2057</v>
      </c>
      <c r="E61" s="1048" t="s">
        <v>263</v>
      </c>
      <c r="F61" s="678"/>
      <c r="G61" s="2229"/>
      <c r="H61" s="678"/>
      <c r="I61" s="2229"/>
      <c r="J61" s="678"/>
      <c r="K61" s="2229"/>
      <c r="L61" s="678"/>
      <c r="M61" s="2229"/>
      <c r="N61" s="678"/>
      <c r="O61" s="2244"/>
    </row>
    <row r="62" spans="2:17" ht="20.100000000000001" customHeight="1">
      <c r="B62" s="2253" t="s">
        <v>579</v>
      </c>
      <c r="C62" s="2197"/>
      <c r="D62" s="1049">
        <v>2057</v>
      </c>
      <c r="E62" s="1050" t="s">
        <v>263</v>
      </c>
      <c r="F62" s="505"/>
      <c r="G62" s="2230"/>
      <c r="H62" s="505"/>
      <c r="I62" s="2230"/>
      <c r="J62" s="505"/>
      <c r="K62" s="2230"/>
      <c r="L62" s="505"/>
      <c r="M62" s="2230"/>
      <c r="N62" s="505"/>
      <c r="O62" s="2245"/>
    </row>
    <row r="63" spans="2:17" ht="20.100000000000001" customHeight="1">
      <c r="B63" s="2161" t="s">
        <v>590</v>
      </c>
      <c r="C63" s="2162"/>
      <c r="D63" s="2163"/>
      <c r="E63" s="2164"/>
      <c r="F63" s="674">
        <f>F59+F60-F61-F62</f>
        <v>0</v>
      </c>
      <c r="G63" s="1802"/>
      <c r="H63" s="674">
        <f>H59+H60-H61-H62</f>
        <v>0</v>
      </c>
      <c r="I63" s="1802"/>
      <c r="J63" s="674">
        <f>J59+J60-J61-J62</f>
        <v>0</v>
      </c>
      <c r="K63" s="1802"/>
      <c r="L63" s="674">
        <f>L59+L60-L61-L62</f>
        <v>0</v>
      </c>
      <c r="M63" s="1802"/>
      <c r="N63" s="674">
        <f>N59+N60-N61-N62</f>
        <v>0</v>
      </c>
      <c r="O63" s="1803"/>
    </row>
    <row r="64" spans="2:17" ht="3" customHeight="1">
      <c r="B64" s="36"/>
      <c r="C64" s="36"/>
      <c r="D64" s="34"/>
      <c r="E64" s="9"/>
      <c r="F64" s="14"/>
      <c r="G64" s="14"/>
      <c r="H64" s="14"/>
      <c r="I64" s="14"/>
      <c r="J64" s="14"/>
      <c r="K64" s="14"/>
      <c r="L64" s="14"/>
      <c r="M64" s="14"/>
      <c r="N64" s="14"/>
    </row>
    <row r="65" spans="2:15" ht="20.100000000000001" customHeight="1">
      <c r="B65" s="36"/>
      <c r="C65" s="36"/>
      <c r="D65" s="34"/>
      <c r="E65" s="430" t="s">
        <v>457</v>
      </c>
      <c r="F65" s="1804" t="str">
        <f>IF(ca_1=0," ",(emp_1-emp_2)-F63)</f>
        <v xml:space="preserve"> </v>
      </c>
      <c r="G65" s="1805"/>
      <c r="H65" s="1806" t="str">
        <f>IF(ca_2=0," ",(emp_2-emp_3)-H63)</f>
        <v xml:space="preserve"> </v>
      </c>
      <c r="I65" s="1805"/>
      <c r="J65" s="1806" t="str">
        <f>IF(ca_3=0," ",(emp_3-emp_4)-J63)</f>
        <v xml:space="preserve"> </v>
      </c>
      <c r="K65" s="1805"/>
      <c r="L65" s="1806" t="str">
        <f>IF(ca_4=0," ",(emp_4-emp_5)-L63)</f>
        <v xml:space="preserve"> </v>
      </c>
      <c r="M65" s="1805"/>
      <c r="N65" s="1807" t="str">
        <f>IF(ca_5=0," ",(emp_5-emp_6)-N63)</f>
        <v xml:space="preserve"> </v>
      </c>
      <c r="O65" s="1805"/>
    </row>
    <row r="66" spans="2:15" ht="9" customHeight="1">
      <c r="B66" s="36"/>
      <c r="C66" s="36"/>
      <c r="D66" s="34"/>
      <c r="E66" s="9"/>
      <c r="F66" s="14"/>
      <c r="G66" s="14"/>
      <c r="H66" s="14"/>
      <c r="I66" s="14"/>
      <c r="J66" s="14"/>
      <c r="K66" s="14"/>
      <c r="L66" s="14"/>
      <c r="M66" s="14"/>
      <c r="N66" s="14"/>
    </row>
    <row r="67" spans="2:15" ht="20.100000000000001" customHeight="1">
      <c r="B67" s="672" t="s">
        <v>62</v>
      </c>
      <c r="C67" s="2223" t="s">
        <v>678</v>
      </c>
      <c r="D67" s="2224"/>
      <c r="E67" s="2225"/>
      <c r="F67" s="669">
        <f>bilan!E19</f>
        <v>0</v>
      </c>
      <c r="G67" s="1812" t="str">
        <f>IF(F67=0," ",100%)</f>
        <v xml:space="preserve"> </v>
      </c>
      <c r="H67" s="669">
        <f>bilan!G19</f>
        <v>0</v>
      </c>
      <c r="I67" s="1812" t="str">
        <f>IF(H67=0," ",100%)</f>
        <v xml:space="preserve"> </v>
      </c>
      <c r="J67" s="669">
        <f>bilan!I19</f>
        <v>0</v>
      </c>
      <c r="K67" s="1812" t="str">
        <f>IF(J67=0," ",100%)</f>
        <v xml:space="preserve"> </v>
      </c>
      <c r="L67" s="669">
        <f>bilan!K19</f>
        <v>0</v>
      </c>
      <c r="M67" s="1812" t="str">
        <f>IF(L67=0," ",100%)</f>
        <v xml:space="preserve"> </v>
      </c>
      <c r="N67" s="669">
        <f>bilan!M19</f>
        <v>0</v>
      </c>
      <c r="O67" s="670" t="str">
        <f>IF(N67=0," ",100%)</f>
        <v xml:space="preserve"> </v>
      </c>
    </row>
    <row r="68" spans="2:15" ht="20.100000000000001" customHeight="1">
      <c r="B68" s="662" t="s">
        <v>641</v>
      </c>
      <c r="C68" s="2237" t="s">
        <v>459</v>
      </c>
      <c r="D68" s="2071"/>
      <c r="E68" s="2217"/>
      <c r="F68" s="43"/>
      <c r="G68" s="1813" t="str">
        <f>IF(ISBLANK(F68)," ",F68/F67)</f>
        <v xml:space="preserve"> </v>
      </c>
      <c r="H68" s="43"/>
      <c r="I68" s="1813" t="str">
        <f>IF(ISBLANK(H68)," ",H68/H67)</f>
        <v xml:space="preserve"> </v>
      </c>
      <c r="J68" s="43"/>
      <c r="K68" s="1813" t="str">
        <f>IF(ISBLANK(J68)," ",J68/J67)</f>
        <v xml:space="preserve"> </v>
      </c>
      <c r="L68" s="43"/>
      <c r="M68" s="1813" t="str">
        <f>IF(ISBLANK(L68)," ",L68/L67)</f>
        <v xml:space="preserve"> </v>
      </c>
      <c r="N68" s="43"/>
      <c r="O68" s="506" t="str">
        <f>IF(ISBLANK(N68)," ",N68/N67)</f>
        <v xml:space="preserve"> </v>
      </c>
    </row>
    <row r="69" spans="2:15" ht="20.100000000000001" customHeight="1">
      <c r="B69" s="662" t="s">
        <v>642</v>
      </c>
      <c r="C69" s="2237" t="s">
        <v>459</v>
      </c>
      <c r="D69" s="2071"/>
      <c r="E69" s="2217"/>
      <c r="F69" s="43"/>
      <c r="G69" s="1813" t="str">
        <f>IF(ISBLANK(F69)," ",F69/F67)</f>
        <v xml:space="preserve"> </v>
      </c>
      <c r="H69" s="43"/>
      <c r="I69" s="1813" t="str">
        <f>IF(ISBLANK(H69)," ",H69/H67)</f>
        <v xml:space="preserve"> </v>
      </c>
      <c r="J69" s="43"/>
      <c r="K69" s="1813" t="str">
        <f>IF(ISBLANK(J69)," ",J69/J67)</f>
        <v xml:space="preserve"> </v>
      </c>
      <c r="L69" s="43"/>
      <c r="M69" s="1813" t="str">
        <f>IF(ISBLANK(L69)," ",L69/L67)</f>
        <v xml:space="preserve"> </v>
      </c>
      <c r="N69" s="43"/>
      <c r="O69" s="506" t="str">
        <f>IF(ISBLANK(N69)," ",N69/N67)</f>
        <v xml:space="preserve"> </v>
      </c>
    </row>
    <row r="70" spans="2:15" ht="20.100000000000001" customHeight="1">
      <c r="B70" s="663" t="s">
        <v>643</v>
      </c>
      <c r="C70" s="2238" t="s">
        <v>459</v>
      </c>
      <c r="D70" s="2219"/>
      <c r="E70" s="2220"/>
      <c r="F70" s="664">
        <f>F67-F68-F69</f>
        <v>0</v>
      </c>
      <c r="G70" s="1814" t="str">
        <f>IF(F70=0," ",F70/F67)</f>
        <v xml:space="preserve"> </v>
      </c>
      <c r="H70" s="664">
        <f>H67-H68-H69</f>
        <v>0</v>
      </c>
      <c r="I70" s="1814" t="str">
        <f>IF(H70=0," ",H70/H67)</f>
        <v xml:space="preserve"> </v>
      </c>
      <c r="J70" s="664">
        <f>J67-J68-J69</f>
        <v>0</v>
      </c>
      <c r="K70" s="1814" t="str">
        <f>IF(J70=0," ",J70/J67)</f>
        <v xml:space="preserve"> </v>
      </c>
      <c r="L70" s="664">
        <f>L67-L68-L69</f>
        <v>0</v>
      </c>
      <c r="M70" s="1814" t="str">
        <f>IF(L70=0," ",L70/L67)</f>
        <v xml:space="preserve"> </v>
      </c>
      <c r="N70" s="664">
        <f>N67-N68-N69</f>
        <v>0</v>
      </c>
      <c r="O70" s="665" t="str">
        <f>IF(N70=0," ",N70/N67)</f>
        <v xml:space="preserve"> </v>
      </c>
    </row>
    <row r="71" spans="2:15" ht="3" customHeight="1"/>
    <row r="72" spans="2:15" ht="20.100000000000001" customHeight="1">
      <c r="B72" s="672" t="s">
        <v>63</v>
      </c>
      <c r="C72" s="2223" t="s">
        <v>675</v>
      </c>
      <c r="D72" s="2224"/>
      <c r="E72" s="2225"/>
      <c r="F72" s="669">
        <f>bilan!E20</f>
        <v>0</v>
      </c>
      <c r="G72" s="1812" t="str">
        <f>IF(F72=0," ",100%)</f>
        <v xml:space="preserve"> </v>
      </c>
      <c r="H72" s="669">
        <f>bilan!G20</f>
        <v>0</v>
      </c>
      <c r="I72" s="1812" t="str">
        <f>IF(H72=0," ",100%)</f>
        <v xml:space="preserve"> </v>
      </c>
      <c r="J72" s="669">
        <f>bilan!I20</f>
        <v>0</v>
      </c>
      <c r="K72" s="1812" t="str">
        <f>IF(J72=0," ",100%)</f>
        <v xml:space="preserve"> </v>
      </c>
      <c r="L72" s="669">
        <f>bilan!K20</f>
        <v>0</v>
      </c>
      <c r="M72" s="1812" t="str">
        <f>IF(L72=0," ",100%)</f>
        <v xml:space="preserve"> </v>
      </c>
      <c r="N72" s="669">
        <f>bilan!M20</f>
        <v>0</v>
      </c>
      <c r="O72" s="670" t="str">
        <f>IF(N72=0," ",100%)</f>
        <v xml:space="preserve"> </v>
      </c>
    </row>
    <row r="73" spans="2:15" ht="20.100000000000001" customHeight="1">
      <c r="B73" s="662" t="s">
        <v>641</v>
      </c>
      <c r="C73" s="2237" t="s">
        <v>459</v>
      </c>
      <c r="D73" s="2071"/>
      <c r="E73" s="2217"/>
      <c r="F73" s="43"/>
      <c r="G73" s="1813" t="str">
        <f>IF(ISBLANK(F73)," ",F73/F72)</f>
        <v xml:space="preserve"> </v>
      </c>
      <c r="H73" s="43"/>
      <c r="I73" s="1813" t="str">
        <f>IF(ISBLANK(H73)," ",H73/H72)</f>
        <v xml:space="preserve"> </v>
      </c>
      <c r="J73" s="43"/>
      <c r="K73" s="1813" t="str">
        <f>IF(ISBLANK(J73)," ",J73/J72)</f>
        <v xml:space="preserve"> </v>
      </c>
      <c r="L73" s="43"/>
      <c r="M73" s="1813" t="str">
        <f>IF(ISBLANK(L73)," ",L73/L72)</f>
        <v xml:space="preserve"> </v>
      </c>
      <c r="N73" s="43"/>
      <c r="O73" s="506" t="str">
        <f>IF(ISBLANK(N73)," ",N73/N72)</f>
        <v xml:space="preserve"> </v>
      </c>
    </row>
    <row r="74" spans="2:15" ht="20.100000000000001" customHeight="1">
      <c r="B74" s="662" t="s">
        <v>642</v>
      </c>
      <c r="C74" s="2237" t="s">
        <v>459</v>
      </c>
      <c r="D74" s="2071"/>
      <c r="E74" s="2217"/>
      <c r="F74" s="43"/>
      <c r="G74" s="1813" t="str">
        <f>IF(ISBLANK(F74)," ",F74/F72)</f>
        <v xml:space="preserve"> </v>
      </c>
      <c r="H74" s="43"/>
      <c r="I74" s="1813" t="str">
        <f>IF(ISBLANK(H74)," ",H74/H72)</f>
        <v xml:space="preserve"> </v>
      </c>
      <c r="J74" s="43"/>
      <c r="K74" s="1813" t="str">
        <f>IF(ISBLANK(J74)," ",J74/J72)</f>
        <v xml:space="preserve"> </v>
      </c>
      <c r="L74" s="43"/>
      <c r="M74" s="1813" t="str">
        <f>IF(ISBLANK(L74)," ",L74/L72)</f>
        <v xml:space="preserve"> </v>
      </c>
      <c r="N74" s="43"/>
      <c r="O74" s="506" t="str">
        <f>IF(ISBLANK(N74)," ",N74/N72)</f>
        <v xml:space="preserve"> </v>
      </c>
    </row>
    <row r="75" spans="2:15" ht="20.100000000000001" customHeight="1">
      <c r="B75" s="663" t="s">
        <v>643</v>
      </c>
      <c r="C75" s="2238" t="s">
        <v>459</v>
      </c>
      <c r="D75" s="2219"/>
      <c r="E75" s="2220"/>
      <c r="F75" s="664">
        <f>F72-F73-F74</f>
        <v>0</v>
      </c>
      <c r="G75" s="665" t="str">
        <f>IF(F75=0," ",F75/F72)</f>
        <v xml:space="preserve"> </v>
      </c>
      <c r="H75" s="664">
        <f>H72-H73-H74</f>
        <v>0</v>
      </c>
      <c r="I75" s="1814" t="str">
        <f>IF(H75=0," ",H75/H72)</f>
        <v xml:space="preserve"> </v>
      </c>
      <c r="J75" s="664">
        <f>J72-J73-J74</f>
        <v>0</v>
      </c>
      <c r="K75" s="1814" t="str">
        <f>IF(J75=0," ",J75/J72)</f>
        <v xml:space="preserve"> </v>
      </c>
      <c r="L75" s="664">
        <f>L72-L73-L74</f>
        <v>0</v>
      </c>
      <c r="M75" s="1814" t="str">
        <f>IF(L75=0," ",L75/L72)</f>
        <v xml:space="preserve"> </v>
      </c>
      <c r="N75" s="664">
        <f>N72-N73-N74</f>
        <v>0</v>
      </c>
      <c r="O75" s="665" t="str">
        <f>IF(N75=0," ",N75/N72)</f>
        <v xml:space="preserve"> </v>
      </c>
    </row>
    <row r="76" spans="2:15" ht="3" customHeight="1"/>
    <row r="77" spans="2:15" ht="24.9" customHeight="1">
      <c r="B77" s="673" t="s">
        <v>681</v>
      </c>
      <c r="C77" s="2223" t="s">
        <v>676</v>
      </c>
      <c r="D77" s="2224"/>
      <c r="E77" s="2225"/>
      <c r="F77" s="669">
        <f>bilan!E21-bilan!E24</f>
        <v>0</v>
      </c>
      <c r="G77" s="1812" t="str">
        <f>IF(F77=0," ",100%)</f>
        <v xml:space="preserve"> </v>
      </c>
      <c r="H77" s="669">
        <f>bilan!G21-bilan!G24</f>
        <v>0</v>
      </c>
      <c r="I77" s="1812" t="str">
        <f>IF(H77=0," ",100%)</f>
        <v xml:space="preserve"> </v>
      </c>
      <c r="J77" s="669">
        <f>bilan!I21-bilan!I24</f>
        <v>0</v>
      </c>
      <c r="K77" s="1812" t="str">
        <f>IF(J77=0," ",100%)</f>
        <v xml:space="preserve"> </v>
      </c>
      <c r="L77" s="669">
        <f>bilan!K21-bilan!K24</f>
        <v>0</v>
      </c>
      <c r="M77" s="1812" t="str">
        <f>IF(L77=0," ",100%)</f>
        <v xml:space="preserve"> </v>
      </c>
      <c r="N77" s="669">
        <f>bilan!M21-bilan!M24</f>
        <v>0</v>
      </c>
      <c r="O77" s="670" t="str">
        <f>IF(N77=0," ",100%)</f>
        <v xml:space="preserve"> </v>
      </c>
    </row>
    <row r="78" spans="2:15" ht="20.100000000000001" customHeight="1">
      <c r="B78" s="662" t="s">
        <v>641</v>
      </c>
      <c r="C78" s="2237" t="s">
        <v>459</v>
      </c>
      <c r="D78" s="2071"/>
      <c r="E78" s="2217"/>
      <c r="F78" s="43"/>
      <c r="G78" s="1813" t="str">
        <f>IF(ISBLANK(F78)," ",F78/F77)</f>
        <v xml:space="preserve"> </v>
      </c>
      <c r="H78" s="43"/>
      <c r="I78" s="1813" t="str">
        <f>IF(ISBLANK(H78)," ",H78/H77)</f>
        <v xml:space="preserve"> </v>
      </c>
      <c r="J78" s="43"/>
      <c r="K78" s="1813" t="str">
        <f>IF(ISBLANK(J78)," ",J78/J77)</f>
        <v xml:space="preserve"> </v>
      </c>
      <c r="L78" s="43"/>
      <c r="M78" s="1813" t="str">
        <f>IF(ISBLANK(L78)," ",L78/L77)</f>
        <v xml:space="preserve"> </v>
      </c>
      <c r="N78" s="43"/>
      <c r="O78" s="506" t="str">
        <f>IF(ISBLANK(N78)," ",N78/N77)</f>
        <v xml:space="preserve"> </v>
      </c>
    </row>
    <row r="79" spans="2:15" ht="20.100000000000001" customHeight="1">
      <c r="B79" s="662" t="s">
        <v>642</v>
      </c>
      <c r="C79" s="2237" t="s">
        <v>459</v>
      </c>
      <c r="D79" s="2071"/>
      <c r="E79" s="2217"/>
      <c r="F79" s="43"/>
      <c r="G79" s="1813" t="str">
        <f>IF(ISBLANK(F79)," ",F79/F77)</f>
        <v xml:space="preserve"> </v>
      </c>
      <c r="H79" s="43"/>
      <c r="I79" s="1813" t="str">
        <f>IF(ISBLANK(H79)," ",H79/H77)</f>
        <v xml:space="preserve"> </v>
      </c>
      <c r="J79" s="43"/>
      <c r="K79" s="1813" t="str">
        <f>IF(ISBLANK(J79)," ",J79/J77)</f>
        <v xml:space="preserve"> </v>
      </c>
      <c r="L79" s="43"/>
      <c r="M79" s="1813" t="str">
        <f>IF(ISBLANK(L79)," ",L79/L77)</f>
        <v xml:space="preserve"> </v>
      </c>
      <c r="N79" s="43"/>
      <c r="O79" s="506" t="str">
        <f>IF(ISBLANK(N79)," ",N79/N77)</f>
        <v xml:space="preserve"> </v>
      </c>
    </row>
    <row r="80" spans="2:15" ht="20.100000000000001" customHeight="1">
      <c r="B80" s="663" t="s">
        <v>643</v>
      </c>
      <c r="C80" s="2238" t="s">
        <v>459</v>
      </c>
      <c r="D80" s="2219"/>
      <c r="E80" s="2220"/>
      <c r="F80" s="664">
        <f>F77-F78-F79</f>
        <v>0</v>
      </c>
      <c r="G80" s="1814" t="str">
        <f>IF(F80=0," ",F80/F77)</f>
        <v xml:space="preserve"> </v>
      </c>
      <c r="H80" s="664">
        <f>H77-H78-H79</f>
        <v>0</v>
      </c>
      <c r="I80" s="1814" t="str">
        <f>IF(H80=0," ",H80/H77)</f>
        <v xml:space="preserve"> </v>
      </c>
      <c r="J80" s="664">
        <f>J77-J78-J79</f>
        <v>0</v>
      </c>
      <c r="K80" s="1814" t="str">
        <f>IF(J80=0," ",J80/J77)</f>
        <v xml:space="preserve"> </v>
      </c>
      <c r="L80" s="664">
        <f>L77-L78-L79</f>
        <v>0</v>
      </c>
      <c r="M80" s="1814" t="str">
        <f>IF(L80=0," ",L80/L77)</f>
        <v xml:space="preserve"> </v>
      </c>
      <c r="N80" s="664">
        <f>N77-N78-N79</f>
        <v>0</v>
      </c>
      <c r="O80" s="665" t="str">
        <f>IF(N80=0," ",N80/N77)</f>
        <v xml:space="preserve"> </v>
      </c>
    </row>
    <row r="81" spans="2:15" ht="3" customHeight="1"/>
    <row r="82" spans="2:15" ht="20.100000000000001" customHeight="1">
      <c r="B82" s="672" t="s">
        <v>117</v>
      </c>
      <c r="C82" s="2223" t="s">
        <v>677</v>
      </c>
      <c r="D82" s="2224"/>
      <c r="E82" s="2225"/>
      <c r="F82" s="669">
        <f>bilan!E22</f>
        <v>0</v>
      </c>
      <c r="G82" s="1812" t="str">
        <f>IF(F82=0," ",100%)</f>
        <v xml:space="preserve"> </v>
      </c>
      <c r="H82" s="669">
        <f>bilan!G22</f>
        <v>0</v>
      </c>
      <c r="I82" s="1812" t="str">
        <f>IF(H82=0," ",100%)</f>
        <v xml:space="preserve"> </v>
      </c>
      <c r="J82" s="669">
        <f>bilan!I22</f>
        <v>0</v>
      </c>
      <c r="K82" s="1812" t="str">
        <f>IF(J82=0," ",100%)</f>
        <v xml:space="preserve"> </v>
      </c>
      <c r="L82" s="669">
        <f>bilan!K22</f>
        <v>0</v>
      </c>
      <c r="M82" s="1812" t="str">
        <f>IF(L82=0," ",100%)</f>
        <v xml:space="preserve"> </v>
      </c>
      <c r="N82" s="669">
        <f>bilan!M22</f>
        <v>0</v>
      </c>
      <c r="O82" s="670" t="str">
        <f>IF(N82=0," ",100%)</f>
        <v xml:space="preserve"> </v>
      </c>
    </row>
    <row r="83" spans="2:15" ht="20.100000000000001" customHeight="1">
      <c r="B83" s="662" t="s">
        <v>641</v>
      </c>
      <c r="C83" s="2237" t="s">
        <v>459</v>
      </c>
      <c r="D83" s="2071"/>
      <c r="E83" s="2217"/>
      <c r="F83" s="43"/>
      <c r="G83" s="1813" t="str">
        <f>IF(ISBLANK(F83)," ",F83/F82)</f>
        <v xml:space="preserve"> </v>
      </c>
      <c r="H83" s="43"/>
      <c r="I83" s="1813" t="str">
        <f>IF(ISBLANK(H83)," ",H83/H82)</f>
        <v xml:space="preserve"> </v>
      </c>
      <c r="J83" s="43"/>
      <c r="K83" s="1813" t="str">
        <f>IF(ISBLANK(J83)," ",J83/J82)</f>
        <v xml:space="preserve"> </v>
      </c>
      <c r="L83" s="43"/>
      <c r="M83" s="1813" t="str">
        <f>IF(ISBLANK(L83)," ",L83/L82)</f>
        <v xml:space="preserve"> </v>
      </c>
      <c r="N83" s="43"/>
      <c r="O83" s="506" t="str">
        <f>IF(ISBLANK(N83)," ",N83/N82)</f>
        <v xml:space="preserve"> </v>
      </c>
    </row>
    <row r="84" spans="2:15" ht="20.100000000000001" customHeight="1">
      <c r="B84" s="662" t="s">
        <v>642</v>
      </c>
      <c r="C84" s="2237" t="s">
        <v>459</v>
      </c>
      <c r="D84" s="2071"/>
      <c r="E84" s="2217"/>
      <c r="F84" s="43"/>
      <c r="G84" s="1813" t="str">
        <f>IF(ISBLANK(F84)," ",F84/F82)</f>
        <v xml:space="preserve"> </v>
      </c>
      <c r="H84" s="43"/>
      <c r="I84" s="1813" t="str">
        <f>IF(ISBLANK(H84)," ",H84/H82)</f>
        <v xml:space="preserve"> </v>
      </c>
      <c r="J84" s="43"/>
      <c r="K84" s="1813" t="str">
        <f>IF(ISBLANK(J84)," ",J84/J82)</f>
        <v xml:space="preserve"> </v>
      </c>
      <c r="L84" s="43"/>
      <c r="M84" s="1813" t="str">
        <f>IF(ISBLANK(L84)," ",L84/L82)</f>
        <v xml:space="preserve"> </v>
      </c>
      <c r="N84" s="43"/>
      <c r="O84" s="506" t="str">
        <f>IF(ISBLANK(N84)," ",N84/N82)</f>
        <v xml:space="preserve"> </v>
      </c>
    </row>
    <row r="85" spans="2:15" ht="20.100000000000001" customHeight="1">
      <c r="B85" s="663" t="s">
        <v>643</v>
      </c>
      <c r="C85" s="2238" t="s">
        <v>459</v>
      </c>
      <c r="D85" s="2219"/>
      <c r="E85" s="2220"/>
      <c r="F85" s="664">
        <f>F82-F83-F84</f>
        <v>0</v>
      </c>
      <c r="G85" s="1814" t="str">
        <f>IF(F85=0," ",F85/F82)</f>
        <v xml:space="preserve"> </v>
      </c>
      <c r="H85" s="664">
        <f>H82-H83-H84</f>
        <v>0</v>
      </c>
      <c r="I85" s="1814" t="str">
        <f>IF(H85=0," ",H85/H82)</f>
        <v xml:space="preserve"> </v>
      </c>
      <c r="J85" s="664">
        <f>J82-J83-J84</f>
        <v>0</v>
      </c>
      <c r="K85" s="1814" t="str">
        <f>IF(J85=0," ",J85/J82)</f>
        <v xml:space="preserve"> </v>
      </c>
      <c r="L85" s="664">
        <f>L82-L83-L84</f>
        <v>0</v>
      </c>
      <c r="M85" s="1814" t="str">
        <f>IF(L85=0," ",L85/L82)</f>
        <v xml:space="preserve"> </v>
      </c>
      <c r="N85" s="664">
        <f>N82-N83-N84</f>
        <v>0</v>
      </c>
      <c r="O85" s="665" t="str">
        <f>IF(N85=0," ",N85/N82)</f>
        <v xml:space="preserve"> </v>
      </c>
    </row>
    <row r="86" spans="2:15" s="8" customFormat="1" ht="3" customHeight="1">
      <c r="B86" s="39"/>
      <c r="C86" s="532"/>
      <c r="D86" s="42"/>
      <c r="E86" s="42"/>
      <c r="F86" s="43"/>
      <c r="G86" s="1815"/>
      <c r="H86" s="43"/>
      <c r="I86" s="1815"/>
      <c r="J86" s="43"/>
      <c r="K86" s="1815"/>
      <c r="L86" s="43"/>
      <c r="M86" s="1815"/>
      <c r="N86" s="43"/>
    </row>
    <row r="87" spans="2:15" ht="20.100000000000001" customHeight="1">
      <c r="B87" s="2182" t="s">
        <v>679</v>
      </c>
      <c r="C87" s="2190" t="s">
        <v>644</v>
      </c>
      <c r="D87" s="2200"/>
      <c r="E87" s="2246"/>
      <c r="F87" s="509">
        <f>F68+F73+F78+F83</f>
        <v>0</v>
      </c>
      <c r="G87" s="1816" t="str">
        <f>IF(ISERROR(F87/F90)," ",F87/F90)</f>
        <v xml:space="preserve"> </v>
      </c>
      <c r="H87" s="509">
        <f>H68+H73+H78+H83</f>
        <v>0</v>
      </c>
      <c r="I87" s="1816" t="str">
        <f>IF(ISERROR(H87/H90)," ",H87/H90)</f>
        <v xml:space="preserve"> </v>
      </c>
      <c r="J87" s="509">
        <f>J68+J73+J78+J83</f>
        <v>0</v>
      </c>
      <c r="K87" s="1816" t="str">
        <f>IF(ISERROR(J87/J90)," ",J87/J90)</f>
        <v xml:space="preserve"> </v>
      </c>
      <c r="L87" s="509">
        <f>L68+L73+L78+L83</f>
        <v>0</v>
      </c>
      <c r="M87" s="1816" t="str">
        <f>IF(ISERROR(L87/L90)," ",L87/L90)</f>
        <v xml:space="preserve"> </v>
      </c>
      <c r="N87" s="509">
        <f>N68+N73+N78+N83</f>
        <v>0</v>
      </c>
      <c r="O87" s="512" t="str">
        <f>IF(ISERROR(N87/N90)," ",N87/N90)</f>
        <v xml:space="preserve"> </v>
      </c>
    </row>
    <row r="88" spans="2:15" ht="20.100000000000001" customHeight="1">
      <c r="B88" s="2038"/>
      <c r="C88" s="2211" t="s">
        <v>642</v>
      </c>
      <c r="D88" s="2178"/>
      <c r="E88" s="2275"/>
      <c r="F88" s="507">
        <f>F69+F74+F79+F84</f>
        <v>0</v>
      </c>
      <c r="G88" s="1817" t="str">
        <f>IF(ISERROR(F88/F90)," ",F88/F90)</f>
        <v xml:space="preserve"> </v>
      </c>
      <c r="H88" s="507">
        <f>H69+H74+H79+H84</f>
        <v>0</v>
      </c>
      <c r="I88" s="1817" t="str">
        <f>IF(ISERROR(H88/H90)," ",H88/H90)</f>
        <v xml:space="preserve"> </v>
      </c>
      <c r="J88" s="507">
        <f>J69+J74+J79+J84</f>
        <v>0</v>
      </c>
      <c r="K88" s="1817" t="str">
        <f>IF(ISERROR(J88/J90)," ",J88/J90)</f>
        <v xml:space="preserve"> </v>
      </c>
      <c r="L88" s="507">
        <f>L69+L74+L79+L84</f>
        <v>0</v>
      </c>
      <c r="M88" s="1817" t="str">
        <f>IF(ISERROR(L88/L90)," ",L88/L90)</f>
        <v xml:space="preserve"> </v>
      </c>
      <c r="N88" s="507">
        <f>N69+N74+N79+N84</f>
        <v>0</v>
      </c>
      <c r="O88" s="510" t="str">
        <f>IF(ISERROR(N88/N90)," ",N88/N90)</f>
        <v xml:space="preserve"> </v>
      </c>
    </row>
    <row r="89" spans="2:15" ht="20.100000000000001" customHeight="1">
      <c r="B89" s="2038"/>
      <c r="C89" s="2196" t="s">
        <v>643</v>
      </c>
      <c r="D89" s="2180"/>
      <c r="E89" s="2239"/>
      <c r="F89" s="508">
        <f>F70+F75+F80+F85</f>
        <v>0</v>
      </c>
      <c r="G89" s="1818" t="str">
        <f>IF(ISERROR(F89/F90)," ",F89/F90)</f>
        <v xml:space="preserve"> </v>
      </c>
      <c r="H89" s="508">
        <f>H70+H75+H80+H85</f>
        <v>0</v>
      </c>
      <c r="I89" s="1818" t="str">
        <f>IF(ISERROR(H89/H90)," ",H89/H90)</f>
        <v xml:space="preserve"> </v>
      </c>
      <c r="J89" s="508">
        <f>J70+J75+J80+J85</f>
        <v>0</v>
      </c>
      <c r="K89" s="1818" t="str">
        <f>IF(ISERROR(J89/J90)," ",J89/J90)</f>
        <v xml:space="preserve"> </v>
      </c>
      <c r="L89" s="508">
        <f>L70+L75+L80+L85</f>
        <v>0</v>
      </c>
      <c r="M89" s="1818" t="str">
        <f>IF(ISERROR(L89/L90)," ",L89/L90)</f>
        <v xml:space="preserve"> </v>
      </c>
      <c r="N89" s="508">
        <f>N70+N75+N80+N85</f>
        <v>0</v>
      </c>
      <c r="O89" s="511" t="str">
        <f>IF(ISERROR(N89/N90)," ",N89/N90)</f>
        <v xml:space="preserve"> </v>
      </c>
    </row>
    <row r="90" spans="2:15" ht="21.9" customHeight="1">
      <c r="B90" s="2040"/>
      <c r="C90" s="2181" t="s">
        <v>413</v>
      </c>
      <c r="D90" s="2077"/>
      <c r="E90" s="2078"/>
      <c r="F90" s="666">
        <f>SUM(F87:F89)</f>
        <v>0</v>
      </c>
      <c r="G90" s="1819" t="str">
        <f>IF(F90=0," ",100%)</f>
        <v xml:space="preserve"> </v>
      </c>
      <c r="H90" s="666">
        <f>SUM(H87:H89)</f>
        <v>0</v>
      </c>
      <c r="I90" s="1819" t="str">
        <f>IF(H90=0," ",100%)</f>
        <v xml:space="preserve"> </v>
      </c>
      <c r="J90" s="666">
        <f>SUM(J87:J89)</f>
        <v>0</v>
      </c>
      <c r="K90" s="1819" t="str">
        <f>IF(J90=0," ",100%)</f>
        <v xml:space="preserve"> </v>
      </c>
      <c r="L90" s="666">
        <f>SUM(L87:L89)</f>
        <v>0</v>
      </c>
      <c r="M90" s="1819" t="str">
        <f>IF(L90=0," ",100%)</f>
        <v xml:space="preserve"> </v>
      </c>
      <c r="N90" s="666">
        <f>SUM(N87:N89)</f>
        <v>0</v>
      </c>
      <c r="O90" s="667" t="str">
        <f>IF(N90=0," ",100%)</f>
        <v xml:space="preserve"> </v>
      </c>
    </row>
    <row r="91" spans="2:15" s="8" customFormat="1" ht="9.9" customHeight="1">
      <c r="B91" s="145"/>
      <c r="C91" s="145"/>
      <c r="D91" s="42"/>
      <c r="E91" s="42"/>
      <c r="F91" s="43"/>
      <c r="G91" s="43"/>
      <c r="H91" s="43"/>
      <c r="I91" s="43"/>
      <c r="J91" s="43"/>
      <c r="K91" s="43"/>
      <c r="L91" s="43"/>
      <c r="M91" s="43"/>
      <c r="N91" s="43"/>
    </row>
    <row r="92" spans="2:15" ht="20.100000000000001" customHeight="1">
      <c r="B92" s="2271" t="s">
        <v>172</v>
      </c>
      <c r="C92" s="2272"/>
      <c r="D92" s="2273"/>
      <c r="E92" s="2274"/>
      <c r="F92" s="669">
        <f>resultat!E199</f>
        <v>0</v>
      </c>
      <c r="G92" s="1812" t="str">
        <f>IF(F92=0," ",100%)</f>
        <v xml:space="preserve"> </v>
      </c>
      <c r="H92" s="669">
        <f>resultat!F199</f>
        <v>0</v>
      </c>
      <c r="I92" s="1812" t="str">
        <f>IF(H92=0," ",100%)</f>
        <v xml:space="preserve"> </v>
      </c>
      <c r="J92" s="669">
        <f>resultat!G199</f>
        <v>0</v>
      </c>
      <c r="K92" s="1812" t="str">
        <f>IF(J92=0," ",100%)</f>
        <v xml:space="preserve"> </v>
      </c>
      <c r="L92" s="669">
        <f>resultat!H199</f>
        <v>0</v>
      </c>
      <c r="M92" s="1812" t="str">
        <f>IF(L92=0," ",100%)</f>
        <v xml:space="preserve"> </v>
      </c>
      <c r="N92" s="669">
        <f>resultat!I199</f>
        <v>0</v>
      </c>
      <c r="O92" s="670" t="str">
        <f>IF(N92=0," ",100%)</f>
        <v xml:space="preserve"> </v>
      </c>
    </row>
    <row r="93" spans="2:15" ht="20.100000000000001" customHeight="1">
      <c r="B93" s="662" t="s">
        <v>641</v>
      </c>
      <c r="C93" s="2237" t="s">
        <v>459</v>
      </c>
      <c r="D93" s="2071"/>
      <c r="E93" s="2217"/>
      <c r="F93" s="96">
        <f>ROUND(resultat!E177*resultat!E184,0)</f>
        <v>0</v>
      </c>
      <c r="G93" s="1813" t="str">
        <f>IF(ISERROR(F93/F92)," ",F93/F92)</f>
        <v xml:space="preserve"> </v>
      </c>
      <c r="H93" s="96">
        <f>ROUND(resultat!F177*resultat!F184,0)</f>
        <v>0</v>
      </c>
      <c r="I93" s="1813" t="str">
        <f>IF(ISERROR(H93/H92)," ",H93/H92)</f>
        <v xml:space="preserve"> </v>
      </c>
      <c r="J93" s="96">
        <f>ROUND(resultat!G177*resultat!G184,0)</f>
        <v>0</v>
      </c>
      <c r="K93" s="1813" t="str">
        <f>IF(ISERROR(J93/J92)," ",J93/J92)</f>
        <v xml:space="preserve"> </v>
      </c>
      <c r="L93" s="96">
        <f>ROUND(resultat!H177*resultat!H184,0)</f>
        <v>0</v>
      </c>
      <c r="M93" s="1813" t="str">
        <f>IF(ISERROR(L93/L92)," ",L93/L92)</f>
        <v xml:space="preserve"> </v>
      </c>
      <c r="N93" s="96">
        <f>ROUND(resultat!I177*resultat!I184,0)</f>
        <v>0</v>
      </c>
      <c r="O93" s="506" t="str">
        <f>IF(ISERROR(N93/N92)," ",N93/N92)</f>
        <v xml:space="preserve"> </v>
      </c>
    </row>
    <row r="94" spans="2:15" ht="20.100000000000001" customHeight="1">
      <c r="B94" s="662" t="s">
        <v>642</v>
      </c>
      <c r="C94" s="2237" t="s">
        <v>459</v>
      </c>
      <c r="D94" s="2071"/>
      <c r="E94" s="2217"/>
      <c r="F94" s="96">
        <f>ROUND(resultat!E178*resultat!E184,0)</f>
        <v>0</v>
      </c>
      <c r="G94" s="1813" t="str">
        <f>IF(ISERROR(F94/F92)," ",F94/F92)</f>
        <v xml:space="preserve"> </v>
      </c>
      <c r="H94" s="96">
        <f>ROUND(resultat!F178*resultat!F184,0)</f>
        <v>0</v>
      </c>
      <c r="I94" s="1813" t="str">
        <f>IF(ISERROR(H94/H92)," ",H94/H92)</f>
        <v xml:space="preserve"> </v>
      </c>
      <c r="J94" s="96">
        <f>ROUND(resultat!G178*resultat!G184,0)</f>
        <v>0</v>
      </c>
      <c r="K94" s="1813" t="str">
        <f>IF(ISERROR(J94/J92)," ",J94/J92)</f>
        <v xml:space="preserve"> </v>
      </c>
      <c r="L94" s="96">
        <f>ROUND(resultat!H178*resultat!H184,0)</f>
        <v>0</v>
      </c>
      <c r="M94" s="1813" t="str">
        <f>IF(ISERROR(L94/L92)," ",L94/L92)</f>
        <v xml:space="preserve"> </v>
      </c>
      <c r="N94" s="96">
        <f>ROUND(resultat!I178*resultat!I184,0)</f>
        <v>0</v>
      </c>
      <c r="O94" s="506" t="str">
        <f>IF(ISERROR(N94/N92)," ",N94/N92)</f>
        <v xml:space="preserve"> </v>
      </c>
    </row>
    <row r="95" spans="2:15" ht="20.100000000000001" customHeight="1">
      <c r="B95" s="662" t="s">
        <v>643</v>
      </c>
      <c r="C95" s="2238" t="s">
        <v>459</v>
      </c>
      <c r="D95" s="2219"/>
      <c r="E95" s="2220"/>
      <c r="F95" s="96">
        <f>F92-F93-F94</f>
        <v>0</v>
      </c>
      <c r="G95" s="1813" t="str">
        <f>IF(ISERROR(F95/F92)," ",F95/F92)</f>
        <v xml:space="preserve"> </v>
      </c>
      <c r="H95" s="96">
        <f>H92-H93-H94</f>
        <v>0</v>
      </c>
      <c r="I95" s="1813" t="str">
        <f>IF(ISERROR(H95/H92)," ",H95/H92)</f>
        <v xml:space="preserve"> </v>
      </c>
      <c r="J95" s="96">
        <f>J92-J93-J94</f>
        <v>0</v>
      </c>
      <c r="K95" s="1813" t="str">
        <f>IF(ISERROR(J95/J92)," ",J95/J92)</f>
        <v xml:space="preserve"> </v>
      </c>
      <c r="L95" s="96">
        <f>L92-L93-L94</f>
        <v>0</v>
      </c>
      <c r="M95" s="1813" t="str">
        <f>IF(ISERROR(L95/L92)," ",L95/L92)</f>
        <v xml:space="preserve"> </v>
      </c>
      <c r="N95" s="96">
        <f>N92-N93-N94</f>
        <v>0</v>
      </c>
      <c r="O95" s="506" t="str">
        <f>IF(ISERROR(N95/N92)," ",N95/N92)</f>
        <v xml:space="preserve"> </v>
      </c>
    </row>
    <row r="96" spans="2:15" ht="20.100000000000001" customHeight="1">
      <c r="B96" s="2203" t="s">
        <v>173</v>
      </c>
      <c r="C96" s="2204"/>
      <c r="D96" s="2205"/>
      <c r="E96" s="2206"/>
      <c r="F96" s="669">
        <f>resultat!E200</f>
        <v>0</v>
      </c>
      <c r="G96" s="1812" t="str">
        <f>IF(F96=0," ",100%)</f>
        <v xml:space="preserve"> </v>
      </c>
      <c r="H96" s="669">
        <f>resultat!F200</f>
        <v>0</v>
      </c>
      <c r="I96" s="1812" t="str">
        <f>IF(H96=0," ",100%)</f>
        <v xml:space="preserve"> </v>
      </c>
      <c r="J96" s="669">
        <f>resultat!G200</f>
        <v>0</v>
      </c>
      <c r="K96" s="1812" t="str">
        <f>IF(J96=0," ",100%)</f>
        <v xml:space="preserve"> </v>
      </c>
      <c r="L96" s="669">
        <f>resultat!H200</f>
        <v>0</v>
      </c>
      <c r="M96" s="1812" t="str">
        <f>IF(L96=0," ",100%)</f>
        <v xml:space="preserve"> </v>
      </c>
      <c r="N96" s="669">
        <f>resultat!I200</f>
        <v>0</v>
      </c>
      <c r="O96" s="670" t="str">
        <f>IF(N96=0," ",100%)</f>
        <v xml:space="preserve"> </v>
      </c>
    </row>
    <row r="97" spans="2:18" ht="20.100000000000001" customHeight="1">
      <c r="B97" s="662" t="s">
        <v>641</v>
      </c>
      <c r="C97" s="2237" t="s">
        <v>459</v>
      </c>
      <c r="D97" s="2071"/>
      <c r="E97" s="2217"/>
      <c r="F97" s="96">
        <f>ROUND(resultat!E187*resultat!E194,0)</f>
        <v>0</v>
      </c>
      <c r="G97" s="1813" t="str">
        <f>IF(ISERROR(F97/F96)," ",F97/F96)</f>
        <v xml:space="preserve"> </v>
      </c>
      <c r="H97" s="96">
        <f>ROUND(resultat!F187*resultat!F194,0)</f>
        <v>0</v>
      </c>
      <c r="I97" s="1813" t="str">
        <f>IF(ISERROR(H97/H96)," ",H97/H96)</f>
        <v xml:space="preserve"> </v>
      </c>
      <c r="J97" s="96">
        <f>ROUND(resultat!G187*resultat!G194,0)</f>
        <v>0</v>
      </c>
      <c r="K97" s="1813" t="str">
        <f>IF(ISERROR(J97/J96)," ",J97/J96)</f>
        <v xml:space="preserve"> </v>
      </c>
      <c r="L97" s="96">
        <f>ROUND(resultat!H187*resultat!H194,0)</f>
        <v>0</v>
      </c>
      <c r="M97" s="1813" t="str">
        <f>IF(ISERROR(L97/L96)," ",L97/L96)</f>
        <v xml:space="preserve"> </v>
      </c>
      <c r="N97" s="96">
        <f>ROUND(resultat!I187*resultat!I194,0)</f>
        <v>0</v>
      </c>
      <c r="O97" s="506" t="str">
        <f>IF(ISERROR(N97/N96)," ",N97/N96)</f>
        <v xml:space="preserve"> </v>
      </c>
    </row>
    <row r="98" spans="2:18" ht="20.100000000000001" customHeight="1">
      <c r="B98" s="662" t="s">
        <v>642</v>
      </c>
      <c r="C98" s="2237" t="s">
        <v>459</v>
      </c>
      <c r="D98" s="2071"/>
      <c r="E98" s="2217"/>
      <c r="F98" s="96">
        <f>ROUND(resultat!E188*resultat!E194,0)</f>
        <v>0</v>
      </c>
      <c r="G98" s="1813" t="str">
        <f>IF(ISERROR(F98/F96)," ",F98/F96)</f>
        <v xml:space="preserve"> </v>
      </c>
      <c r="H98" s="96">
        <f>ROUND(resultat!F188*resultat!F194,0)</f>
        <v>0</v>
      </c>
      <c r="I98" s="1813" t="str">
        <f>IF(ISERROR(H98/H96)," ",H98/H96)</f>
        <v xml:space="preserve"> </v>
      </c>
      <c r="J98" s="96">
        <f>ROUND(resultat!G188*resultat!G194,0)</f>
        <v>0</v>
      </c>
      <c r="K98" s="1813" t="str">
        <f>IF(ISERROR(J98/J96)," ",J98/J96)</f>
        <v xml:space="preserve"> </v>
      </c>
      <c r="L98" s="96">
        <f>ROUND(resultat!H188*resultat!H194,0)</f>
        <v>0</v>
      </c>
      <c r="M98" s="1813" t="str">
        <f>IF(ISERROR(L98/L96)," ",L98/L96)</f>
        <v xml:space="preserve"> </v>
      </c>
      <c r="N98" s="96">
        <f>ROUND(resultat!I188*resultat!I194,0)</f>
        <v>0</v>
      </c>
      <c r="O98" s="506" t="str">
        <f>IF(ISERROR(N98/N96)," ",N98/N96)</f>
        <v xml:space="preserve"> </v>
      </c>
    </row>
    <row r="99" spans="2:18" ht="20.100000000000001" customHeight="1">
      <c r="B99" s="662" t="s">
        <v>643</v>
      </c>
      <c r="C99" s="2238" t="s">
        <v>459</v>
      </c>
      <c r="D99" s="2219"/>
      <c r="E99" s="2220"/>
      <c r="F99" s="96">
        <f>F96-F97-F98</f>
        <v>0</v>
      </c>
      <c r="G99" s="1813" t="str">
        <f>IF(ISERROR(F99/F96)," ",F99/F96)</f>
        <v xml:space="preserve"> </v>
      </c>
      <c r="H99" s="96">
        <f>H96-H97-H98</f>
        <v>0</v>
      </c>
      <c r="I99" s="1813" t="str">
        <f>IF(ISERROR(H99/H96)," ",H99/H96)</f>
        <v xml:space="preserve"> </v>
      </c>
      <c r="J99" s="96">
        <f>J96-J97-J98</f>
        <v>0</v>
      </c>
      <c r="K99" s="1813" t="str">
        <f>IF(ISERROR(J99/J96)," ",J99/J96)</f>
        <v xml:space="preserve"> </v>
      </c>
      <c r="L99" s="96">
        <f>L96-L97-L98</f>
        <v>0</v>
      </c>
      <c r="M99" s="1813" t="str">
        <f>IF(ISERROR(L99/L96)," ",L99/L96)</f>
        <v xml:space="preserve"> </v>
      </c>
      <c r="N99" s="96">
        <f>N96-N97-N98</f>
        <v>0</v>
      </c>
      <c r="O99" s="506" t="str">
        <f>IF(ISERROR(N99/N96)," ",N99/N96)</f>
        <v xml:space="preserve"> </v>
      </c>
    </row>
    <row r="100" spans="2:18" ht="20.100000000000001" customHeight="1">
      <c r="B100" s="2182" t="s">
        <v>680</v>
      </c>
      <c r="C100" s="2190" t="s">
        <v>644</v>
      </c>
      <c r="D100" s="2156"/>
      <c r="E100" s="2191"/>
      <c r="F100" s="509">
        <f>F93+F97</f>
        <v>0</v>
      </c>
      <c r="G100" s="1816" t="str">
        <f>IF(ISERROR(F100/F103)," ",F100/F103)</f>
        <v xml:space="preserve"> </v>
      </c>
      <c r="H100" s="509">
        <f>H93+H97</f>
        <v>0</v>
      </c>
      <c r="I100" s="1816" t="str">
        <f>IF(ISERROR(H100/H103)," ",H100/H103)</f>
        <v xml:space="preserve"> </v>
      </c>
      <c r="J100" s="509">
        <f>J93+J97</f>
        <v>0</v>
      </c>
      <c r="K100" s="1816" t="str">
        <f>IF(ISERROR(J100/J103)," ",J100/J103)</f>
        <v xml:space="preserve"> </v>
      </c>
      <c r="L100" s="509">
        <f>L93+L97</f>
        <v>0</v>
      </c>
      <c r="M100" s="1816" t="str">
        <f>IF(ISERROR(L100/L103)," ",L100/L103)</f>
        <v xml:space="preserve"> </v>
      </c>
      <c r="N100" s="509">
        <f>N93+N97</f>
        <v>0</v>
      </c>
      <c r="O100" s="512" t="str">
        <f>IF(ISERROR(N100/N103)," ",N100/N103)</f>
        <v xml:space="preserve"> </v>
      </c>
      <c r="R100" s="8"/>
    </row>
    <row r="101" spans="2:18" ht="20.100000000000001" customHeight="1">
      <c r="B101" s="2038"/>
      <c r="C101" s="2211" t="s">
        <v>642</v>
      </c>
      <c r="D101" s="2212"/>
      <c r="E101" s="2213"/>
      <c r="F101" s="507">
        <f>F94+F98</f>
        <v>0</v>
      </c>
      <c r="G101" s="1817" t="str">
        <f>IF(ISERROR(F101/F103)," ",F101/F103)</f>
        <v xml:space="preserve"> </v>
      </c>
      <c r="H101" s="507">
        <f>H94+H98</f>
        <v>0</v>
      </c>
      <c r="I101" s="1817" t="str">
        <f>IF(ISERROR(H101/H103)," ",H101/H103)</f>
        <v xml:space="preserve"> </v>
      </c>
      <c r="J101" s="507">
        <f>J94+J98</f>
        <v>0</v>
      </c>
      <c r="K101" s="1817" t="str">
        <f>IF(ISERROR(J101/J103)," ",J101/J103)</f>
        <v xml:space="preserve"> </v>
      </c>
      <c r="L101" s="507">
        <f>L94+L98</f>
        <v>0</v>
      </c>
      <c r="M101" s="1817" t="str">
        <f>IF(ISERROR(L101/L103)," ",L101/L103)</f>
        <v xml:space="preserve"> </v>
      </c>
      <c r="N101" s="507">
        <f>N94+N98</f>
        <v>0</v>
      </c>
      <c r="O101" s="510" t="str">
        <f>IF(ISERROR(N101/N103)," ",N101/N103)</f>
        <v xml:space="preserve"> </v>
      </c>
      <c r="P101" s="8"/>
    </row>
    <row r="102" spans="2:18" ht="20.100000000000001" customHeight="1">
      <c r="B102" s="2038"/>
      <c r="C102" s="2196" t="s">
        <v>643</v>
      </c>
      <c r="D102" s="2197"/>
      <c r="E102" s="2198"/>
      <c r="F102" s="508">
        <f>F95+F99</f>
        <v>0</v>
      </c>
      <c r="G102" s="1818" t="str">
        <f>IF(ISERROR(F102/F103)," ",F102/F103)</f>
        <v xml:space="preserve"> </v>
      </c>
      <c r="H102" s="508">
        <f>H95+H99</f>
        <v>0</v>
      </c>
      <c r="I102" s="1818" t="str">
        <f>IF(ISERROR(H102/H103)," ",H102/H103)</f>
        <v xml:space="preserve"> </v>
      </c>
      <c r="J102" s="508">
        <f>J95+J99</f>
        <v>0</v>
      </c>
      <c r="K102" s="1818" t="str">
        <f>IF(ISERROR(J102/J103)," ",J102/J103)</f>
        <v xml:space="preserve"> </v>
      </c>
      <c r="L102" s="508">
        <f>L95+L99</f>
        <v>0</v>
      </c>
      <c r="M102" s="1818" t="str">
        <f>IF(ISERROR(L102/L103)," ",L102/L103)</f>
        <v xml:space="preserve"> </v>
      </c>
      <c r="N102" s="508">
        <f>N95+N99</f>
        <v>0</v>
      </c>
      <c r="O102" s="511" t="str">
        <f>IF(ISERROR(N102/N103)," ",N102/N103)</f>
        <v xml:space="preserve"> </v>
      </c>
    </row>
    <row r="103" spans="2:18" ht="21.9" customHeight="1">
      <c r="B103" s="2040"/>
      <c r="C103" s="2181" t="s">
        <v>413</v>
      </c>
      <c r="D103" s="2077"/>
      <c r="E103" s="2078"/>
      <c r="F103" s="666">
        <f>F100+F101+F102</f>
        <v>0</v>
      </c>
      <c r="G103" s="1819" t="str">
        <f>IF(F103=0," ",100%)</f>
        <v xml:space="preserve"> </v>
      </c>
      <c r="H103" s="666">
        <f>H100+H101+H102</f>
        <v>0</v>
      </c>
      <c r="I103" s="1819" t="str">
        <f>IF(H103=0," ",100%)</f>
        <v xml:space="preserve"> </v>
      </c>
      <c r="J103" s="666">
        <f>J100+J101+J102</f>
        <v>0</v>
      </c>
      <c r="K103" s="1819" t="str">
        <f>IF(J103=0," ",100%)</f>
        <v xml:space="preserve"> </v>
      </c>
      <c r="L103" s="666">
        <f>L100+L101+L102</f>
        <v>0</v>
      </c>
      <c r="M103" s="1819" t="str">
        <f>IF(L103=0," ",100%)</f>
        <v xml:space="preserve"> </v>
      </c>
      <c r="N103" s="666">
        <f>N100+N101+N102</f>
        <v>0</v>
      </c>
      <c r="O103" s="667" t="str">
        <f>IF(N103=0," ",100%)</f>
        <v xml:space="preserve"> </v>
      </c>
    </row>
    <row r="104" spans="2:18" ht="6" customHeight="1">
      <c r="B104" s="2201"/>
      <c r="C104" s="2201"/>
      <c r="D104" s="2202"/>
      <c r="E104" s="2202"/>
    </row>
    <row r="105" spans="2:18" ht="20.100000000000001" customHeight="1">
      <c r="B105" s="2203" t="s">
        <v>673</v>
      </c>
      <c r="C105" s="2204"/>
      <c r="D105" s="2205"/>
      <c r="E105" s="2206"/>
      <c r="F105" s="668">
        <f>SUM(F106:F108)</f>
        <v>0</v>
      </c>
      <c r="G105" s="1820"/>
      <c r="H105" s="668">
        <f>SUM(H106:H108)</f>
        <v>0</v>
      </c>
      <c r="I105" s="1820"/>
      <c r="J105" s="668">
        <f>SUM(J106:J108)</f>
        <v>0</v>
      </c>
      <c r="K105" s="1820"/>
      <c r="L105" s="668">
        <f>SUM(L106:L108)</f>
        <v>0</v>
      </c>
      <c r="M105" s="1820"/>
      <c r="N105" s="668">
        <f>SUM(N106:N108)</f>
        <v>0</v>
      </c>
      <c r="O105" s="1808"/>
    </row>
    <row r="106" spans="2:18" ht="20.100000000000001" customHeight="1">
      <c r="B106" s="993" t="s">
        <v>136</v>
      </c>
      <c r="C106" s="2216" t="s">
        <v>682</v>
      </c>
      <c r="D106" s="2071"/>
      <c r="E106" s="2217"/>
      <c r="F106" s="96">
        <f>eh_1</f>
        <v>0</v>
      </c>
      <c r="G106" s="1821"/>
      <c r="H106" s="96">
        <f>eh_2</f>
        <v>0</v>
      </c>
      <c r="I106" s="1821"/>
      <c r="J106" s="96">
        <f>eh_3</f>
        <v>0</v>
      </c>
      <c r="K106" s="1821"/>
      <c r="L106" s="96">
        <f>eh_4</f>
        <v>0</v>
      </c>
      <c r="M106" s="1821"/>
      <c r="N106" s="96">
        <f>eh_5</f>
        <v>0</v>
      </c>
      <c r="O106" s="1809"/>
    </row>
    <row r="107" spans="2:18" ht="20.100000000000001" customHeight="1">
      <c r="B107" s="993" t="s">
        <v>674</v>
      </c>
      <c r="C107" s="2216" t="s">
        <v>683</v>
      </c>
      <c r="D107" s="2071"/>
      <c r="E107" s="2217"/>
      <c r="F107" s="96">
        <f>ys_1</f>
        <v>0</v>
      </c>
      <c r="G107" s="1822"/>
      <c r="H107" s="96">
        <f>ys_2</f>
        <v>0</v>
      </c>
      <c r="I107" s="1822"/>
      <c r="J107" s="96">
        <f>ys_3</f>
        <v>0</v>
      </c>
      <c r="K107" s="1822"/>
      <c r="L107" s="96">
        <f>ys_4</f>
        <v>0</v>
      </c>
      <c r="M107" s="1822"/>
      <c r="N107" s="96">
        <f>ys_5</f>
        <v>0</v>
      </c>
      <c r="O107" s="1810"/>
    </row>
    <row r="108" spans="2:18" ht="20.100000000000001" customHeight="1">
      <c r="B108" s="651" t="s">
        <v>591</v>
      </c>
      <c r="C108" s="2218" t="s">
        <v>459</v>
      </c>
      <c r="D108" s="2219"/>
      <c r="E108" s="2220"/>
      <c r="F108" s="467">
        <f>factor_1C</f>
        <v>0</v>
      </c>
      <c r="G108" s="1823"/>
      <c r="H108" s="467">
        <f>factor_2C</f>
        <v>0</v>
      </c>
      <c r="I108" s="1823"/>
      <c r="J108" s="467">
        <f>factor_3C</f>
        <v>0</v>
      </c>
      <c r="K108" s="1823"/>
      <c r="L108" s="467">
        <f>factor_4C</f>
        <v>0</v>
      </c>
      <c r="M108" s="1823"/>
      <c r="N108" s="467">
        <f>factor_5C</f>
        <v>0</v>
      </c>
      <c r="O108" s="1811"/>
    </row>
    <row r="109" spans="2:18" ht="9" customHeight="1">
      <c r="F109" s="26"/>
      <c r="G109" s="26"/>
      <c r="H109" s="26"/>
      <c r="I109" s="26"/>
      <c r="J109" s="26"/>
      <c r="K109" s="26"/>
      <c r="L109" s="26"/>
      <c r="M109" s="26"/>
      <c r="N109" s="26"/>
    </row>
    <row r="110" spans="2:18" ht="20.100000000000001" customHeight="1">
      <c r="B110" s="2207" t="s">
        <v>640</v>
      </c>
      <c r="C110" s="2199" t="s">
        <v>644</v>
      </c>
      <c r="D110" s="2200"/>
      <c r="E110" s="2200"/>
      <c r="F110" s="652">
        <f>F87+F100+F105</f>
        <v>0</v>
      </c>
      <c r="G110" s="653" t="str">
        <f>IF(F110=0," ",F110/F113)</f>
        <v xml:space="preserve"> </v>
      </c>
      <c r="H110" s="654">
        <f>H87+H100+H105</f>
        <v>0</v>
      </c>
      <c r="I110" s="653" t="str">
        <f>IF(H110=0," ",H110/H113)</f>
        <v xml:space="preserve"> </v>
      </c>
      <c r="J110" s="654">
        <f>J87+J100+J105</f>
        <v>0</v>
      </c>
      <c r="K110" s="653" t="str">
        <f>IF(J110=0," ",J110/J113)</f>
        <v xml:space="preserve"> </v>
      </c>
      <c r="L110" s="654">
        <f>L87+L100+L105</f>
        <v>0</v>
      </c>
      <c r="M110" s="653" t="str">
        <f>IF(L110=0," ",L110/L113)</f>
        <v xml:space="preserve"> </v>
      </c>
      <c r="N110" s="654">
        <f>N87+N100+N105</f>
        <v>0</v>
      </c>
      <c r="O110" s="655" t="str">
        <f>IF(N110=0," ",N110/N113)</f>
        <v xml:space="preserve"> </v>
      </c>
    </row>
    <row r="111" spans="2:18" ht="20.100000000000001" customHeight="1">
      <c r="B111" s="2208"/>
      <c r="C111" s="2177" t="s">
        <v>642</v>
      </c>
      <c r="D111" s="2178"/>
      <c r="E111" s="2178"/>
      <c r="F111" s="406">
        <f t="shared" ref="F111:F112" si="0">F88+F101</f>
        <v>0</v>
      </c>
      <c r="G111" s="404" t="str">
        <f>IF(F111=0," ",F111/F113)</f>
        <v xml:space="preserve"> </v>
      </c>
      <c r="H111" s="402">
        <f t="shared" ref="H111:H112" si="1">H88+H101</f>
        <v>0</v>
      </c>
      <c r="I111" s="404" t="str">
        <f>IF(H111=0," ",H111/H113)</f>
        <v xml:space="preserve"> </v>
      </c>
      <c r="J111" s="402">
        <f t="shared" ref="J111:J112" si="2">J88+J101</f>
        <v>0</v>
      </c>
      <c r="K111" s="404" t="str">
        <f>IF(J111=0," ",J111/J113)</f>
        <v xml:space="preserve"> </v>
      </c>
      <c r="L111" s="402">
        <f t="shared" ref="L111:L112" si="3">L88+L101</f>
        <v>0</v>
      </c>
      <c r="M111" s="404" t="str">
        <f>IF(L111=0," ",L111/L113)</f>
        <v xml:space="preserve"> </v>
      </c>
      <c r="N111" s="402">
        <f t="shared" ref="N111:N112" si="4">N88+N101</f>
        <v>0</v>
      </c>
      <c r="O111" s="656" t="str">
        <f>IF(N111=0," ",N111/N113)</f>
        <v xml:space="preserve"> </v>
      </c>
    </row>
    <row r="112" spans="2:18" ht="20.100000000000001" customHeight="1">
      <c r="B112" s="2208"/>
      <c r="C112" s="2179" t="s">
        <v>643</v>
      </c>
      <c r="D112" s="2180"/>
      <c r="E112" s="2180"/>
      <c r="F112" s="407">
        <f t="shared" si="0"/>
        <v>0</v>
      </c>
      <c r="G112" s="405" t="str">
        <f>IF(F112=0," ",F112/F113)</f>
        <v xml:space="preserve"> </v>
      </c>
      <c r="H112" s="403">
        <f t="shared" si="1"/>
        <v>0</v>
      </c>
      <c r="I112" s="405" t="str">
        <f>IF(H112=0," ",H112/H113)</f>
        <v xml:space="preserve"> </v>
      </c>
      <c r="J112" s="403">
        <f t="shared" si="2"/>
        <v>0</v>
      </c>
      <c r="K112" s="405" t="str">
        <f>IF(J112=0," ",J112/J113)</f>
        <v xml:space="preserve"> </v>
      </c>
      <c r="L112" s="403">
        <f t="shared" si="3"/>
        <v>0</v>
      </c>
      <c r="M112" s="405" t="str">
        <f>IF(L112=0," ",L112/L113)</f>
        <v xml:space="preserve"> </v>
      </c>
      <c r="N112" s="403">
        <f t="shared" si="4"/>
        <v>0</v>
      </c>
      <c r="O112" s="657" t="str">
        <f>IF(N112=0," ",N112/N113)</f>
        <v xml:space="preserve"> </v>
      </c>
    </row>
    <row r="113" spans="2:18" ht="20.100000000000001" customHeight="1">
      <c r="B113" s="2040"/>
      <c r="C113" s="2209" t="s">
        <v>413</v>
      </c>
      <c r="D113" s="2210"/>
      <c r="E113" s="2210"/>
      <c r="F113" s="658">
        <f>SUM(F110:F112)</f>
        <v>0</v>
      </c>
      <c r="G113" s="659" t="str">
        <f>IF(F113=0," ",100%)</f>
        <v xml:space="preserve"> </v>
      </c>
      <c r="H113" s="660">
        <f>SUM(H110:H112)</f>
        <v>0</v>
      </c>
      <c r="I113" s="659" t="str">
        <f>IF(H113=0," ",100%)</f>
        <v xml:space="preserve"> </v>
      </c>
      <c r="J113" s="660">
        <f>SUM(J110:J112)</f>
        <v>0</v>
      </c>
      <c r="K113" s="659" t="str">
        <f>IF(J113=0," ",100%)</f>
        <v xml:space="preserve"> </v>
      </c>
      <c r="L113" s="660">
        <f>SUM(L110:L112)</f>
        <v>0</v>
      </c>
      <c r="M113" s="659" t="str">
        <f>IF(L113=0," ",100%)</f>
        <v xml:space="preserve"> </v>
      </c>
      <c r="N113" s="660">
        <f>SUM(N110:N112)</f>
        <v>0</v>
      </c>
      <c r="O113" s="661" t="str">
        <f>IF(N113=0," ",100%)</f>
        <v xml:space="preserve"> </v>
      </c>
    </row>
    <row r="114" spans="2:18" ht="20.100000000000001" customHeight="1">
      <c r="B114" s="2214" t="s">
        <v>283</v>
      </c>
      <c r="C114" s="2214"/>
      <c r="D114" s="2215"/>
      <c r="E114" s="2215"/>
      <c r="F114" s="26"/>
      <c r="G114" s="26"/>
      <c r="H114" s="26"/>
      <c r="I114" s="26"/>
      <c r="J114" s="26"/>
      <c r="K114" s="26"/>
      <c r="L114" s="26"/>
      <c r="M114" s="26"/>
      <c r="N114" s="26"/>
    </row>
    <row r="115" spans="2:18" ht="20.100000000000001" customHeight="1">
      <c r="B115" s="2155" t="s">
        <v>284</v>
      </c>
      <c r="C115" s="2192"/>
      <c r="D115" s="2167" t="s">
        <v>163</v>
      </c>
      <c r="E115" s="2169" t="s">
        <v>285</v>
      </c>
      <c r="F115" s="514"/>
      <c r="G115" s="2150"/>
      <c r="H115" s="514"/>
      <c r="I115" s="2150"/>
      <c r="J115" s="514"/>
      <c r="K115" s="2150"/>
      <c r="L115" s="514"/>
      <c r="M115" s="2150"/>
      <c r="N115" s="514"/>
      <c r="O115" s="2152"/>
    </row>
    <row r="116" spans="2:18" s="254" customFormat="1" ht="20.100000000000001" customHeight="1">
      <c r="B116" s="2193" t="s">
        <v>634</v>
      </c>
      <c r="C116" s="2186"/>
      <c r="D116" s="2168"/>
      <c r="E116" s="2170"/>
      <c r="F116" s="513" t="str">
        <f>IF(ISBLANK(ze_1)," ",ze_1/r_2)</f>
        <v xml:space="preserve"> </v>
      </c>
      <c r="G116" s="2151"/>
      <c r="H116" s="513" t="str">
        <f>IF(ISBLANK(ze_2)," ",ze_2/r_3)</f>
        <v xml:space="preserve"> </v>
      </c>
      <c r="I116" s="2151"/>
      <c r="J116" s="513" t="str">
        <f>IF(ISBLANK(ze_3)," ",ze_3/r_4)</f>
        <v xml:space="preserve"> </v>
      </c>
      <c r="K116" s="2151"/>
      <c r="L116" s="513" t="str">
        <f>IF(ISBLANK(ze_4)," ",ze_4/r_5)</f>
        <v xml:space="preserve"> </v>
      </c>
      <c r="M116" s="2151"/>
      <c r="N116" s="513" t="str">
        <f>IF(ISBLANK(ze_5)," ",ze_5/resultat!K151)</f>
        <v xml:space="preserve"> </v>
      </c>
      <c r="O116" s="2153"/>
    </row>
    <row r="117" spans="2:18" s="32" customFormat="1" ht="20.100000000000001" customHeight="1">
      <c r="B117" s="2194" t="s">
        <v>103</v>
      </c>
      <c r="C117" s="2195"/>
      <c r="D117" s="1702" t="s">
        <v>163</v>
      </c>
      <c r="E117" s="1654" t="s">
        <v>104</v>
      </c>
      <c r="F117" s="1825"/>
      <c r="G117" s="1826"/>
      <c r="H117" s="1827"/>
      <c r="I117" s="1826"/>
      <c r="J117" s="1827"/>
      <c r="K117" s="1826"/>
      <c r="L117" s="1827"/>
      <c r="M117" s="1826"/>
      <c r="N117" s="1827"/>
      <c r="O117" s="1828"/>
      <c r="P117" s="4"/>
      <c r="Q117" s="8"/>
      <c r="R117" s="4"/>
    </row>
    <row r="118" spans="2:18" s="32" customFormat="1" ht="20.100000000000001" customHeight="1">
      <c r="B118" s="2183" t="s">
        <v>698</v>
      </c>
      <c r="C118" s="2184"/>
      <c r="D118" s="1829">
        <v>0.2</v>
      </c>
      <c r="E118" s="1830"/>
      <c r="F118" s="1831">
        <f>ROUND(IF(tvac_1=0,(ca_1-export_1)*'Infos complémentaires'!$D$118,0),0)</f>
        <v>0</v>
      </c>
      <c r="G118" s="1832"/>
      <c r="H118" s="1833">
        <f>ROUND(IF(tvac_2=0,(ca_2-export_2)*'Infos complémentaires'!$D$118,0),0)</f>
        <v>0</v>
      </c>
      <c r="I118" s="1832"/>
      <c r="J118" s="1833">
        <f>ROUND(IF(tvac_3=0,(ca_3-export_3)*'Infos complémentaires'!$D$118,0),0)</f>
        <v>0</v>
      </c>
      <c r="K118" s="1832"/>
      <c r="L118" s="1833">
        <f>ROUND(IF(tvac_4=0,(ca_4-export_4)*'Infos complémentaires'!$D$118,0),0)</f>
        <v>0</v>
      </c>
      <c r="M118" s="1832"/>
      <c r="N118" s="1833">
        <f>ROUND(IF(tvac_5=0,(ca_5-export_5)*'Infos complémentaires'!$D$118,0),0)</f>
        <v>0</v>
      </c>
      <c r="O118" s="1381"/>
      <c r="P118" s="4"/>
      <c r="Q118" s="4"/>
      <c r="R118" s="4"/>
    </row>
    <row r="119" spans="2:18" s="32" customFormat="1" ht="20.100000000000001" customHeight="1">
      <c r="B119" s="2185" t="s">
        <v>666</v>
      </c>
      <c r="C119" s="2186"/>
      <c r="D119" s="1376" t="s">
        <v>163</v>
      </c>
      <c r="E119" s="1824" t="s">
        <v>105</v>
      </c>
      <c r="F119" s="43"/>
      <c r="G119" s="1792"/>
      <c r="H119" s="41"/>
      <c r="I119" s="1792"/>
      <c r="J119" s="41"/>
      <c r="K119" s="1792"/>
      <c r="L119" s="41"/>
      <c r="M119" s="1792"/>
      <c r="N119" s="41"/>
      <c r="O119" s="677"/>
      <c r="P119" s="4"/>
      <c r="Q119" s="4"/>
      <c r="R119" s="4"/>
    </row>
    <row r="120" spans="2:18" s="32" customFormat="1" ht="20.100000000000001" customHeight="1">
      <c r="B120" s="2187" t="s">
        <v>697</v>
      </c>
      <c r="C120" s="2188"/>
      <c r="D120" s="1051">
        <v>0.2</v>
      </c>
      <c r="E120" s="1834"/>
      <c r="F120" s="516">
        <f>ROUND(IF(tvad_1=0,(fs_1+fu_1+fw_1-hp_1-hq_1)*$D$120,0),0)</f>
        <v>0</v>
      </c>
      <c r="G120" s="1792"/>
      <c r="H120" s="503">
        <f>ROUND(IF(tvad_2=0,(fs_2+fu_2+fw_2-hp_2-hq_2)*$D$120,0),0)</f>
        <v>0</v>
      </c>
      <c r="I120" s="1792"/>
      <c r="J120" s="503">
        <f>ROUND(IF(tvad_3=0,(fs_3+fu_3+fw_3-hp_3-hq_3)*$D$120,0),0)</f>
        <v>0</v>
      </c>
      <c r="K120" s="1792"/>
      <c r="L120" s="503">
        <f>ROUND(IF(tvad_4=0,(fs_4+fu_4+fw_4-hp_3-hq_3)*$D$120,0),0)</f>
        <v>0</v>
      </c>
      <c r="M120" s="1792"/>
      <c r="N120" s="503">
        <f>ROUND(IF(tvad_5=0,(fs_5+fu_5+fw_5-hp_5-hq_5)*$D$120,0),0)</f>
        <v>0</v>
      </c>
      <c r="O120" s="1380"/>
      <c r="P120" s="4"/>
      <c r="Q120" s="4"/>
      <c r="R120" s="4"/>
    </row>
    <row r="121" spans="2:18" s="254" customFormat="1" ht="21.9" customHeight="1">
      <c r="B121" s="2173" t="s">
        <v>106</v>
      </c>
      <c r="C121" s="2189"/>
      <c r="D121" s="1839" t="s">
        <v>163</v>
      </c>
      <c r="E121" s="1840" t="s">
        <v>244</v>
      </c>
      <c r="F121" s="1841"/>
      <c r="G121" s="1843"/>
      <c r="H121" s="1841"/>
      <c r="I121" s="1843"/>
      <c r="J121" s="1841"/>
      <c r="K121" s="1843"/>
      <c r="L121" s="1841"/>
      <c r="M121" s="1843"/>
      <c r="N121" s="1841"/>
      <c r="O121" s="1845"/>
    </row>
    <row r="122" spans="2:18" s="32" customFormat="1" ht="20.100000000000001" customHeight="1">
      <c r="B122" s="1835" t="s">
        <v>422</v>
      </c>
      <c r="C122" s="1836"/>
      <c r="D122" s="2221"/>
      <c r="E122" s="2222"/>
      <c r="F122" s="96">
        <f>yu_1</f>
        <v>0</v>
      </c>
      <c r="G122" s="1792"/>
      <c r="H122" s="96">
        <f>yu_2</f>
        <v>0</v>
      </c>
      <c r="I122" s="1792"/>
      <c r="J122" s="96">
        <f>yu_3</f>
        <v>0</v>
      </c>
      <c r="K122" s="1792"/>
      <c r="L122" s="96">
        <f>yu_4</f>
        <v>0</v>
      </c>
      <c r="M122" s="1792"/>
      <c r="N122" s="96">
        <f>yu_5</f>
        <v>0</v>
      </c>
      <c r="O122" s="677"/>
      <c r="P122" s="4"/>
      <c r="Q122" s="4"/>
      <c r="R122" s="4"/>
    </row>
    <row r="123" spans="2:18" ht="20.100000000000001" customHeight="1">
      <c r="B123" s="1382" t="s">
        <v>168</v>
      </c>
      <c r="C123" s="1837"/>
      <c r="D123" s="2221"/>
      <c r="E123" s="2222"/>
      <c r="F123" s="515"/>
      <c r="G123" s="1792"/>
      <c r="H123" s="515"/>
      <c r="I123" s="1792"/>
      <c r="J123" s="515"/>
      <c r="K123" s="1792"/>
      <c r="L123" s="515"/>
      <c r="M123" s="1792"/>
      <c r="N123" s="515"/>
      <c r="O123" s="677"/>
    </row>
    <row r="124" spans="2:18" s="254" customFormat="1" ht="21.9" customHeight="1">
      <c r="B124" s="2173" t="s">
        <v>107</v>
      </c>
      <c r="C124" s="2174"/>
      <c r="D124" s="2175"/>
      <c r="E124" s="2176"/>
      <c r="F124" s="1842">
        <f>IF(ISERROR(F122/F123),0,F122/F123)</f>
        <v>0</v>
      </c>
      <c r="G124" s="1844"/>
      <c r="H124" s="1842">
        <f>IF(ISERROR(H122/H123),0,H122/H123)</f>
        <v>0</v>
      </c>
      <c r="I124" s="1844"/>
      <c r="J124" s="1842">
        <f>IF(ISERROR(J122/J123),0,J122/J123)</f>
        <v>0</v>
      </c>
      <c r="K124" s="1844"/>
      <c r="L124" s="1842">
        <f>IF(ISERROR(L122/L123),0,L122/L123)</f>
        <v>0</v>
      </c>
      <c r="M124" s="1844"/>
      <c r="N124" s="1842">
        <f>IF(ISERROR(N122/N123),0,N122/N123)</f>
        <v>0</v>
      </c>
      <c r="O124" s="1846"/>
    </row>
    <row r="125" spans="2:18" s="32" customFormat="1" ht="21.9" customHeight="1">
      <c r="B125" s="2139" t="s">
        <v>668</v>
      </c>
      <c r="C125" s="2140"/>
      <c r="D125" s="2141"/>
      <c r="E125" s="2142"/>
      <c r="F125" s="1847">
        <f>F121+F124</f>
        <v>0</v>
      </c>
      <c r="G125" s="1838"/>
      <c r="H125" s="1847">
        <f>H121+H124</f>
        <v>0</v>
      </c>
      <c r="I125" s="1838"/>
      <c r="J125" s="1847">
        <f>J121+J124</f>
        <v>0</v>
      </c>
      <c r="K125" s="1838"/>
      <c r="L125" s="1847">
        <f>L121+L124</f>
        <v>0</v>
      </c>
      <c r="M125" s="1838"/>
      <c r="N125" s="1847">
        <f>N121+N124</f>
        <v>0</v>
      </c>
      <c r="O125" s="679"/>
      <c r="P125" s="4"/>
      <c r="Q125" s="4"/>
      <c r="R125" s="4"/>
    </row>
    <row r="126" spans="2:18" ht="12" customHeight="1">
      <c r="B126" s="19"/>
      <c r="C126" s="19"/>
      <c r="D126" s="38"/>
      <c r="F126" s="23"/>
      <c r="G126" s="23"/>
      <c r="H126" s="23"/>
      <c r="I126" s="23"/>
      <c r="J126" s="23"/>
      <c r="K126" s="23"/>
      <c r="L126" s="23"/>
      <c r="M126" s="23"/>
      <c r="N126" s="23"/>
      <c r="O126" s="15"/>
      <c r="P126" s="15"/>
      <c r="Q126" s="15"/>
      <c r="R126" s="15"/>
    </row>
    <row r="127" spans="2:18" ht="20.100000000000001" customHeight="1"/>
    <row r="128" spans="2:1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sheetData>
  <sheetProtection algorithmName="SHA-512" hashValue="IppcmftCaTalZM/yJz7BLtmDBoz2LHQR+07SfRGIk582q3Yn/ly0f+uZWn+UtUij/qnxPTA496RVqWpnJxFMBw==" saltValue="5rdNFmgDUuceqGup5gWSnQ==" spinCount="100000" sheet="1" objects="1" scenarios="1" formatCells="0" formatColumns="0" formatRows="0" insertColumns="0" insertRows="0" insertHyperlinks="0" deleteColumns="0" deleteRows="0" sort="0" autoFilter="0" pivotTables="0"/>
  <mergeCells count="145">
    <mergeCell ref="C97:E97"/>
    <mergeCell ref="C98:E98"/>
    <mergeCell ref="C99:E99"/>
    <mergeCell ref="C93:E93"/>
    <mergeCell ref="C94:E94"/>
    <mergeCell ref="C95:E95"/>
    <mergeCell ref="C90:E90"/>
    <mergeCell ref="B92:E92"/>
    <mergeCell ref="C88:E88"/>
    <mergeCell ref="B96:E96"/>
    <mergeCell ref="O34:O37"/>
    <mergeCell ref="B44:C44"/>
    <mergeCell ref="D44:E44"/>
    <mergeCell ref="D45:E45"/>
    <mergeCell ref="D46:E46"/>
    <mergeCell ref="C67:E67"/>
    <mergeCell ref="M41:M42"/>
    <mergeCell ref="M43:M47"/>
    <mergeCell ref="O41:O42"/>
    <mergeCell ref="O43:O47"/>
    <mergeCell ref="M51:M52"/>
    <mergeCell ref="B40:E40"/>
    <mergeCell ref="B50:E50"/>
    <mergeCell ref="D41:E41"/>
    <mergeCell ref="D42:E42"/>
    <mergeCell ref="D43:E43"/>
    <mergeCell ref="B48:E48"/>
    <mergeCell ref="B47:C47"/>
    <mergeCell ref="G41:G42"/>
    <mergeCell ref="G43:G47"/>
    <mergeCell ref="I41:I42"/>
    <mergeCell ref="I43:I47"/>
    <mergeCell ref="K41:K42"/>
    <mergeCell ref="K43:K47"/>
    <mergeCell ref="O59:O62"/>
    <mergeCell ref="C87:E87"/>
    <mergeCell ref="D47:E47"/>
    <mergeCell ref="M53:M55"/>
    <mergeCell ref="O51:O52"/>
    <mergeCell ref="O53:O55"/>
    <mergeCell ref="B61:C61"/>
    <mergeCell ref="B62:C62"/>
    <mergeCell ref="B58:E58"/>
    <mergeCell ref="D53:E53"/>
    <mergeCell ref="D54:E54"/>
    <mergeCell ref="D55:E55"/>
    <mergeCell ref="D51:E51"/>
    <mergeCell ref="B60:C60"/>
    <mergeCell ref="B87:B90"/>
    <mergeCell ref="B63:E63"/>
    <mergeCell ref="C78:E78"/>
    <mergeCell ref="C79:E79"/>
    <mergeCell ref="C80:E80"/>
    <mergeCell ref="C83:E83"/>
    <mergeCell ref="C84:E84"/>
    <mergeCell ref="C85:E85"/>
    <mergeCell ref="C68:E68"/>
    <mergeCell ref="C69:E69"/>
    <mergeCell ref="B56:E56"/>
    <mergeCell ref="C73:E73"/>
    <mergeCell ref="C74:E74"/>
    <mergeCell ref="C75:E75"/>
    <mergeCell ref="C89:E89"/>
    <mergeCell ref="B46:C46"/>
    <mergeCell ref="I59:I62"/>
    <mergeCell ref="K59:K62"/>
    <mergeCell ref="M59:M62"/>
    <mergeCell ref="C70:E70"/>
    <mergeCell ref="G51:G52"/>
    <mergeCell ref="G53:G55"/>
    <mergeCell ref="I51:I52"/>
    <mergeCell ref="I53:I55"/>
    <mergeCell ref="K51:K52"/>
    <mergeCell ref="K53:K55"/>
    <mergeCell ref="D122:E123"/>
    <mergeCell ref="C72:E72"/>
    <mergeCell ref="C77:E77"/>
    <mergeCell ref="C82:E82"/>
    <mergeCell ref="L4:M4"/>
    <mergeCell ref="N4:O4"/>
    <mergeCell ref="B6:E6"/>
    <mergeCell ref="G59:G62"/>
    <mergeCell ref="I34:I37"/>
    <mergeCell ref="K34:K37"/>
    <mergeCell ref="M34:M37"/>
    <mergeCell ref="G34:G37"/>
    <mergeCell ref="B42:C42"/>
    <mergeCell ref="B43:C43"/>
    <mergeCell ref="H4:I4"/>
    <mergeCell ref="J4:K4"/>
    <mergeCell ref="B45:C45"/>
    <mergeCell ref="D52:E52"/>
    <mergeCell ref="B51:C51"/>
    <mergeCell ref="B52:C52"/>
    <mergeCell ref="B53:C53"/>
    <mergeCell ref="B54:C54"/>
    <mergeCell ref="B55:C55"/>
    <mergeCell ref="B59:C59"/>
    <mergeCell ref="C111:E111"/>
    <mergeCell ref="C112:E112"/>
    <mergeCell ref="C103:E103"/>
    <mergeCell ref="B100:B103"/>
    <mergeCell ref="B118:C118"/>
    <mergeCell ref="B119:C119"/>
    <mergeCell ref="B120:C120"/>
    <mergeCell ref="B121:C121"/>
    <mergeCell ref="C100:E100"/>
    <mergeCell ref="B115:C115"/>
    <mergeCell ref="B116:C116"/>
    <mergeCell ref="B117:C117"/>
    <mergeCell ref="C102:E102"/>
    <mergeCell ref="C110:E110"/>
    <mergeCell ref="B104:E104"/>
    <mergeCell ref="B105:E105"/>
    <mergeCell ref="B110:B113"/>
    <mergeCell ref="C113:E113"/>
    <mergeCell ref="C101:E101"/>
    <mergeCell ref="B114:E114"/>
    <mergeCell ref="C106:E106"/>
    <mergeCell ref="C107:E107"/>
    <mergeCell ref="C108:E108"/>
    <mergeCell ref="B125:E125"/>
    <mergeCell ref="B2:C2"/>
    <mergeCell ref="B27:C29"/>
    <mergeCell ref="B7:C9"/>
    <mergeCell ref="B13:C15"/>
    <mergeCell ref="B19:C21"/>
    <mergeCell ref="D2:O2"/>
    <mergeCell ref="G115:G116"/>
    <mergeCell ref="I115:I116"/>
    <mergeCell ref="K115:K116"/>
    <mergeCell ref="M115:M116"/>
    <mergeCell ref="O115:O116"/>
    <mergeCell ref="B34:C34"/>
    <mergeCell ref="B35:C35"/>
    <mergeCell ref="B36:C36"/>
    <mergeCell ref="B37:C37"/>
    <mergeCell ref="B41:C41"/>
    <mergeCell ref="B31:E31"/>
    <mergeCell ref="B38:E38"/>
    <mergeCell ref="B33:E33"/>
    <mergeCell ref="D115:D116"/>
    <mergeCell ref="E115:E116"/>
    <mergeCell ref="F4:G4"/>
    <mergeCell ref="B124:E124"/>
  </mergeCells>
  <phoneticPr fontId="10" type="noConversion"/>
  <conditionalFormatting sqref="F11">
    <cfRule type="cellIs" dxfId="630" priority="25" operator="equal">
      <formula>0</formula>
    </cfRule>
  </conditionalFormatting>
  <conditionalFormatting sqref="H11">
    <cfRule type="cellIs" dxfId="629" priority="24" operator="equal">
      <formula>0</formula>
    </cfRule>
  </conditionalFormatting>
  <conditionalFormatting sqref="J11">
    <cfRule type="cellIs" dxfId="628" priority="23" operator="equal">
      <formula>0</formula>
    </cfRule>
  </conditionalFormatting>
  <conditionalFormatting sqref="L11">
    <cfRule type="cellIs" dxfId="627" priority="22" operator="equal">
      <formula>0</formula>
    </cfRule>
  </conditionalFormatting>
  <conditionalFormatting sqref="N11">
    <cfRule type="cellIs" dxfId="626" priority="21" operator="equal">
      <formula>0</formula>
    </cfRule>
  </conditionalFormatting>
  <conditionalFormatting sqref="F17">
    <cfRule type="cellIs" dxfId="625" priority="10" operator="equal">
      <formula>0</formula>
    </cfRule>
  </conditionalFormatting>
  <conditionalFormatting sqref="H17">
    <cfRule type="cellIs" dxfId="624" priority="9" operator="equal">
      <formula>0</formula>
    </cfRule>
  </conditionalFormatting>
  <conditionalFormatting sqref="J17">
    <cfRule type="cellIs" dxfId="623" priority="8" operator="equal">
      <formula>0</formula>
    </cfRule>
  </conditionalFormatting>
  <conditionalFormatting sqref="L17">
    <cfRule type="cellIs" dxfId="622" priority="7" operator="equal">
      <formula>0</formula>
    </cfRule>
  </conditionalFormatting>
  <conditionalFormatting sqref="N17">
    <cfRule type="cellIs" dxfId="621" priority="6" operator="equal">
      <formula>0</formula>
    </cfRule>
  </conditionalFormatting>
  <conditionalFormatting sqref="F23">
    <cfRule type="cellIs" dxfId="620" priority="5" operator="equal">
      <formula>0</formula>
    </cfRule>
  </conditionalFormatting>
  <conditionalFormatting sqref="H23">
    <cfRule type="cellIs" dxfId="619" priority="4" operator="equal">
      <formula>0</formula>
    </cfRule>
  </conditionalFormatting>
  <conditionalFormatting sqref="J23">
    <cfRule type="cellIs" dxfId="618" priority="3" operator="equal">
      <formula>0</formula>
    </cfRule>
  </conditionalFormatting>
  <conditionalFormatting sqref="L23">
    <cfRule type="cellIs" dxfId="617" priority="2" operator="equal">
      <formula>0</formula>
    </cfRule>
  </conditionalFormatting>
  <conditionalFormatting sqref="N23">
    <cfRule type="cellIs" dxfId="616" priority="1" operator="equal">
      <formula>0</formula>
    </cfRule>
  </conditionalFormatting>
  <dataValidations count="1">
    <dataValidation allowBlank="1" showInputMessage="1" showErrorMessage="1" prompt="inscrire le taux de TVA" sqref="D118" xr:uid="{00000000-0002-0000-0200-000000000000}"/>
  </dataValidations>
  <pageMargins left="0" right="0" top="0" bottom="0" header="0" footer="0"/>
  <pageSetup paperSize="9" scale="81"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76"/>
  <sheetViews>
    <sheetView showGridLines="0" showRowColHeaders="0" workbookViewId="0">
      <pane ySplit="8" topLeftCell="A51" activePane="bottomLeft" state="frozenSplit"/>
      <selection pane="bottomLeft" activeCell="E55" sqref="E55"/>
    </sheetView>
  </sheetViews>
  <sheetFormatPr baseColWidth="10" defaultColWidth="12" defaultRowHeight="13.8"/>
  <cols>
    <col min="1" max="1" width="1" style="126" customWidth="1"/>
    <col min="2" max="2" width="36.77734375" style="127" customWidth="1"/>
    <col min="3" max="3" width="10.77734375" style="127" customWidth="1"/>
    <col min="4" max="4" width="12.77734375" style="126" customWidth="1"/>
    <col min="5" max="5" width="11.77734375" style="363" customWidth="1"/>
    <col min="6" max="6" width="12.77734375" style="126" customWidth="1"/>
    <col min="7" max="7" width="11.77734375" style="363" customWidth="1"/>
    <col min="8" max="8" width="12.77734375" style="126" customWidth="1"/>
    <col min="9" max="9" width="11.77734375" style="363" customWidth="1"/>
    <col min="10" max="10" width="12.77734375" style="126" customWidth="1"/>
    <col min="11" max="11" width="11.77734375" style="363" customWidth="1"/>
    <col min="12" max="12" width="12.77734375" style="126" customWidth="1"/>
    <col min="13" max="13" width="11.77734375" style="363" customWidth="1"/>
    <col min="14" max="14" width="17.33203125" style="126" customWidth="1"/>
    <col min="15" max="16384" width="12" style="126"/>
  </cols>
  <sheetData>
    <row r="1" spans="2:14" ht="6" customHeight="1"/>
    <row r="2" spans="2:14" s="238" customFormat="1" ht="21.9" customHeight="1">
      <c r="B2" s="2143" t="str">
        <f>IF(ISBLANK(societe)," ",societe)</f>
        <v xml:space="preserve"> </v>
      </c>
      <c r="C2" s="2144"/>
      <c r="D2" s="2093" t="s">
        <v>703</v>
      </c>
      <c r="E2" s="2093"/>
      <c r="F2" s="2093"/>
      <c r="G2" s="2093"/>
      <c r="H2" s="2093"/>
      <c r="I2" s="2093"/>
      <c r="J2" s="2093"/>
      <c r="K2" s="2093"/>
      <c r="L2" s="2093"/>
      <c r="M2" s="2094"/>
    </row>
    <row r="3" spans="2:14" s="125" customFormat="1" ht="15" customHeight="1">
      <c r="B3" s="127"/>
      <c r="C3" s="127"/>
      <c r="E3" s="363"/>
      <c r="G3" s="363"/>
      <c r="I3" s="363"/>
      <c r="K3" s="363"/>
      <c r="M3" s="363"/>
    </row>
    <row r="4" spans="2:14" s="128" customFormat="1" ht="15" customHeight="1">
      <c r="C4" s="711"/>
      <c r="D4" s="2302" t="str">
        <f>IF(ISBLANK(d_4)," ",d_4)</f>
        <v xml:space="preserve"> </v>
      </c>
      <c r="E4" s="2095"/>
      <c r="F4" s="2095" t="str">
        <f>IF(ISBLANK(d_3)," ",d_3)</f>
        <v xml:space="preserve"> </v>
      </c>
      <c r="G4" s="2095"/>
      <c r="H4" s="2095" t="str">
        <f>IF(ISBLANK(d_2)," ",d_2)</f>
        <v xml:space="preserve"> </v>
      </c>
      <c r="I4" s="2095"/>
      <c r="J4" s="2095" t="str">
        <f>IF(ISBLANK(d_1)," ",d_1)</f>
        <v xml:space="preserve"> </v>
      </c>
      <c r="K4" s="2095"/>
      <c r="L4" s="2102" t="str">
        <f>IF(ISBLANK(d)," ",d)</f>
        <v xml:space="preserve"> </v>
      </c>
      <c r="M4" s="2112"/>
    </row>
    <row r="5" spans="2:14" s="128" customFormat="1" ht="15" customHeight="1">
      <c r="C5" s="711"/>
      <c r="D5" s="2303" t="str">
        <f>IF(du_2=0," ",du_2)</f>
        <v xml:space="preserve"> </v>
      </c>
      <c r="E5" s="2301"/>
      <c r="F5" s="2301" t="str">
        <f>IF(du_2=0," ",du_2)</f>
        <v xml:space="preserve"> </v>
      </c>
      <c r="G5" s="2301"/>
      <c r="H5" s="2301" t="str">
        <f>IF(du_3=0," ",du_3)</f>
        <v xml:space="preserve"> </v>
      </c>
      <c r="I5" s="2301"/>
      <c r="J5" s="2301" t="str">
        <f>IF(du_4=0," ",du_4)</f>
        <v xml:space="preserve"> </v>
      </c>
      <c r="K5" s="2301"/>
      <c r="L5" s="2282" t="str">
        <f>IF(du_5=0," ",du_5)</f>
        <v xml:space="preserve"> </v>
      </c>
      <c r="M5" s="2283"/>
    </row>
    <row r="6" spans="2:14" s="125" customFormat="1" ht="9" customHeight="1">
      <c r="B6" s="130"/>
      <c r="C6" s="130"/>
      <c r="D6" s="64"/>
      <c r="E6" s="364"/>
      <c r="F6" s="64"/>
      <c r="G6" s="364"/>
      <c r="H6" s="64"/>
      <c r="I6" s="364"/>
      <c r="J6" s="64"/>
      <c r="K6" s="364"/>
      <c r="L6" s="64"/>
      <c r="M6" s="364"/>
    </row>
    <row r="7" spans="2:14" s="128" customFormat="1" ht="20.100000000000001" customHeight="1">
      <c r="D7" s="130" t="s">
        <v>608</v>
      </c>
      <c r="E7" s="1248" t="str">
        <f>IF(ISERROR(IF(ca_1=0," ",(ca_1/ca_2)-1))," ",IF(ca_1=0," ",(ca_1/ca_2)-1))</f>
        <v xml:space="preserve"> </v>
      </c>
      <c r="F7" s="140"/>
      <c r="G7" s="1248" t="str">
        <f>IF(ISERROR(IF(ca_2=0," ",(ca_2/ca_3)-1))," ",IF(ca_2=0," ",(ca_2/ca_3)-1))</f>
        <v xml:space="preserve"> </v>
      </c>
      <c r="H7" s="140"/>
      <c r="I7" s="1248" t="str">
        <f>IF(ISERROR(IF(ca_3=0," ",(ca_3/ca_4)-1))," ",IF(ca_3=0," ",(ca_3/ca_4)-1))</f>
        <v xml:space="preserve"> </v>
      </c>
      <c r="J7" s="140"/>
      <c r="K7" s="1248" t="str">
        <f>IF(ISERROR(IF(ca_4=0," ",(ca_4/ca_5)-1))," ",IF(ca_4=0," ",(ca_4/ca_5)-1))</f>
        <v xml:space="preserve"> </v>
      </c>
      <c r="L7" s="140"/>
      <c r="M7" s="1248"/>
    </row>
    <row r="8" spans="2:14" s="128" customFormat="1" ht="6" customHeight="1">
      <c r="C8" s="130"/>
      <c r="D8" s="64"/>
      <c r="E8" s="364"/>
      <c r="F8" s="64"/>
      <c r="G8" s="364"/>
      <c r="H8" s="64"/>
      <c r="I8" s="364"/>
      <c r="J8" s="64"/>
      <c r="K8" s="364"/>
      <c r="L8" s="64"/>
      <c r="M8" s="364"/>
    </row>
    <row r="9" spans="2:14" s="128" customFormat="1" ht="6" customHeight="1">
      <c r="C9" s="130"/>
      <c r="D9" s="64"/>
      <c r="E9" s="364"/>
      <c r="F9" s="64"/>
      <c r="G9" s="364"/>
      <c r="H9" s="64"/>
      <c r="I9" s="364"/>
      <c r="J9" s="64"/>
      <c r="K9" s="364"/>
      <c r="L9" s="64"/>
      <c r="M9" s="364"/>
    </row>
    <row r="10" spans="2:14" s="257" customFormat="1" ht="21.9" customHeight="1">
      <c r="B10" s="1348" t="s">
        <v>647</v>
      </c>
      <c r="C10" s="1262"/>
      <c r="D10" s="1351" t="str">
        <f>IF(ISBLANK(u)," ",u)</f>
        <v xml:space="preserve"> </v>
      </c>
      <c r="E10" s="1263" t="s">
        <v>577</v>
      </c>
      <c r="F10" s="1349" t="str">
        <f>IF(ISBLANK(u)," ",u)</f>
        <v xml:space="preserve"> </v>
      </c>
      <c r="G10" s="1350" t="s">
        <v>577</v>
      </c>
      <c r="H10" s="1278" t="str">
        <f>IF(ISBLANK(u)," ",u)</f>
        <v xml:space="preserve"> </v>
      </c>
      <c r="I10" s="1263" t="s">
        <v>577</v>
      </c>
      <c r="J10" s="1349" t="str">
        <f>IF(ISBLANK(u)," ",u)</f>
        <v xml:space="preserve"> </v>
      </c>
      <c r="K10" s="1350" t="s">
        <v>577</v>
      </c>
      <c r="L10" s="1278" t="str">
        <f>IF(ISBLANK(u)," ",u)</f>
        <v xml:space="preserve"> </v>
      </c>
      <c r="M10" s="1301" t="s">
        <v>577</v>
      </c>
    </row>
    <row r="11" spans="2:14" s="2" customFormat="1" ht="20.100000000000001" customHeight="1">
      <c r="B11" s="702" t="s">
        <v>61</v>
      </c>
      <c r="C11" s="255"/>
      <c r="D11" s="1257" t="str">
        <f>IF(ca_1=0," ",rp_1)</f>
        <v xml:space="preserve"> </v>
      </c>
      <c r="E11" s="1283" t="str">
        <f t="shared" ref="E11:E26" si="0">IF(ISERROR((D11/F11)-1)," ",(D11/F11)-1)</f>
        <v xml:space="preserve"> </v>
      </c>
      <c r="F11" s="96" t="str">
        <f>IF(ca_2=0," ",rp_2)</f>
        <v xml:space="preserve"> </v>
      </c>
      <c r="G11" s="1292" t="str">
        <f t="shared" ref="G11:G26" si="1">IF(ISERROR((F11/H11)-1)," ",(F11/H11)-1)</f>
        <v xml:space="preserve"> </v>
      </c>
      <c r="H11" s="1257" t="str">
        <f>IF(ca_3=0," ",rp_3)</f>
        <v xml:space="preserve"> </v>
      </c>
      <c r="I11" s="1284" t="str">
        <f t="shared" ref="I11:I26" si="2">IF(ISERROR((H11/J11)-1)," ",(H11/J11)-1)</f>
        <v xml:space="preserve"> </v>
      </c>
      <c r="J11" s="96" t="str">
        <f>IF(ca_4=0," ",rp_4)</f>
        <v xml:space="preserve"> </v>
      </c>
      <c r="K11" s="1292" t="str">
        <f t="shared" ref="K11:K26" si="3">IF(ISERROR((J11/L11)-1)," ",(J11/L11)-1)</f>
        <v xml:space="preserve"> </v>
      </c>
      <c r="L11" s="1257" t="str">
        <f>IF(ca_5=0," ",rp_5)</f>
        <v xml:space="preserve"> </v>
      </c>
      <c r="M11" s="1302"/>
    </row>
    <row r="12" spans="2:14" s="2" customFormat="1" ht="20.100000000000001" customHeight="1">
      <c r="B12" s="702" t="s">
        <v>64</v>
      </c>
      <c r="C12" s="255"/>
      <c r="D12" s="1257" t="str">
        <f>IF(ca_1=0," ",emp_1)</f>
        <v xml:space="preserve"> </v>
      </c>
      <c r="E12" s="1284" t="str">
        <f t="shared" si="0"/>
        <v xml:space="preserve"> </v>
      </c>
      <c r="F12" s="96" t="str">
        <f>IF(ca_2=0," ",emp_2)</f>
        <v xml:space="preserve"> </v>
      </c>
      <c r="G12" s="1292" t="str">
        <f t="shared" si="1"/>
        <v xml:space="preserve"> </v>
      </c>
      <c r="H12" s="1257" t="str">
        <f>IF(ca_3=0," ",emp_3)</f>
        <v xml:space="preserve"> </v>
      </c>
      <c r="I12" s="1284" t="str">
        <f t="shared" si="2"/>
        <v xml:space="preserve"> </v>
      </c>
      <c r="J12" s="96" t="str">
        <f>IF(ca_4=0," ",emp_4)</f>
        <v xml:space="preserve"> </v>
      </c>
      <c r="K12" s="1292" t="str">
        <f t="shared" si="3"/>
        <v xml:space="preserve"> </v>
      </c>
      <c r="L12" s="1257" t="str">
        <f>IF(ca_5=0," ",emp_5)</f>
        <v xml:space="preserve"> </v>
      </c>
      <c r="M12" s="1302"/>
    </row>
    <row r="13" spans="2:14" s="162" customFormat="1" ht="21.9" customHeight="1">
      <c r="B13" s="1264" t="s">
        <v>65</v>
      </c>
      <c r="C13" s="1265"/>
      <c r="D13" s="1266" t="str">
        <f>IF(ca_1=0," ",cp_1)</f>
        <v xml:space="preserve"> </v>
      </c>
      <c r="E13" s="1285" t="str">
        <f t="shared" si="0"/>
        <v xml:space="preserve"> </v>
      </c>
      <c r="F13" s="1267" t="str">
        <f>IF(ca_2=0," ",cp_2)</f>
        <v xml:space="preserve"> </v>
      </c>
      <c r="G13" s="1293" t="str">
        <f t="shared" si="1"/>
        <v xml:space="preserve"> </v>
      </c>
      <c r="H13" s="1266" t="str">
        <f>IF(ca_3=0," ",cp_3)</f>
        <v xml:space="preserve"> </v>
      </c>
      <c r="I13" s="1285" t="str">
        <f t="shared" si="2"/>
        <v xml:space="preserve"> </v>
      </c>
      <c r="J13" s="1267" t="str">
        <f>IF(ca_4=0," ",cp_4)</f>
        <v xml:space="preserve"> </v>
      </c>
      <c r="K13" s="1293" t="str">
        <f t="shared" si="3"/>
        <v xml:space="preserve"> </v>
      </c>
      <c r="L13" s="1266" t="str">
        <f>IF(ca_5=0," ",cp_5)</f>
        <v xml:space="preserve"> </v>
      </c>
      <c r="M13" s="1303"/>
    </row>
    <row r="14" spans="2:14" s="2" customFormat="1" ht="21.9" customHeight="1">
      <c r="B14" s="702" t="s">
        <v>66</v>
      </c>
      <c r="C14" s="255"/>
      <c r="D14" s="1257" t="str">
        <f>IF(ca_1=0," ",bj_1)</f>
        <v xml:space="preserve"> </v>
      </c>
      <c r="E14" s="1284" t="str">
        <f t="shared" si="0"/>
        <v xml:space="preserve"> </v>
      </c>
      <c r="F14" s="96" t="str">
        <f>IF(ca_2=0," ",bj_2)</f>
        <v xml:space="preserve"> </v>
      </c>
      <c r="G14" s="1292" t="str">
        <f t="shared" si="1"/>
        <v xml:space="preserve"> </v>
      </c>
      <c r="H14" s="1257" t="str">
        <f>IF(ca_3=0," ",bj_3)</f>
        <v xml:space="preserve"> </v>
      </c>
      <c r="I14" s="1284" t="str">
        <f t="shared" si="2"/>
        <v xml:space="preserve"> </v>
      </c>
      <c r="J14" s="96" t="str">
        <f>IF(ca_4=0," ",bj_4)</f>
        <v xml:space="preserve"> </v>
      </c>
      <c r="K14" s="1292" t="str">
        <f t="shared" si="3"/>
        <v xml:space="preserve"> </v>
      </c>
      <c r="L14" s="1257" t="str">
        <f>IF(ca_5=0," ",bj_5)</f>
        <v xml:space="preserve"> </v>
      </c>
      <c r="M14" s="1302"/>
    </row>
    <row r="15" spans="2:14" s="2" customFormat="1" ht="21.9" customHeight="1">
      <c r="B15" s="2304" t="s">
        <v>125</v>
      </c>
      <c r="C15" s="2305"/>
      <c r="D15" s="1260" t="str">
        <f>IF(ca_1=0," ",cp_1-bj_1)</f>
        <v xml:space="preserve"> </v>
      </c>
      <c r="E15" s="1286" t="str">
        <f t="shared" si="0"/>
        <v xml:space="preserve"> </v>
      </c>
      <c r="F15" s="1261" t="str">
        <f>IF(ca_2=0," ",cp_2-bj_2)</f>
        <v xml:space="preserve"> </v>
      </c>
      <c r="G15" s="1294" t="str">
        <f t="shared" si="1"/>
        <v xml:space="preserve"> </v>
      </c>
      <c r="H15" s="1260" t="str">
        <f>IF(ca_3=0," ",cp_3-bj_3)</f>
        <v xml:space="preserve"> </v>
      </c>
      <c r="I15" s="1286" t="str">
        <f t="shared" si="2"/>
        <v xml:space="preserve"> </v>
      </c>
      <c r="J15" s="1261" t="str">
        <f>IF(ca_4=0," ",cp_4-bj_4)</f>
        <v xml:space="preserve"> </v>
      </c>
      <c r="K15" s="1294" t="str">
        <f t="shared" si="3"/>
        <v xml:space="preserve"> </v>
      </c>
      <c r="L15" s="1260" t="str">
        <f>IF(ca_5=0," ",cp_5-bj_5)</f>
        <v xml:space="preserve"> </v>
      </c>
      <c r="M15" s="1304"/>
      <c r="N15" s="256"/>
    </row>
    <row r="16" spans="2:14" s="2" customFormat="1" ht="20.100000000000001" customHeight="1">
      <c r="B16" s="1268" t="s">
        <v>375</v>
      </c>
      <c r="C16" s="1269"/>
      <c r="D16" s="1270">
        <f>stn_1</f>
        <v>0</v>
      </c>
      <c r="E16" s="1287" t="str">
        <f t="shared" si="0"/>
        <v xml:space="preserve"> </v>
      </c>
      <c r="F16" s="522">
        <f>stn_2</f>
        <v>0</v>
      </c>
      <c r="G16" s="1295" t="str">
        <f t="shared" si="1"/>
        <v xml:space="preserve"> </v>
      </c>
      <c r="H16" s="1270">
        <f>stn_3</f>
        <v>0</v>
      </c>
      <c r="I16" s="1287" t="str">
        <f t="shared" si="2"/>
        <v xml:space="preserve"> </v>
      </c>
      <c r="J16" s="522">
        <f>stn_4</f>
        <v>0</v>
      </c>
      <c r="K16" s="1295" t="str">
        <f t="shared" si="3"/>
        <v xml:space="preserve"> </v>
      </c>
      <c r="L16" s="1270">
        <f>stn_5</f>
        <v>0</v>
      </c>
      <c r="M16" s="1305"/>
      <c r="N16" s="256"/>
    </row>
    <row r="17" spans="2:14" s="2" customFormat="1" ht="20.100000000000001" customHeight="1">
      <c r="B17" s="1268" t="s">
        <v>239</v>
      </c>
      <c r="C17" s="1269"/>
      <c r="D17" s="1270">
        <f>clt_net_1</f>
        <v>0</v>
      </c>
      <c r="E17" s="1287" t="str">
        <f t="shared" si="0"/>
        <v xml:space="preserve"> </v>
      </c>
      <c r="F17" s="522">
        <f>clt_net_2</f>
        <v>0</v>
      </c>
      <c r="G17" s="1295" t="str">
        <f t="shared" si="1"/>
        <v xml:space="preserve"> </v>
      </c>
      <c r="H17" s="1270">
        <f>clt_net_3</f>
        <v>0</v>
      </c>
      <c r="I17" s="1287" t="str">
        <f t="shared" si="2"/>
        <v xml:space="preserve"> </v>
      </c>
      <c r="J17" s="522">
        <f>clt_net_4</f>
        <v>0</v>
      </c>
      <c r="K17" s="1295" t="str">
        <f t="shared" si="3"/>
        <v xml:space="preserve"> </v>
      </c>
      <c r="L17" s="1270">
        <f>clt_net_5</f>
        <v>0</v>
      </c>
      <c r="M17" s="1305"/>
      <c r="N17" s="256"/>
    </row>
    <row r="18" spans="2:14" s="2" customFormat="1" ht="20.100000000000001" customHeight="1">
      <c r="B18" s="1268" t="s">
        <v>376</v>
      </c>
      <c r="C18" s="1269"/>
      <c r="D18" s="1270">
        <f>acren_1</f>
        <v>0</v>
      </c>
      <c r="E18" s="1287" t="str">
        <f t="shared" si="0"/>
        <v xml:space="preserve"> </v>
      </c>
      <c r="F18" s="522">
        <f>acren_2</f>
        <v>0</v>
      </c>
      <c r="G18" s="1295" t="str">
        <f t="shared" si="1"/>
        <v xml:space="preserve"> </v>
      </c>
      <c r="H18" s="1270">
        <f>acren_3</f>
        <v>0</v>
      </c>
      <c r="I18" s="1287" t="str">
        <f t="shared" si="2"/>
        <v xml:space="preserve"> </v>
      </c>
      <c r="J18" s="522">
        <f>acren_4</f>
        <v>0</v>
      </c>
      <c r="K18" s="1295" t="str">
        <f t="shared" si="3"/>
        <v xml:space="preserve"> </v>
      </c>
      <c r="L18" s="1270">
        <f>acren_5</f>
        <v>0</v>
      </c>
      <c r="M18" s="1305"/>
      <c r="N18" s="256"/>
    </row>
    <row r="19" spans="2:14" s="2" customFormat="1" ht="20.100000000000001" customHeight="1">
      <c r="B19" s="1271" t="s">
        <v>120</v>
      </c>
      <c r="C19" s="1272"/>
      <c r="D19" s="1270" t="str">
        <f>IF(ca_1=0," ",cca_1)</f>
        <v xml:space="preserve"> </v>
      </c>
      <c r="E19" s="1287" t="str">
        <f t="shared" si="0"/>
        <v xml:space="preserve"> </v>
      </c>
      <c r="F19" s="522" t="str">
        <f>IF(ca_2=0," ",cca_2)</f>
        <v xml:space="preserve"> </v>
      </c>
      <c r="G19" s="1295" t="str">
        <f t="shared" si="1"/>
        <v xml:space="preserve"> </v>
      </c>
      <c r="H19" s="1270" t="str">
        <f>IF(ca_3=0," ",cca_3)</f>
        <v xml:space="preserve"> </v>
      </c>
      <c r="I19" s="1287" t="str">
        <f t="shared" si="2"/>
        <v xml:space="preserve"> </v>
      </c>
      <c r="J19" s="522" t="str">
        <f>IF(ca_4=0," ",cca_4)</f>
        <v xml:space="preserve"> </v>
      </c>
      <c r="K19" s="1295" t="str">
        <f t="shared" si="3"/>
        <v xml:space="preserve"> </v>
      </c>
      <c r="L19" s="1270" t="str">
        <f>IF(ca_5=0," ",cca_5)</f>
        <v xml:space="preserve"> </v>
      </c>
      <c r="M19" s="1305"/>
      <c r="N19" s="256"/>
    </row>
    <row r="20" spans="2:14" s="2" customFormat="1" ht="21.9" customHeight="1">
      <c r="B20" s="1273" t="s">
        <v>432</v>
      </c>
      <c r="C20" s="1274"/>
      <c r="D20" s="1275" t="str">
        <f>IF(ca_1=0," ",SUM(D16:D19))</f>
        <v xml:space="preserve"> </v>
      </c>
      <c r="E20" s="1288" t="str">
        <f t="shared" si="0"/>
        <v xml:space="preserve"> </v>
      </c>
      <c r="F20" s="1279" t="str">
        <f>IF(ca_2=0," ",SUM(F16:F19))</f>
        <v xml:space="preserve"> </v>
      </c>
      <c r="G20" s="1296" t="str">
        <f t="shared" si="1"/>
        <v xml:space="preserve"> </v>
      </c>
      <c r="H20" s="1275" t="str">
        <f>IF(ca_3=0," ",SUM(H16:H19))</f>
        <v xml:space="preserve"> </v>
      </c>
      <c r="I20" s="1288" t="str">
        <f t="shared" si="2"/>
        <v xml:space="preserve"> </v>
      </c>
      <c r="J20" s="1279" t="str">
        <f>IF(ca_4=0," ",SUM(J16:J19))</f>
        <v xml:space="preserve"> </v>
      </c>
      <c r="K20" s="1296" t="str">
        <f t="shared" si="3"/>
        <v xml:space="preserve"> </v>
      </c>
      <c r="L20" s="1275" t="str">
        <f>IF(ca_5=0," ",SUM(L16:L19))</f>
        <v xml:space="preserve"> </v>
      </c>
      <c r="M20" s="1306"/>
      <c r="N20" s="256"/>
    </row>
    <row r="21" spans="2:14" s="257" customFormat="1" ht="20.100000000000001" customHeight="1">
      <c r="B21" s="703" t="s">
        <v>377</v>
      </c>
      <c r="C21" s="10"/>
      <c r="D21" s="1258" t="str">
        <f>IF(ISBLANK(dx_1)," ",dx_1)</f>
        <v xml:space="preserve"> </v>
      </c>
      <c r="E21" s="1289" t="str">
        <f t="shared" si="0"/>
        <v xml:space="preserve"> </v>
      </c>
      <c r="F21" s="465" t="str">
        <f>IF(ISBLANK(dx_2)," ",dx_2)</f>
        <v xml:space="preserve"> </v>
      </c>
      <c r="G21" s="1297" t="str">
        <f t="shared" si="1"/>
        <v xml:space="preserve"> </v>
      </c>
      <c r="H21" s="1258" t="str">
        <f>IF(ISBLANK(dx_3)," ",dx_3)</f>
        <v xml:space="preserve"> </v>
      </c>
      <c r="I21" s="1289" t="str">
        <f t="shared" si="2"/>
        <v xml:space="preserve"> </v>
      </c>
      <c r="J21" s="465" t="str">
        <f>IF(ISBLANK(dx_4)," ",dx_4)</f>
        <v xml:space="preserve"> </v>
      </c>
      <c r="K21" s="1297" t="str">
        <f t="shared" si="3"/>
        <v xml:space="preserve"> </v>
      </c>
      <c r="L21" s="1258" t="str">
        <f>IF(ISBLANK(dx_5)," ",dx_5)</f>
        <v xml:space="preserve"> </v>
      </c>
      <c r="M21" s="1307"/>
      <c r="N21" s="362"/>
    </row>
    <row r="22" spans="2:14" s="257" customFormat="1" ht="20.100000000000001" customHeight="1">
      <c r="B22" s="703" t="s">
        <v>280</v>
      </c>
      <c r="C22" s="10"/>
      <c r="D22" s="1258">
        <f>dfse_1</f>
        <v>0</v>
      </c>
      <c r="E22" s="1289" t="str">
        <f t="shared" si="0"/>
        <v xml:space="preserve"> </v>
      </c>
      <c r="F22" s="465">
        <f>dfse_2</f>
        <v>0</v>
      </c>
      <c r="G22" s="1297" t="str">
        <f t="shared" si="1"/>
        <v xml:space="preserve"> </v>
      </c>
      <c r="H22" s="1258">
        <f>dfse_3</f>
        <v>0</v>
      </c>
      <c r="I22" s="1289" t="str">
        <f t="shared" si="2"/>
        <v xml:space="preserve"> </v>
      </c>
      <c r="J22" s="465">
        <f>dfse_4</f>
        <v>0</v>
      </c>
      <c r="K22" s="1297" t="str">
        <f t="shared" si="3"/>
        <v xml:space="preserve"> </v>
      </c>
      <c r="L22" s="1258">
        <f>dfse_5</f>
        <v>0</v>
      </c>
      <c r="M22" s="1307"/>
      <c r="N22" s="362"/>
    </row>
    <row r="23" spans="2:14" s="257" customFormat="1" ht="20.100000000000001" customHeight="1">
      <c r="B23" s="703" t="s">
        <v>279</v>
      </c>
      <c r="C23" s="10"/>
      <c r="D23" s="1258">
        <f>ade_1</f>
        <v>0</v>
      </c>
      <c r="E23" s="1289" t="str">
        <f t="shared" si="0"/>
        <v xml:space="preserve"> </v>
      </c>
      <c r="F23" s="465">
        <f>ade_2</f>
        <v>0</v>
      </c>
      <c r="G23" s="1297" t="str">
        <f t="shared" si="1"/>
        <v xml:space="preserve"> </v>
      </c>
      <c r="H23" s="1258">
        <f>ade_3</f>
        <v>0</v>
      </c>
      <c r="I23" s="1289" t="str">
        <f t="shared" si="2"/>
        <v xml:space="preserve"> </v>
      </c>
      <c r="J23" s="465">
        <f>ade_4</f>
        <v>0</v>
      </c>
      <c r="K23" s="1297" t="str">
        <f t="shared" si="3"/>
        <v xml:space="preserve"> </v>
      </c>
      <c r="L23" s="1258">
        <f>ade_5</f>
        <v>0</v>
      </c>
      <c r="M23" s="1307"/>
      <c r="N23" s="362"/>
    </row>
    <row r="24" spans="2:14" s="257" customFormat="1" ht="20.100000000000001" customHeight="1">
      <c r="B24" s="704" t="s">
        <v>121</v>
      </c>
      <c r="C24" s="12"/>
      <c r="D24" s="1258" t="str">
        <f>IF(ca_1=0," ",pca_1)</f>
        <v xml:space="preserve"> </v>
      </c>
      <c r="E24" s="1289" t="str">
        <f t="shared" si="0"/>
        <v xml:space="preserve"> </v>
      </c>
      <c r="F24" s="465" t="str">
        <f>IF(ca_2=0," ",pca_2)</f>
        <v xml:space="preserve"> </v>
      </c>
      <c r="G24" s="1297" t="str">
        <f t="shared" si="1"/>
        <v xml:space="preserve"> </v>
      </c>
      <c r="H24" s="1258" t="str">
        <f>IF(ca_3=0," ",pca_3)</f>
        <v xml:space="preserve"> </v>
      </c>
      <c r="I24" s="1289" t="str">
        <f t="shared" si="2"/>
        <v xml:space="preserve"> </v>
      </c>
      <c r="J24" s="465" t="str">
        <f>IF(ca_4=0," ",pca_4)</f>
        <v xml:space="preserve"> </v>
      </c>
      <c r="K24" s="1297" t="str">
        <f t="shared" si="3"/>
        <v xml:space="preserve"> </v>
      </c>
      <c r="L24" s="1258" t="str">
        <f>IF(ca_5=0," ",pca_5)</f>
        <v xml:space="preserve"> </v>
      </c>
      <c r="M24" s="1307"/>
      <c r="N24" s="362"/>
    </row>
    <row r="25" spans="2:14" s="2" customFormat="1" ht="21.9" customHeight="1">
      <c r="B25" s="1153" t="s">
        <v>433</v>
      </c>
      <c r="C25" s="1154"/>
      <c r="D25" s="1276">
        <f>bilan!E36</f>
        <v>0</v>
      </c>
      <c r="E25" s="1290" t="str">
        <f t="shared" si="0"/>
        <v xml:space="preserve"> </v>
      </c>
      <c r="F25" s="1280">
        <f>bilan!G36</f>
        <v>0</v>
      </c>
      <c r="G25" s="1298" t="str">
        <f t="shared" si="1"/>
        <v xml:space="preserve"> </v>
      </c>
      <c r="H25" s="1276">
        <f>bilan!I36</f>
        <v>0</v>
      </c>
      <c r="I25" s="1290" t="str">
        <f t="shared" si="2"/>
        <v xml:space="preserve"> </v>
      </c>
      <c r="J25" s="1280">
        <f>bilan!K36</f>
        <v>0</v>
      </c>
      <c r="K25" s="1298" t="str">
        <f t="shared" si="3"/>
        <v xml:space="preserve"> </v>
      </c>
      <c r="L25" s="1276">
        <f>bilan!M36</f>
        <v>0</v>
      </c>
      <c r="M25" s="1308"/>
    </row>
    <row r="26" spans="2:14" s="2" customFormat="1" ht="21.9" customHeight="1">
      <c r="B26" s="707" t="s">
        <v>434</v>
      </c>
      <c r="C26" s="708"/>
      <c r="D26" s="709" t="str">
        <f>IF(ca_1=0," ",D20-D25)</f>
        <v xml:space="preserve"> </v>
      </c>
      <c r="E26" s="1259" t="str">
        <f t="shared" si="0"/>
        <v xml:space="preserve"> </v>
      </c>
      <c r="F26" s="1352" t="str">
        <f>IF(ca_2=0," ",F20-F25)</f>
        <v xml:space="preserve"> </v>
      </c>
      <c r="G26" s="710" t="str">
        <f t="shared" si="1"/>
        <v xml:space="preserve"> </v>
      </c>
      <c r="H26" s="1281" t="str">
        <f>IF(ca_3=0," ",H20-H25)</f>
        <v xml:space="preserve"> </v>
      </c>
      <c r="I26" s="1259" t="str">
        <f t="shared" si="2"/>
        <v xml:space="preserve"> </v>
      </c>
      <c r="J26" s="1352" t="str">
        <f>IF(ca_4=0," ",J20-J25)</f>
        <v xml:space="preserve"> </v>
      </c>
      <c r="K26" s="710" t="str">
        <f t="shared" si="3"/>
        <v xml:space="preserve"> </v>
      </c>
      <c r="L26" s="1281" t="str">
        <f>IF(ca_5=0," ",L20-L25)</f>
        <v xml:space="preserve"> </v>
      </c>
      <c r="M26" s="1309"/>
    </row>
    <row r="27" spans="2:14" s="257" customFormat="1" ht="20.100000000000001" customHeight="1">
      <c r="B27" s="703" t="s">
        <v>396</v>
      </c>
      <c r="C27" s="10"/>
      <c r="D27" s="1258">
        <f>bilan!E112</f>
        <v>0</v>
      </c>
      <c r="E27" s="1291"/>
      <c r="F27" s="465">
        <f>bilan!G112</f>
        <v>0</v>
      </c>
      <c r="G27" s="1299"/>
      <c r="H27" s="1258">
        <f>bilan!I112</f>
        <v>0</v>
      </c>
      <c r="I27" s="1291"/>
      <c r="J27" s="465">
        <f>bilan!K112</f>
        <v>0</v>
      </c>
      <c r="K27" s="1299"/>
      <c r="L27" s="1258">
        <f>bilan!M112</f>
        <v>0</v>
      </c>
      <c r="M27" s="1310"/>
    </row>
    <row r="28" spans="2:14" s="257" customFormat="1" ht="20.100000000000001" customHeight="1">
      <c r="B28" s="703" t="s">
        <v>397</v>
      </c>
      <c r="C28" s="10"/>
      <c r="D28" s="1258">
        <f>bilan!E41</f>
        <v>0</v>
      </c>
      <c r="E28" s="1291"/>
      <c r="F28" s="465">
        <f>bilan!G41</f>
        <v>0</v>
      </c>
      <c r="G28" s="1299"/>
      <c r="H28" s="1258">
        <f>bilan!I41</f>
        <v>0</v>
      </c>
      <c r="I28" s="1291"/>
      <c r="J28" s="465">
        <f>bilan!K41</f>
        <v>0</v>
      </c>
      <c r="K28" s="1299"/>
      <c r="L28" s="1258">
        <f>bilan!M41</f>
        <v>0</v>
      </c>
      <c r="M28" s="1310"/>
    </row>
    <row r="29" spans="2:14" s="2" customFormat="1" ht="21.9" customHeight="1">
      <c r="B29" s="1312" t="s">
        <v>241</v>
      </c>
      <c r="C29" s="1313"/>
      <c r="D29" s="1314" t="str">
        <f>IF(ca_1=0," ",D27-D28)</f>
        <v xml:space="preserve"> </v>
      </c>
      <c r="E29" s="1315" t="str">
        <f>IF(ISERROR((D29/F29)-1)," ",(D29/F29)-1)</f>
        <v xml:space="preserve"> </v>
      </c>
      <c r="F29" s="1316" t="str">
        <f>IF(ca_2=0," ",F27-F28)</f>
        <v xml:space="preserve"> </v>
      </c>
      <c r="G29" s="1317" t="str">
        <f>IF(ISERROR((F29/H29)-1)," ",(F29/H29)-1)</f>
        <v xml:space="preserve"> </v>
      </c>
      <c r="H29" s="1314" t="str">
        <f>IF(ca_3=0," ",H27-H28)</f>
        <v xml:space="preserve"> </v>
      </c>
      <c r="I29" s="1315" t="str">
        <f>IF(ISERROR((H29/J29)-1)," ",(H29/J29)-1)</f>
        <v xml:space="preserve"> </v>
      </c>
      <c r="J29" s="1316" t="str">
        <f>IF(ca_4=0," ",J27-J28)</f>
        <v xml:space="preserve"> </v>
      </c>
      <c r="K29" s="1317" t="str">
        <f>IF(ISERROR((J29/L29)-1)," ",(J29/L29)-1)</f>
        <v xml:space="preserve"> </v>
      </c>
      <c r="L29" s="1314" t="str">
        <f>IF(ca_5=0," ",L27-L28)</f>
        <v xml:space="preserve"> </v>
      </c>
      <c r="M29" s="1318"/>
    </row>
    <row r="30" spans="2:14" s="2" customFormat="1" ht="21.9" customHeight="1">
      <c r="B30" s="1155" t="s">
        <v>96</v>
      </c>
      <c r="C30" s="1256"/>
      <c r="D30" s="1277" t="str">
        <f>IF(ca_1=0," ",bfre_1+D29)</f>
        <v xml:space="preserve"> </v>
      </c>
      <c r="E30" s="1353" t="str">
        <f>IF(ISERROR((D30/F30)-1)," ",(D30/F30)-1)</f>
        <v xml:space="preserve"> </v>
      </c>
      <c r="F30" s="1282" t="str">
        <f>IF(ca_2=0," ",bfre_2+F29)</f>
        <v xml:space="preserve"> </v>
      </c>
      <c r="G30" s="1300" t="str">
        <f>IF(ISERROR((F30/H30)-1)," ",(F30/H30)-1)</f>
        <v xml:space="preserve"> </v>
      </c>
      <c r="H30" s="1277" t="str">
        <f>IF(ca_3=0," ",bfre_3+H29)</f>
        <v xml:space="preserve"> </v>
      </c>
      <c r="I30" s="1353" t="str">
        <f>IF(ISERROR((H30/J30)-1)," ",(H30/J30)-1)</f>
        <v xml:space="preserve"> </v>
      </c>
      <c r="J30" s="1282" t="str">
        <f>IF(ca_4=0," ",bfre_4+J29)</f>
        <v xml:space="preserve"> </v>
      </c>
      <c r="K30" s="1300" t="str">
        <f>IF(ISERROR((J30/L30)-1)," ",(J30/L30)-1)</f>
        <v xml:space="preserve"> </v>
      </c>
      <c r="L30" s="1277" t="str">
        <f>IF(ca_5=0," ",bfre_5+L29)</f>
        <v xml:space="preserve"> </v>
      </c>
      <c r="M30" s="1311"/>
    </row>
    <row r="31" spans="2:14" s="2" customFormat="1" ht="21.9" customHeight="1">
      <c r="B31" s="1354" t="s">
        <v>178</v>
      </c>
      <c r="C31" s="1355"/>
      <c r="D31" s="1356" t="str">
        <f>IF(ca_1=0," ",fr_1-bfr_1)</f>
        <v xml:space="preserve"> </v>
      </c>
      <c r="E31" s="1357" t="str">
        <f>IF(ISERROR((D31/F31)-1)," ",(D31/F31)-1)</f>
        <v xml:space="preserve"> </v>
      </c>
      <c r="F31" s="1358" t="str">
        <f>IF(ca_2=0," ",fr_2-bfr_2)</f>
        <v xml:space="preserve"> </v>
      </c>
      <c r="G31" s="1359" t="str">
        <f>IF(ISERROR((F31/H31)-1)," ",(F31/H31)-1)</f>
        <v xml:space="preserve"> </v>
      </c>
      <c r="H31" s="1360" t="str">
        <f>IF(ca_3=0," ",fr_3-bfr_3)</f>
        <v xml:space="preserve"> </v>
      </c>
      <c r="I31" s="1357" t="str">
        <f>IF(ISERROR((H31/J31)-1)," ",(H31/J31)-1)</f>
        <v xml:space="preserve"> </v>
      </c>
      <c r="J31" s="1358" t="str">
        <f>IF(ca_4=0," ",fr_4-bfr_4)</f>
        <v xml:space="preserve"> </v>
      </c>
      <c r="K31" s="1359" t="str">
        <f>IF(ISERROR((J31/L31)-1)," ",(J31/L31)-1)</f>
        <v xml:space="preserve"> </v>
      </c>
      <c r="L31" s="1360" t="str">
        <f>IF(ca_5=0," ",fr_5-bfr_5)</f>
        <v xml:space="preserve"> </v>
      </c>
      <c r="M31" s="1361"/>
    </row>
    <row r="32" spans="2:14" ht="3" customHeight="1"/>
    <row r="33" spans="2:17" s="133" customFormat="1" ht="6" customHeight="1">
      <c r="B33" s="688"/>
      <c r="C33" s="689"/>
      <c r="D33" s="690"/>
      <c r="E33" s="691"/>
      <c r="F33" s="690"/>
      <c r="G33" s="691"/>
      <c r="H33" s="690"/>
      <c r="I33" s="691"/>
      <c r="J33" s="692"/>
      <c r="K33" s="691"/>
      <c r="L33" s="690"/>
      <c r="M33" s="693"/>
    </row>
    <row r="34" spans="2:17" s="133" customFormat="1" ht="20.100000000000001" customHeight="1">
      <c r="B34" s="2295" t="s">
        <v>383</v>
      </c>
      <c r="C34" s="2296"/>
      <c r="D34" s="1243" t="str">
        <f>IF(b_1=" "," ",tr_1-tr_2)</f>
        <v xml:space="preserve"> </v>
      </c>
      <c r="E34" s="397"/>
      <c r="F34" s="1243" t="str">
        <f>IF(b_2=" "," ",tr_2-tr_3)</f>
        <v xml:space="preserve"> </v>
      </c>
      <c r="G34" s="397"/>
      <c r="H34" s="1243" t="str">
        <f>IF(b_3=" "," ",tr_3-tr_4)</f>
        <v xml:space="preserve"> </v>
      </c>
      <c r="I34" s="397"/>
      <c r="J34" s="1243" t="str">
        <f>IF(b_4=" "," ",tr_4-tr_5)</f>
        <v xml:space="preserve"> </v>
      </c>
      <c r="K34" s="397"/>
      <c r="L34" s="398"/>
      <c r="M34" s="694"/>
    </row>
    <row r="35" spans="2:17" ht="3" customHeight="1">
      <c r="B35" s="695"/>
      <c r="C35" s="396"/>
      <c r="D35" s="394"/>
      <c r="E35" s="401"/>
      <c r="F35" s="395"/>
      <c r="G35" s="399"/>
      <c r="H35" s="394"/>
      <c r="I35" s="401"/>
      <c r="J35" s="395"/>
      <c r="K35" s="399"/>
      <c r="L35" s="400"/>
      <c r="M35" s="696"/>
      <c r="N35" s="129"/>
      <c r="O35" s="131"/>
      <c r="Q35" s="129"/>
    </row>
    <row r="36" spans="2:17" ht="20.100000000000001" customHeight="1">
      <c r="B36" s="2295" t="s">
        <v>423</v>
      </c>
      <c r="C36" s="2296"/>
      <c r="D36" s="1243" t="str">
        <f>IF(b_1=" "," ",tr_1-tr_5)</f>
        <v xml:space="preserve"> </v>
      </c>
      <c r="E36" s="1242"/>
      <c r="F36" s="1243" t="str">
        <f>IF(b_2=" "," ",tr_2-tr_5)</f>
        <v xml:space="preserve"> </v>
      </c>
      <c r="G36" s="397"/>
      <c r="H36" s="1243" t="str">
        <f>IF(b_3=" "," ",tr_3-tr_5)</f>
        <v xml:space="preserve"> </v>
      </c>
      <c r="I36" s="397"/>
      <c r="J36" s="398"/>
      <c r="K36" s="399"/>
      <c r="L36" s="400"/>
      <c r="M36" s="696"/>
      <c r="N36" s="129"/>
      <c r="O36" s="131"/>
      <c r="Q36" s="129"/>
    </row>
    <row r="37" spans="2:17" ht="6" customHeight="1">
      <c r="B37" s="697"/>
      <c r="C37" s="698"/>
      <c r="D37" s="699"/>
      <c r="E37" s="700"/>
      <c r="F37" s="699"/>
      <c r="G37" s="700"/>
      <c r="H37" s="699"/>
      <c r="I37" s="700"/>
      <c r="J37" s="699"/>
      <c r="K37" s="700"/>
      <c r="L37" s="699"/>
      <c r="M37" s="701"/>
    </row>
    <row r="38" spans="2:17" ht="6" customHeight="1"/>
    <row r="39" spans="2:17" s="258" customFormat="1" ht="21.9" customHeight="1">
      <c r="B39" s="2297" t="s">
        <v>645</v>
      </c>
      <c r="C39" s="2298"/>
      <c r="D39" s="680" t="str">
        <f>IF(ca_1=0," ",D12-tr_1)</f>
        <v xml:space="preserve"> </v>
      </c>
      <c r="E39" s="681" t="str">
        <f>IF(ISERROR((D39/F39)-1)," ",(D39/F39)-1)</f>
        <v xml:space="preserve"> </v>
      </c>
      <c r="F39" s="680" t="str">
        <f>IF(ca_2=0," ",F12-tr_2)</f>
        <v xml:space="preserve"> </v>
      </c>
      <c r="G39" s="681" t="str">
        <f>IF(ISERROR((F39/H39)-1)," ",(F39/H39)-1)</f>
        <v xml:space="preserve"> </v>
      </c>
      <c r="H39" s="680" t="str">
        <f>IF(ca_3=0," ",H12-tr_3)</f>
        <v xml:space="preserve"> </v>
      </c>
      <c r="I39" s="681" t="str">
        <f>IF(ISERROR((H39/J39)-1)," ",(H39/J39)-1)</f>
        <v xml:space="preserve"> </v>
      </c>
      <c r="J39" s="680" t="str">
        <f>IF(ca_4=0," ",J12-tr_4)</f>
        <v xml:space="preserve"> </v>
      </c>
      <c r="K39" s="681" t="str">
        <f>IF(ISERROR((J39/L39)-1)," ",(J39/L39)-1)</f>
        <v xml:space="preserve"> </v>
      </c>
      <c r="L39" s="682" t="str">
        <f>IF(ca_5=0," ",L12-tr_5)</f>
        <v xml:space="preserve"> </v>
      </c>
      <c r="M39" s="683"/>
    </row>
    <row r="40" spans="2:17" ht="21.9" customHeight="1">
      <c r="B40" s="2299" t="s">
        <v>646</v>
      </c>
      <c r="C40" s="2300"/>
      <c r="D40" s="684" t="str">
        <f>IF(ca_1=0," ",D39+encoursCB_1)</f>
        <v xml:space="preserve"> </v>
      </c>
      <c r="E40" s="685"/>
      <c r="F40" s="684" t="str">
        <f>IF(ca_2=0," ",F39+encoursCB_2)</f>
        <v xml:space="preserve"> </v>
      </c>
      <c r="G40" s="685"/>
      <c r="H40" s="684" t="str">
        <f>IF(ca_3=0," ",H39+encoursCB_3)</f>
        <v xml:space="preserve"> </v>
      </c>
      <c r="I40" s="685"/>
      <c r="J40" s="684" t="str">
        <f>IF(ca_4=0," ",J39+encoursCB_4)</f>
        <v xml:space="preserve"> </v>
      </c>
      <c r="K40" s="685"/>
      <c r="L40" s="686" t="str">
        <f>IF(ca_5=0," ",L39+encoursCB_5)</f>
        <v xml:space="preserve"> </v>
      </c>
      <c r="M40" s="687"/>
    </row>
    <row r="41" spans="2:17" ht="6" customHeight="1"/>
    <row r="42" spans="2:17" ht="24.9" customHeight="1">
      <c r="B42" s="358" t="s">
        <v>402</v>
      </c>
      <c r="C42" s="706" t="s">
        <v>405</v>
      </c>
      <c r="D42" s="2288" t="str">
        <f>IF(ISBLANK(d_4)," ",d_4)</f>
        <v xml:space="preserve"> </v>
      </c>
      <c r="E42" s="2289"/>
      <c r="F42" s="2288" t="str">
        <f>IF(ISBLANK(d_3)," ",d_3)</f>
        <v xml:space="preserve"> </v>
      </c>
      <c r="G42" s="2289"/>
      <c r="H42" s="2288" t="str">
        <f>IF(ISBLANK(d_2)," ",d_2)</f>
        <v xml:space="preserve"> </v>
      </c>
      <c r="I42" s="2289"/>
      <c r="J42" s="2288" t="str">
        <f>IF(ISBLANK(d_1)," ",d_1)</f>
        <v xml:space="preserve"> </v>
      </c>
      <c r="K42" s="2289"/>
      <c r="L42" s="2288" t="str">
        <f>IF(ISBLANK(d)," ",d)</f>
        <v xml:space="preserve"> </v>
      </c>
      <c r="M42" s="2290"/>
      <c r="N42" s="129"/>
      <c r="O42" s="131"/>
      <c r="Q42" s="129"/>
    </row>
    <row r="43" spans="2:17" s="125" customFormat="1" ht="20.100000000000001" customHeight="1">
      <c r="B43" s="1908" t="s">
        <v>404</v>
      </c>
      <c r="C43" s="1909" t="s">
        <v>442</v>
      </c>
      <c r="D43" s="1910">
        <f>gr_1</f>
        <v>0</v>
      </c>
      <c r="E43" s="1912"/>
      <c r="F43" s="1911">
        <f>gr_2</f>
        <v>0</v>
      </c>
      <c r="G43" s="1913"/>
      <c r="H43" s="1910">
        <f>gr_3</f>
        <v>0</v>
      </c>
      <c r="I43" s="1912"/>
      <c r="J43" s="1911">
        <f>gr_4</f>
        <v>0</v>
      </c>
      <c r="K43" s="1913"/>
      <c r="L43" s="1910">
        <f>gr_5</f>
        <v>0</v>
      </c>
      <c r="M43" s="1914"/>
      <c r="N43" s="129"/>
      <c r="O43" s="131"/>
      <c r="Q43" s="129"/>
    </row>
    <row r="44" spans="2:17" s="125" customFormat="1" ht="18.75" customHeight="1">
      <c r="B44" s="1902" t="s">
        <v>403</v>
      </c>
      <c r="C44" s="1319"/>
      <c r="D44" s="1321" t="str">
        <f>IF(ISERROR($D$43/C44)," ",$D$43/C44)</f>
        <v xml:space="preserve"> </v>
      </c>
      <c r="E44" s="1322"/>
      <c r="F44" s="468" t="str">
        <f>IF(ISERROR($F$43/C44)," ",$F$43/C44)</f>
        <v xml:space="preserve"> </v>
      </c>
      <c r="G44" s="1325"/>
      <c r="H44" s="1321" t="str">
        <f>IF(ISERROR($H$43/C44)," ",$H$43/C44)</f>
        <v xml:space="preserve"> </v>
      </c>
      <c r="I44" s="1322"/>
      <c r="J44" s="468" t="str">
        <f>IF(ISERROR($J$43/C44)," ",$J$43/C44)</f>
        <v xml:space="preserve"> </v>
      </c>
      <c r="K44" s="1325"/>
      <c r="L44" s="1321" t="str">
        <f>IF(ISERROR($L$43/C44)," ",$L$43/C44)</f>
        <v xml:space="preserve"> </v>
      </c>
      <c r="M44" s="1327"/>
      <c r="N44" s="129"/>
      <c r="O44" s="131"/>
      <c r="Q44" s="129"/>
    </row>
    <row r="45" spans="2:17" s="125" customFormat="1" ht="18.75" customHeight="1">
      <c r="B45" s="1904" t="s">
        <v>403</v>
      </c>
      <c r="C45" s="1905"/>
      <c r="D45" s="1906" t="str">
        <f>IF(ISERROR($D$43/C45)," ",$D$43/C45)</f>
        <v xml:space="preserve"> </v>
      </c>
      <c r="E45" s="1322"/>
      <c r="F45" s="1907" t="str">
        <f>IF(ISERROR($F$43/C45)," ",$F$43/C45)</f>
        <v xml:space="preserve"> </v>
      </c>
      <c r="G45" s="1325"/>
      <c r="H45" s="1906" t="str">
        <f>IF(ISERROR($H$43/C45)," ",$H$43/C45)</f>
        <v xml:space="preserve"> </v>
      </c>
      <c r="I45" s="1322"/>
      <c r="J45" s="1907" t="str">
        <f>IF(ISERROR($J$43/C45)," ",$J$43/C45)</f>
        <v xml:space="preserve"> </v>
      </c>
      <c r="K45" s="1325"/>
      <c r="L45" s="1906" t="str">
        <f>IF(ISERROR($L$43/C45)," ",$L$43/C45)</f>
        <v xml:space="preserve"> </v>
      </c>
      <c r="M45" s="1327"/>
      <c r="N45" s="129"/>
      <c r="O45" s="131"/>
      <c r="Q45" s="129"/>
    </row>
    <row r="46" spans="2:17" s="125" customFormat="1" ht="18.75" customHeight="1">
      <c r="B46" s="1904" t="s">
        <v>403</v>
      </c>
      <c r="C46" s="1905"/>
      <c r="D46" s="1906" t="str">
        <f>IF(ISERROR($D$43/C46)," ",$D$43/C46)</f>
        <v xml:space="preserve"> </v>
      </c>
      <c r="E46" s="1322"/>
      <c r="F46" s="1907" t="str">
        <f>IF(ISERROR($F$43/C46)," ",$F$43/C46)</f>
        <v xml:space="preserve"> </v>
      </c>
      <c r="G46" s="1325"/>
      <c r="H46" s="1906" t="str">
        <f>IF(ISERROR($H$43/C46)," ",$H$43/C46)</f>
        <v xml:space="preserve"> </v>
      </c>
      <c r="I46" s="1322"/>
      <c r="J46" s="1907" t="str">
        <f>IF(ISERROR($J$43/C46)," ",$J$43/C46)</f>
        <v xml:space="preserve"> </v>
      </c>
      <c r="K46" s="1325"/>
      <c r="L46" s="1906" t="str">
        <f>IF(ISERROR($L$43/C46)," ",$L$43/C46)</f>
        <v xml:space="preserve"> </v>
      </c>
      <c r="M46" s="1327"/>
      <c r="N46" s="129"/>
      <c r="O46" s="131"/>
      <c r="Q46" s="129"/>
    </row>
    <row r="47" spans="2:17" s="125" customFormat="1" ht="18.75" customHeight="1">
      <c r="B47" s="1904" t="s">
        <v>403</v>
      </c>
      <c r="C47" s="1905"/>
      <c r="D47" s="1906" t="str">
        <f>IF(ISERROR($D$43/C47)," ",$D$43/C47)</f>
        <v xml:space="preserve"> </v>
      </c>
      <c r="E47" s="1322"/>
      <c r="F47" s="1907" t="str">
        <f>IF(ISERROR($F$43/C47)," ",$F$43/C47)</f>
        <v xml:space="preserve"> </v>
      </c>
      <c r="G47" s="1325"/>
      <c r="H47" s="1906" t="str">
        <f>IF(ISERROR($H$43/C47)," ",$H$43/C47)</f>
        <v xml:space="preserve"> </v>
      </c>
      <c r="I47" s="1322"/>
      <c r="J47" s="1907" t="str">
        <f>IF(ISERROR($J$43/C47)," ",$J$43/C47)</f>
        <v xml:space="preserve"> </v>
      </c>
      <c r="K47" s="1325"/>
      <c r="L47" s="1906" t="str">
        <f>IF(ISERROR($L$43/C47)," ",$L$43/C47)</f>
        <v xml:space="preserve"> </v>
      </c>
      <c r="M47" s="1327"/>
      <c r="N47" s="129"/>
      <c r="O47" s="131"/>
      <c r="Q47" s="129"/>
    </row>
    <row r="48" spans="2:17" s="125" customFormat="1" ht="18.75" customHeight="1">
      <c r="B48" s="1903" t="s">
        <v>403</v>
      </c>
      <c r="C48" s="1320"/>
      <c r="D48" s="1323" t="str">
        <f>IF(ISERROR($D$43/C48)," ",$D$43/C48)</f>
        <v xml:space="preserve"> </v>
      </c>
      <c r="E48" s="1324"/>
      <c r="F48" s="705" t="str">
        <f>IF(ISERROR($F$43/C48)," ",$F$43/C48)</f>
        <v xml:space="preserve"> </v>
      </c>
      <c r="G48" s="1326"/>
      <c r="H48" s="1323" t="str">
        <f>IF(ISERROR($H$43/C48)," ",$H$43/C48)</f>
        <v xml:space="preserve"> </v>
      </c>
      <c r="I48" s="1324"/>
      <c r="J48" s="705" t="str">
        <f>IF(ISERROR($J$43/C48)," ",$J$43/C48)</f>
        <v xml:space="preserve"> </v>
      </c>
      <c r="K48" s="1326"/>
      <c r="L48" s="1323" t="str">
        <f>IF(ISERROR($L$43/C48)," ",$L$43/C48)</f>
        <v xml:space="preserve"> </v>
      </c>
      <c r="M48" s="1328"/>
      <c r="N48" s="129"/>
      <c r="O48" s="131"/>
      <c r="Q48" s="129"/>
    </row>
    <row r="49" spans="2:17" s="125" customFormat="1" ht="18.75" customHeight="1">
      <c r="B49" s="141"/>
      <c r="C49" s="2"/>
      <c r="D49" s="2"/>
      <c r="E49" s="365"/>
      <c r="F49" s="132"/>
      <c r="G49" s="367"/>
      <c r="H49" s="2"/>
      <c r="I49" s="365"/>
      <c r="J49" s="132"/>
      <c r="K49" s="367"/>
      <c r="L49" s="2"/>
      <c r="M49" s="367"/>
      <c r="N49" s="129"/>
      <c r="O49" s="131"/>
      <c r="Q49" s="129"/>
    </row>
    <row r="50" spans="2:17" ht="20.100000000000001" customHeight="1">
      <c r="B50" s="2291" t="s">
        <v>648</v>
      </c>
      <c r="C50" s="2292"/>
      <c r="D50" s="2280" t="str">
        <f>IF(ISBLANK(d_4)," ",d_4)</f>
        <v xml:space="preserve"> </v>
      </c>
      <c r="E50" s="2281" t="str">
        <f>IF(ISBLANK(d_4)," ",d_4)</f>
        <v xml:space="preserve"> </v>
      </c>
      <c r="F50" s="2284" t="str">
        <f>IF(ISBLANK(d_3)," ",d_3)</f>
        <v xml:space="preserve"> </v>
      </c>
      <c r="G50" s="2285"/>
      <c r="H50" s="2280" t="str">
        <f>IF(ISBLANK(d_2)," ",d_2)</f>
        <v xml:space="preserve"> </v>
      </c>
      <c r="I50" s="2281"/>
      <c r="J50" s="2284" t="str">
        <f>IF(ISBLANK(d_1)," ",d_1)</f>
        <v xml:space="preserve"> </v>
      </c>
      <c r="K50" s="2281"/>
      <c r="L50" s="2286" t="str">
        <f>IF(ISBLANK(d)," ",d)</f>
        <v xml:space="preserve"> </v>
      </c>
      <c r="M50" s="2287"/>
    </row>
    <row r="51" spans="2:17" ht="20.100000000000001" customHeight="1">
      <c r="B51" s="2293"/>
      <c r="C51" s="2294"/>
      <c r="D51" s="1332" t="str">
        <f>IF(ISBLANK(u)," ",u)</f>
        <v xml:space="preserve"> </v>
      </c>
      <c r="E51" s="1333" t="s">
        <v>0</v>
      </c>
      <c r="F51" s="1334" t="str">
        <f>IF(ISBLANK(u)," ",u)</f>
        <v xml:space="preserve"> </v>
      </c>
      <c r="G51" s="1335" t="s">
        <v>0</v>
      </c>
      <c r="H51" s="1332" t="str">
        <f>IF(ISBLANK(u)," ",u)</f>
        <v xml:space="preserve"> </v>
      </c>
      <c r="I51" s="1333" t="s">
        <v>0</v>
      </c>
      <c r="J51" s="1336" t="str">
        <f>IF(ISBLANK(u)," ",u)</f>
        <v xml:space="preserve"> </v>
      </c>
      <c r="K51" s="1333" t="s">
        <v>0</v>
      </c>
      <c r="L51" s="1337" t="str">
        <f>IF(ISBLANK(u)," ",u)</f>
        <v xml:space="preserve"> </v>
      </c>
      <c r="M51" s="1338" t="s">
        <v>0</v>
      </c>
    </row>
    <row r="52" spans="2:17" s="1" customFormat="1" ht="20.100000000000001" customHeight="1">
      <c r="B52" s="702" t="s">
        <v>181</v>
      </c>
      <c r="C52" s="255"/>
      <c r="D52" s="1329">
        <f>rp_1</f>
        <v>0</v>
      </c>
      <c r="E52" s="1330" t="str">
        <f>IF(ISERROR(D52/D54)," ",D52/D54)</f>
        <v xml:space="preserve"> </v>
      </c>
      <c r="F52" s="1329">
        <f>rp_2</f>
        <v>0</v>
      </c>
      <c r="G52" s="1330" t="str">
        <f>IF(ISERROR(F52/F54)," ",F52/F54)</f>
        <v xml:space="preserve"> </v>
      </c>
      <c r="H52" s="96">
        <f>rp_3</f>
        <v>0</v>
      </c>
      <c r="I52" s="1331" t="str">
        <f>IF(ISERROR(H52/H54)," ",H52/H54)</f>
        <v xml:space="preserve"> </v>
      </c>
      <c r="J52" s="1329">
        <f>rp_4</f>
        <v>0</v>
      </c>
      <c r="K52" s="1330" t="str">
        <f>IF(ISERROR(J52/J54)," ",J52/J54)</f>
        <v xml:space="preserve"> </v>
      </c>
      <c r="L52" s="96">
        <f>rp_5</f>
        <v>0</v>
      </c>
      <c r="M52" s="469" t="str">
        <f>IF(ISERROR(L52/L54)," ",L52/L54)</f>
        <v xml:space="preserve"> </v>
      </c>
    </row>
    <row r="53" spans="2:17" s="1" customFormat="1" ht="20.100000000000001" customHeight="1">
      <c r="B53" s="702" t="s">
        <v>435</v>
      </c>
      <c r="C53" s="255"/>
      <c r="D53" s="1329" t="str">
        <f>IF(ISERROR(emp_1-tr_1)," ",emp_1-tr_1)</f>
        <v xml:space="preserve"> </v>
      </c>
      <c r="E53" s="1330" t="str">
        <f>IF(ISERROR(D53/D54)," ",D53/D54)</f>
        <v xml:space="preserve"> </v>
      </c>
      <c r="F53" s="1329" t="str">
        <f>IF(ISERROR(emp_2-tr_2)," ",emp_2-tr_2)</f>
        <v xml:space="preserve"> </v>
      </c>
      <c r="G53" s="1330" t="str">
        <f>IF(ISERROR(F53/F54)," ",F53/F54)</f>
        <v xml:space="preserve"> </v>
      </c>
      <c r="H53" s="96" t="str">
        <f>IF(ISERROR(emp_3-tr_3)," ",emp_3-tr_3)</f>
        <v xml:space="preserve"> </v>
      </c>
      <c r="I53" s="1331" t="str">
        <f>IF(ISERROR(H53/H54)," ",H53/H54)</f>
        <v xml:space="preserve"> </v>
      </c>
      <c r="J53" s="1329" t="str">
        <f>IF(ISERROR(emp_4-tr_4)," ",emp_4-tr_4)</f>
        <v xml:space="preserve"> </v>
      </c>
      <c r="K53" s="1330" t="str">
        <f>IF(ISERROR(J53/J54)," ",J53/J54)</f>
        <v xml:space="preserve"> </v>
      </c>
      <c r="L53" s="96" t="str">
        <f>IF(ISERROR(emp_5-tr_5)," ",emp_5-tr_5)</f>
        <v xml:space="preserve"> </v>
      </c>
      <c r="M53" s="469" t="str">
        <f>IF(ISERROR(L53/L54)," ",L53/L54)</f>
        <v xml:space="preserve"> </v>
      </c>
    </row>
    <row r="54" spans="2:17" s="1" customFormat="1" ht="21.9" customHeight="1">
      <c r="B54" s="2276" t="s">
        <v>381</v>
      </c>
      <c r="C54" s="2277"/>
      <c r="D54" s="1362">
        <f>SUM(D52:D53)</f>
        <v>0</v>
      </c>
      <c r="E54" s="1363" t="str">
        <f>IF(b_1=" "," ",100%)</f>
        <v xml:space="preserve"> </v>
      </c>
      <c r="F54" s="1362">
        <f>SUM(F52:F53)</f>
        <v>0</v>
      </c>
      <c r="G54" s="1363" t="str">
        <f>IF(b_2=" "," ",100%)</f>
        <v xml:space="preserve"> </v>
      </c>
      <c r="H54" s="1364">
        <f>SUM(H52:H53)</f>
        <v>0</v>
      </c>
      <c r="I54" s="1365" t="str">
        <f>IF(b_3=" "," ",100%)</f>
        <v xml:space="preserve"> </v>
      </c>
      <c r="J54" s="1362">
        <f>SUM(J52:J53)</f>
        <v>0</v>
      </c>
      <c r="K54" s="1363" t="str">
        <f>IF(b_4=" "," ",100%)</f>
        <v xml:space="preserve"> </v>
      </c>
      <c r="L54" s="1364">
        <f>SUM(L52:L53)</f>
        <v>0</v>
      </c>
      <c r="M54" s="1366" t="str">
        <f>IF(b_5=" "," ",100%)</f>
        <v xml:space="preserve"> </v>
      </c>
    </row>
    <row r="55" spans="2:17" s="1" customFormat="1" ht="20.100000000000001" customHeight="1">
      <c r="B55" s="702" t="s">
        <v>384</v>
      </c>
      <c r="C55" s="255"/>
      <c r="D55" s="1329">
        <f>bilan!E14+do_1-ae_1+lw_1-ph_1</f>
        <v>0</v>
      </c>
      <c r="E55" s="1330" t="str">
        <f>IF(ISERROR(D55/D60)," ",D55/D60)</f>
        <v xml:space="preserve"> </v>
      </c>
      <c r="F55" s="1329">
        <f>bilan!G14+do_2-ae_2+lw_2-ph_2</f>
        <v>0</v>
      </c>
      <c r="G55" s="1330" t="str">
        <f>IF(ISERROR(F55/F60)," ",F55/F60)</f>
        <v xml:space="preserve"> </v>
      </c>
      <c r="H55" s="96">
        <f>bilan!I14+do_3-ae_3+lw_3-ph_3</f>
        <v>0</v>
      </c>
      <c r="I55" s="1331" t="str">
        <f>IF(ISERROR(H55/H60)," ",H55/H60)</f>
        <v xml:space="preserve"> </v>
      </c>
      <c r="J55" s="1329">
        <f>bilan!K2+do_4-ae_4+lw_4-ph_4</f>
        <v>0</v>
      </c>
      <c r="K55" s="1330" t="str">
        <f>IF(ISERROR(J55/J60)," ",J55/J60)</f>
        <v xml:space="preserve"> </v>
      </c>
      <c r="L55" s="96">
        <f>bilan!M14+do_5-ae_5+lw_5-ph_5</f>
        <v>0</v>
      </c>
      <c r="M55" s="469" t="str">
        <f>IF(ISERROR(L55/L60)," ",L55/L60)</f>
        <v xml:space="preserve"> </v>
      </c>
    </row>
    <row r="56" spans="2:17" s="1" customFormat="1" ht="20.100000000000001" customHeight="1">
      <c r="B56" s="702" t="s">
        <v>385</v>
      </c>
      <c r="C56" s="255"/>
      <c r="D56" s="1329">
        <f>nh_1-qx_1</f>
        <v>0</v>
      </c>
      <c r="E56" s="1330" t="str">
        <f>IF(ISERROR(D56/D60)," ",D56/D60)</f>
        <v xml:space="preserve"> </v>
      </c>
      <c r="F56" s="1329">
        <f>nh_2-qx_2</f>
        <v>0</v>
      </c>
      <c r="G56" s="1330" t="str">
        <f>IF(ISERROR(F56/F60)," ",F56/F60)</f>
        <v xml:space="preserve"> </v>
      </c>
      <c r="H56" s="96">
        <f>nh_3-qx_3</f>
        <v>0</v>
      </c>
      <c r="I56" s="1331" t="str">
        <f>IF(ISERROR(H56/H60)," ",H56/H60)</f>
        <v xml:space="preserve"> </v>
      </c>
      <c r="J56" s="1329">
        <f>nh_4-qx_4</f>
        <v>0</v>
      </c>
      <c r="K56" s="1330" t="str">
        <f>IF(ISERROR(J56/J60)," ",J56/J60)</f>
        <v xml:space="preserve"> </v>
      </c>
      <c r="L56" s="96">
        <f>nh_5-qx_5</f>
        <v>0</v>
      </c>
      <c r="M56" s="469" t="str">
        <f>IF(ISERROR(L56/L60)," ",L56/L60)</f>
        <v xml:space="preserve"> </v>
      </c>
    </row>
    <row r="57" spans="2:17" s="1" customFormat="1" ht="20.100000000000001" customHeight="1">
      <c r="B57" s="702" t="s">
        <v>386</v>
      </c>
      <c r="C57" s="255"/>
      <c r="D57" s="1329">
        <f>nk_1-x_1</f>
        <v>0</v>
      </c>
      <c r="E57" s="1330" t="str">
        <f>IF(ISERROR(D57/D60)," ",D57/D60)</f>
        <v xml:space="preserve"> </v>
      </c>
      <c r="F57" s="1329">
        <f>nk_2-x_2</f>
        <v>0</v>
      </c>
      <c r="G57" s="1330" t="str">
        <f>IF(ISERROR(F57/F60)," ",F57/F60)</f>
        <v xml:space="preserve"> </v>
      </c>
      <c r="H57" s="96">
        <f>nk_3-x_3</f>
        <v>0</v>
      </c>
      <c r="I57" s="1331" t="str">
        <f>IF(ISERROR(H57/H60)," ",H57/H60)</f>
        <v xml:space="preserve"> </v>
      </c>
      <c r="J57" s="1329">
        <f>nk_4-x_4</f>
        <v>0</v>
      </c>
      <c r="K57" s="1330" t="str">
        <f>IF(ISERROR(J57/J60)," ",J57/J60)</f>
        <v xml:space="preserve"> </v>
      </c>
      <c r="L57" s="96">
        <f>nk_5-x_5</f>
        <v>0</v>
      </c>
      <c r="M57" s="469" t="str">
        <f>IF(ISERROR(L57/L60)," ",L57/L60)</f>
        <v xml:space="preserve"> </v>
      </c>
    </row>
    <row r="58" spans="2:17" s="1" customFormat="1" ht="20.100000000000001" customHeight="1">
      <c r="B58" s="1339" t="s">
        <v>551</v>
      </c>
      <c r="C58" s="1340"/>
      <c r="D58" s="1341">
        <f>SUM(D55:D57)</f>
        <v>0</v>
      </c>
      <c r="E58" s="1342" t="str">
        <f>IF(ISERROR(D58/D60)," ",D58/D60)</f>
        <v xml:space="preserve"> </v>
      </c>
      <c r="F58" s="1341">
        <f>SUM(F55:F57)</f>
        <v>0</v>
      </c>
      <c r="G58" s="1342" t="str">
        <f>IF(ISERROR(F58/F60)," ",F58/F60)</f>
        <v xml:space="preserve"> </v>
      </c>
      <c r="H58" s="1343">
        <f>SUM(H55:H57)</f>
        <v>0</v>
      </c>
      <c r="I58" s="1344" t="str">
        <f>IF(ISERROR(H58/H60)," ",H58/H60)</f>
        <v xml:space="preserve"> </v>
      </c>
      <c r="J58" s="1341">
        <f>SUM(J55:J57)</f>
        <v>0</v>
      </c>
      <c r="K58" s="1342" t="str">
        <f>IF(ISERROR(J58/J60)," ",J58/J60)</f>
        <v xml:space="preserve"> </v>
      </c>
      <c r="L58" s="1343">
        <f>SUM(L55:L57)</f>
        <v>0</v>
      </c>
      <c r="M58" s="1345" t="str">
        <f>IF(ISERROR(L58/L60)," ",L58/L60)</f>
        <v xml:space="preserve"> </v>
      </c>
    </row>
    <row r="59" spans="2:17" s="1" customFormat="1" ht="20.100000000000001" customHeight="1">
      <c r="B59" s="702" t="s">
        <v>179</v>
      </c>
      <c r="C59" s="255"/>
      <c r="D59" s="1329" t="str">
        <f>bfr_1</f>
        <v xml:space="preserve"> </v>
      </c>
      <c r="E59" s="1330" t="str">
        <f>IF(ISERROR(D59/D60)," ",D59/D60)</f>
        <v xml:space="preserve"> </v>
      </c>
      <c r="F59" s="1329" t="str">
        <f>bfr_2</f>
        <v xml:space="preserve"> </v>
      </c>
      <c r="G59" s="1330" t="str">
        <f>IF(ISERROR(F59/F60)," ",F59/F60)</f>
        <v xml:space="preserve"> </v>
      </c>
      <c r="H59" s="96" t="str">
        <f>bfr_3</f>
        <v xml:space="preserve"> </v>
      </c>
      <c r="I59" s="1331" t="str">
        <f>IF(ISERROR(H59/H60)," ",H59/H60)</f>
        <v xml:space="preserve"> </v>
      </c>
      <c r="J59" s="1329" t="str">
        <f>bfr_4</f>
        <v xml:space="preserve"> </v>
      </c>
      <c r="K59" s="1330" t="str">
        <f>IF(ISERROR(J59/J60)," ",J59/J60)</f>
        <v xml:space="preserve"> </v>
      </c>
      <c r="L59" s="96" t="str">
        <f>bfr_5</f>
        <v xml:space="preserve"> </v>
      </c>
      <c r="M59" s="469" t="str">
        <f>IF(ISERROR(L59/L60)," ",L59/L60)</f>
        <v xml:space="preserve"> </v>
      </c>
    </row>
    <row r="60" spans="2:17" s="1" customFormat="1" ht="21.9" customHeight="1">
      <c r="B60" s="2278" t="s">
        <v>382</v>
      </c>
      <c r="C60" s="2279"/>
      <c r="D60" s="1346">
        <f>SUM(D58:D59)</f>
        <v>0</v>
      </c>
      <c r="E60" s="1915" t="str">
        <f>IF(b_1=" "," ",100%)</f>
        <v xml:space="preserve"> </v>
      </c>
      <c r="F60" s="1346">
        <f>SUM(F58:F59)</f>
        <v>0</v>
      </c>
      <c r="G60" s="1915" t="str">
        <f>IF(b_2=" "," ",100%)</f>
        <v xml:space="preserve"> </v>
      </c>
      <c r="H60" s="1347">
        <f>SUM(H58:H59)</f>
        <v>0</v>
      </c>
      <c r="I60" s="1916" t="str">
        <f>IF(b_3=" "," ",100%)</f>
        <v xml:space="preserve"> </v>
      </c>
      <c r="J60" s="1346">
        <f>SUM(J58:J59)</f>
        <v>0</v>
      </c>
      <c r="K60" s="1915" t="str">
        <f>IF(b_4=" "," ",100%)</f>
        <v xml:space="preserve"> </v>
      </c>
      <c r="L60" s="1347">
        <f>SUM(L58:L59)</f>
        <v>0</v>
      </c>
      <c r="M60" s="1917" t="str">
        <f>IF(b_5=" "," ",100%)</f>
        <v xml:space="preserve"> </v>
      </c>
    </row>
    <row r="61" spans="2:17">
      <c r="F61" s="131"/>
      <c r="G61" s="366"/>
      <c r="H61" s="129"/>
      <c r="I61" s="368"/>
      <c r="L61" s="131"/>
      <c r="M61" s="366"/>
    </row>
    <row r="62" spans="2:17">
      <c r="F62" s="131"/>
      <c r="G62" s="366"/>
      <c r="H62" s="129"/>
      <c r="I62" s="368"/>
      <c r="J62" s="129"/>
      <c r="K62" s="368"/>
      <c r="L62" s="129"/>
      <c r="M62" s="368"/>
    </row>
    <row r="76" ht="10.5" customHeight="1"/>
  </sheetData>
  <sheetProtection algorithmName="SHA-512" hashValue="b19jsU6mrc7iTN/7hrYQj1rxXZDouzkpyay9qEjI1TYdpSVBRcPomoqrTMe7ZZWC+71otTc2ZBO0tmFMR1c6AA==" saltValue="GNh1nF50JYJoOhDXusjByQ==" spinCount="100000" sheet="1" objects="1" scenarios="1" formatCells="0" formatColumns="0" formatRows="0" insertColumns="0" insertRows="0" insertHyperlinks="0" deleteColumns="0" deleteRows="0" sort="0" autoFilter="0" pivotTables="0"/>
  <mergeCells count="30">
    <mergeCell ref="B39:C39"/>
    <mergeCell ref="B40:C40"/>
    <mergeCell ref="L4:M4"/>
    <mergeCell ref="F5:G5"/>
    <mergeCell ref="D2:M2"/>
    <mergeCell ref="B2:C2"/>
    <mergeCell ref="D4:E4"/>
    <mergeCell ref="D5:E5"/>
    <mergeCell ref="J4:K4"/>
    <mergeCell ref="H5:I5"/>
    <mergeCell ref="J5:K5"/>
    <mergeCell ref="F4:G4"/>
    <mergeCell ref="H4:I4"/>
    <mergeCell ref="B15:C15"/>
    <mergeCell ref="B54:C54"/>
    <mergeCell ref="B60:C60"/>
    <mergeCell ref="H50:I50"/>
    <mergeCell ref="L5:M5"/>
    <mergeCell ref="D50:E50"/>
    <mergeCell ref="F50:G50"/>
    <mergeCell ref="J50:K50"/>
    <mergeCell ref="L50:M50"/>
    <mergeCell ref="D42:E42"/>
    <mergeCell ref="F42:G42"/>
    <mergeCell ref="H42:I42"/>
    <mergeCell ref="J42:K42"/>
    <mergeCell ref="L42:M42"/>
    <mergeCell ref="B50:C51"/>
    <mergeCell ref="B34:C34"/>
    <mergeCell ref="B36:C36"/>
  </mergeCells>
  <phoneticPr fontId="67" type="noConversion"/>
  <conditionalFormatting sqref="D55:D57 J55:J57 F55:F57 H55:H57 L55:L57">
    <cfRule type="cellIs" dxfId="615" priority="22" stopIfTrue="1" operator="equal">
      <formula>0</formula>
    </cfRule>
  </conditionalFormatting>
  <conditionalFormatting sqref="D34 D36 F36 J34 H34 H36 F34">
    <cfRule type="cellIs" dxfId="614" priority="26" stopIfTrue="1" operator="lessThan">
      <formula>0</formula>
    </cfRule>
  </conditionalFormatting>
  <conditionalFormatting sqref="D60 F60 H60 J60 L60">
    <cfRule type="cellIs" dxfId="613" priority="28" stopIfTrue="1" operator="equal">
      <formula>0</formula>
    </cfRule>
  </conditionalFormatting>
  <conditionalFormatting sqref="D31 F31 H31 J31 L31 F15 H15 J15 L15">
    <cfRule type="cellIs" dxfId="612" priority="38" stopIfTrue="1" operator="lessThan">
      <formula>0</formula>
    </cfRule>
  </conditionalFormatting>
  <conditionalFormatting sqref="D16:D18 F16:F18 H16:H18 J16:J18 L16:L18 D21:D24 F21:F24 H21:H24 J21:J24 L21:L24">
    <cfRule type="cellIs" dxfId="611" priority="6" operator="equal">
      <formula>0</formula>
    </cfRule>
  </conditionalFormatting>
  <conditionalFormatting sqref="D25 F25 H25 J25 L25">
    <cfRule type="cellIs" dxfId="610" priority="5" operator="equal">
      <formula>0</formula>
    </cfRule>
  </conditionalFormatting>
  <conditionalFormatting sqref="D27:D28 F27:F28 H27:H28 J27:J28 L27:L28">
    <cfRule type="cellIs" dxfId="609" priority="4" operator="equal">
      <formula>0</formula>
    </cfRule>
  </conditionalFormatting>
  <conditionalFormatting sqref="D52 F52 H52 J52 L52">
    <cfRule type="cellIs" dxfId="608" priority="3" operator="equal">
      <formula>0</formula>
    </cfRule>
  </conditionalFormatting>
  <conditionalFormatting sqref="D54 F54 H54 J54 L54">
    <cfRule type="cellIs" dxfId="607" priority="2" operator="equal">
      <formula>0</formula>
    </cfRule>
  </conditionalFormatting>
  <conditionalFormatting sqref="D58 F58 H58 J58 L58">
    <cfRule type="cellIs" dxfId="606" priority="1" operator="equal">
      <formula>0</formula>
    </cfRule>
  </conditionalFormatting>
  <printOptions horizontalCentered="1"/>
  <pageMargins left="0" right="0" top="0" bottom="0" header="0" footer="0"/>
  <pageSetup paperSize="9" scale="6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pageSetUpPr fitToPage="1"/>
  </sheetPr>
  <dimension ref="B1:V182"/>
  <sheetViews>
    <sheetView showGridLines="0" showRowColHeaders="0" zoomScaleNormal="100" workbookViewId="0">
      <pane ySplit="4" topLeftCell="A53" activePane="bottomLeft" state="frozenSplit"/>
      <selection pane="bottomLeft" activeCell="J69" sqref="J69"/>
    </sheetView>
  </sheetViews>
  <sheetFormatPr baseColWidth="10" defaultColWidth="12" defaultRowHeight="13.8"/>
  <cols>
    <col min="1" max="2" width="1.77734375" style="4" customWidth="1"/>
    <col min="3" max="3" width="39.77734375" style="4" customWidth="1"/>
    <col min="4" max="4" width="12.77734375" style="4" customWidth="1"/>
    <col min="5" max="5" width="6.77734375" style="4" customWidth="1"/>
    <col min="6" max="6" width="0.44140625" style="8" customWidth="1"/>
    <col min="7" max="7" width="13.77734375" style="21" customWidth="1"/>
    <col min="8" max="8" width="14.33203125" style="21" customWidth="1"/>
    <col min="9" max="9" width="0.44140625" style="11" customWidth="1"/>
    <col min="10" max="10" width="13.77734375" style="21" customWidth="1"/>
    <col min="11" max="11" width="14.33203125" style="21" customWidth="1"/>
    <col min="12" max="12" width="0.44140625" style="11" customWidth="1"/>
    <col min="13" max="13" width="13.77734375" style="21" customWidth="1"/>
    <col min="14" max="14" width="14.33203125" style="21" customWidth="1"/>
    <col min="15" max="15" width="0.44140625" style="11" customWidth="1"/>
    <col min="16" max="16" width="13.77734375" style="21" customWidth="1"/>
    <col min="17" max="17" width="14.33203125" style="21" customWidth="1"/>
    <col min="18" max="19" width="12" style="4"/>
    <col min="20" max="20" width="12.44140625" style="4" bestFit="1" customWidth="1"/>
    <col min="21" max="21" width="17.44140625" style="4" bestFit="1" customWidth="1"/>
    <col min="22" max="16384" width="12" style="4"/>
  </cols>
  <sheetData>
    <row r="1" spans="2:17" ht="6" customHeight="1"/>
    <row r="2" spans="2:17" ht="21.9" customHeight="1">
      <c r="B2" s="2143" t="str">
        <f>IF(ISBLANK(societe)," ",societe)</f>
        <v xml:space="preserve"> </v>
      </c>
      <c r="C2" s="2306"/>
      <c r="D2" s="2306"/>
      <c r="E2" s="2306"/>
      <c r="F2" s="1997" t="s">
        <v>704</v>
      </c>
      <c r="G2" s="2307"/>
      <c r="H2" s="2307"/>
      <c r="I2" s="2307"/>
      <c r="J2" s="2307"/>
      <c r="K2" s="2307"/>
      <c r="L2" s="2307"/>
      <c r="M2" s="2307"/>
      <c r="N2" s="2307"/>
      <c r="O2" s="2307"/>
      <c r="P2" s="2307"/>
      <c r="Q2" s="2308"/>
    </row>
    <row r="4" spans="2:17" s="26" customFormat="1" ht="21.9" customHeight="1">
      <c r="B4" s="2316" t="s">
        <v>229</v>
      </c>
      <c r="C4" s="2316"/>
      <c r="D4" s="2317"/>
      <c r="E4" s="1249" t="str">
        <f>IF(ISBLANK(u)," ",u)</f>
        <v xml:space="preserve"> </v>
      </c>
      <c r="F4" s="611"/>
      <c r="G4" s="2315" t="str">
        <f>IF(ISBLANK(d_4)," ",d_4)</f>
        <v xml:space="preserve"> </v>
      </c>
      <c r="H4" s="2290"/>
      <c r="I4" s="43"/>
      <c r="J4" s="2315" t="str">
        <f>IF(ISBLANK(d_3)," ",d_3)</f>
        <v xml:space="preserve"> </v>
      </c>
      <c r="K4" s="2290"/>
      <c r="L4" s="43"/>
      <c r="M4" s="2315" t="str">
        <f>IF(ISBLANK(d_2)," ",d_2)</f>
        <v xml:space="preserve"> </v>
      </c>
      <c r="N4" s="2290"/>
      <c r="O4" s="43"/>
      <c r="P4" s="2315" t="str">
        <f>IF(ISBLANK(d_1)," ",d_1)</f>
        <v xml:space="preserve"> </v>
      </c>
      <c r="Q4" s="2290"/>
    </row>
    <row r="5" spans="2:17" ht="6" customHeight="1">
      <c r="E5" s="8"/>
    </row>
    <row r="6" spans="2:17" s="26" customFormat="1" ht="21.9" customHeight="1">
      <c r="B6" s="2312" t="s">
        <v>611</v>
      </c>
      <c r="C6" s="2313"/>
      <c r="D6" s="2313"/>
      <c r="E6" s="2314"/>
      <c r="F6" s="603"/>
      <c r="G6" s="633" t="s">
        <v>138</v>
      </c>
      <c r="H6" s="634" t="s">
        <v>139</v>
      </c>
      <c r="I6" s="44"/>
      <c r="J6" s="633" t="s">
        <v>138</v>
      </c>
      <c r="K6" s="634" t="s">
        <v>139</v>
      </c>
      <c r="L6" s="44"/>
      <c r="M6" s="633" t="s">
        <v>138</v>
      </c>
      <c r="N6" s="634" t="s">
        <v>139</v>
      </c>
      <c r="O6" s="44"/>
      <c r="P6" s="633" t="s">
        <v>138</v>
      </c>
      <c r="Q6" s="634" t="s">
        <v>139</v>
      </c>
    </row>
    <row r="7" spans="2:17" ht="20.100000000000001" customHeight="1">
      <c r="B7" s="606"/>
      <c r="C7" s="517" t="s">
        <v>344</v>
      </c>
      <c r="D7" s="369"/>
      <c r="E7" s="607"/>
      <c r="F7" s="45"/>
      <c r="G7" s="466" t="str">
        <f>IF(b_1=" "," ",ze_1)</f>
        <v xml:space="preserve"> </v>
      </c>
      <c r="H7" s="1379"/>
      <c r="I7" s="43"/>
      <c r="J7" s="466" t="str">
        <f>IF(b_2=" "," ",ze_2)</f>
        <v xml:space="preserve"> </v>
      </c>
      <c r="K7" s="1379"/>
      <c r="L7" s="43"/>
      <c r="M7" s="466" t="str">
        <f>IF(b_3=" "," ",ze_3)</f>
        <v xml:space="preserve"> </v>
      </c>
      <c r="N7" s="1379"/>
      <c r="O7" s="43"/>
      <c r="P7" s="466" t="str">
        <f>IF(b_4=" "," ",ze_4)</f>
        <v xml:space="preserve"> </v>
      </c>
      <c r="Q7" s="1379"/>
    </row>
    <row r="8" spans="2:17" ht="20.100000000000001" customHeight="1">
      <c r="B8" s="604"/>
      <c r="C8" s="431" t="s">
        <v>345</v>
      </c>
      <c r="D8" s="432"/>
      <c r="E8" s="605"/>
      <c r="F8" s="45"/>
      <c r="G8" s="608" t="str">
        <f>IF(b_1=" "," ",immo_1)</f>
        <v xml:space="preserve"> </v>
      </c>
      <c r="H8" s="1848"/>
      <c r="I8" s="43"/>
      <c r="J8" s="608" t="str">
        <f>IF(b_2=" "," ",immo_2)</f>
        <v xml:space="preserve"> </v>
      </c>
      <c r="K8" s="1848"/>
      <c r="L8" s="43"/>
      <c r="M8" s="608" t="str">
        <f>IF(b_3=" "," ",immo_3)</f>
        <v xml:space="preserve"> </v>
      </c>
      <c r="N8" s="1848"/>
      <c r="O8" s="43"/>
      <c r="P8" s="608" t="str">
        <f>IF(b_4=" "," ",immo_4)</f>
        <v xml:space="preserve"> </v>
      </c>
      <c r="Q8" s="1848"/>
    </row>
    <row r="9" spans="2:17" ht="20.100000000000001" customHeight="1">
      <c r="B9" s="604"/>
      <c r="C9" s="431" t="s">
        <v>226</v>
      </c>
      <c r="D9" s="432"/>
      <c r="E9" s="605"/>
      <c r="F9" s="45"/>
      <c r="G9" s="608" t="str">
        <f>IF(b_1=" "," ",IF(nv_1&lt;nv_2,nv_2-nv_1,0))</f>
        <v xml:space="preserve"> </v>
      </c>
      <c r="H9" s="1848"/>
      <c r="I9" s="43"/>
      <c r="J9" s="608" t="str">
        <f>IF(b_2=" "," ",IF(nv_2&lt;nv_3,nv_3-nv_2,0))</f>
        <v xml:space="preserve"> </v>
      </c>
      <c r="K9" s="1848"/>
      <c r="L9" s="43"/>
      <c r="M9" s="608" t="str">
        <f>IF(b_3=" "," ",IF(nv_3&lt;nv_4,nv_4-nv_3,0))</f>
        <v xml:space="preserve"> </v>
      </c>
      <c r="N9" s="1848"/>
      <c r="O9" s="43"/>
      <c r="P9" s="608" t="str">
        <f>IF(b_4=" "," ",IF(nv_4&lt;nv_5,nv_5-nv_4,0))</f>
        <v xml:space="preserve"> </v>
      </c>
      <c r="Q9" s="1848"/>
    </row>
    <row r="10" spans="2:17" ht="20.100000000000001" customHeight="1">
      <c r="B10" s="604"/>
      <c r="C10" s="431" t="s">
        <v>227</v>
      </c>
      <c r="D10" s="432"/>
      <c r="E10" s="605"/>
      <c r="F10" s="45"/>
      <c r="G10" s="609" t="str">
        <f>IF(b_1=" "," ",IF(cap_propres_1&lt;0,cap_propres_1/-1,0))</f>
        <v xml:space="preserve"> </v>
      </c>
      <c r="H10" s="1848"/>
      <c r="I10" s="43"/>
      <c r="J10" s="609" t="str">
        <f>IF(b_2=" "," ",IF(cap_propres_2&lt;0,cap_propres_2/-1,0))</f>
        <v xml:space="preserve"> </v>
      </c>
      <c r="K10" s="1848"/>
      <c r="L10" s="43"/>
      <c r="M10" s="609" t="str">
        <f>IF(b_3=" "," ",IF(cap_propres_3&lt;0,cap_propres_3/-1,0))</f>
        <v xml:space="preserve"> </v>
      </c>
      <c r="N10" s="1848"/>
      <c r="O10" s="43"/>
      <c r="P10" s="609" t="str">
        <f>IF(b_4=" "," ",IF(cap_propres_4&lt;0,cap_propres_4/-1,0))</f>
        <v xml:space="preserve"> </v>
      </c>
      <c r="Q10" s="1848"/>
    </row>
    <row r="11" spans="2:17" ht="20.100000000000001" customHeight="1">
      <c r="B11" s="604"/>
      <c r="C11" s="431" t="s">
        <v>466</v>
      </c>
      <c r="D11" s="432"/>
      <c r="E11" s="605"/>
      <c r="F11" s="45"/>
      <c r="G11" s="609" t="str">
        <f>IF(b_1=" "," ",IF(FP_1&lt;0,FP_1/-1,0))</f>
        <v xml:space="preserve"> </v>
      </c>
      <c r="H11" s="1848"/>
      <c r="I11" s="43"/>
      <c r="J11" s="609" t="str">
        <f>IF(b_2=" "," ",IF(FP_2&lt;0,FP_2/-1,0))</f>
        <v xml:space="preserve"> </v>
      </c>
      <c r="K11" s="1848"/>
      <c r="L11" s="43"/>
      <c r="M11" s="609" t="str">
        <f>IF(b_3=" "," ",IF(FP_3&lt;0,FP_3/-1,0))</f>
        <v xml:space="preserve"> </v>
      </c>
      <c r="N11" s="1848"/>
      <c r="O11" s="43"/>
      <c r="P11" s="609" t="str">
        <f>IF(b_4=" "," ",IF(FP_4&lt;0,FP_4/-1,0))</f>
        <v xml:space="preserve"> </v>
      </c>
      <c r="Q11" s="1848"/>
    </row>
    <row r="12" spans="2:17" ht="20.100000000000001" customHeight="1">
      <c r="B12" s="604"/>
      <c r="C12" s="431" t="s">
        <v>228</v>
      </c>
      <c r="D12" s="432"/>
      <c r="E12" s="605"/>
      <c r="F12" s="45"/>
      <c r="G12" s="608" t="str">
        <f>IF(b_1=" "," ",'Infos complémentaires'!F61+'Infos complémentaires'!F62)</f>
        <v xml:space="preserve"> </v>
      </c>
      <c r="H12" s="1848"/>
      <c r="I12" s="43"/>
      <c r="J12" s="608" t="str">
        <f>IF(b_2=" "," ",'Infos complémentaires'!H61+'Infos complémentaires'!H62)</f>
        <v xml:space="preserve"> </v>
      </c>
      <c r="K12" s="1848"/>
      <c r="L12" s="43"/>
      <c r="M12" s="608" t="str">
        <f>IF(b_3=" "," ",'Infos complémentaires'!J61+'Infos complémentaires'!J62)</f>
        <v xml:space="preserve"> </v>
      </c>
      <c r="N12" s="1848"/>
      <c r="O12" s="43"/>
      <c r="P12" s="608" t="str">
        <f>IF(b_4=" "," ",'Infos complémentaires'!L61+'Infos complémentaires'!L62)</f>
        <v xml:space="preserve"> </v>
      </c>
      <c r="Q12" s="1848"/>
    </row>
    <row r="13" spans="2:17" ht="20.100000000000001" customHeight="1">
      <c r="B13" s="606"/>
      <c r="C13" s="517" t="s">
        <v>50</v>
      </c>
      <c r="D13" s="369"/>
      <c r="E13" s="607"/>
      <c r="F13" s="45"/>
      <c r="G13" s="610"/>
      <c r="H13" s="1848"/>
      <c r="I13" s="43"/>
      <c r="J13" s="610"/>
      <c r="K13" s="1848"/>
      <c r="L13" s="43"/>
      <c r="M13" s="610"/>
      <c r="N13" s="1848"/>
      <c r="O13" s="43"/>
      <c r="P13" s="610"/>
      <c r="Q13" s="1848"/>
    </row>
    <row r="14" spans="2:17" ht="21.9" customHeight="1">
      <c r="B14" s="2309" t="s">
        <v>609</v>
      </c>
      <c r="C14" s="2310"/>
      <c r="D14" s="2310"/>
      <c r="E14" s="2311"/>
      <c r="F14" s="19"/>
      <c r="G14" s="1849" t="str">
        <f>IF(b_1=" "," ",SUM(G7:G13))</f>
        <v xml:space="preserve"> </v>
      </c>
      <c r="H14" s="1850"/>
      <c r="I14" s="43"/>
      <c r="J14" s="1849" t="str">
        <f>IF(b_2=" "," ",SUM(J7:J13))</f>
        <v xml:space="preserve"> </v>
      </c>
      <c r="K14" s="1850"/>
      <c r="L14" s="43"/>
      <c r="M14" s="1849" t="str">
        <f>IF(b_3=" "," ",SUM(M7:M13))</f>
        <v xml:space="preserve"> </v>
      </c>
      <c r="N14" s="1850"/>
      <c r="O14" s="43"/>
      <c r="P14" s="1849" t="str">
        <f>IF(b_4=" "," ",SUM(P7:P13))</f>
        <v xml:space="preserve"> </v>
      </c>
      <c r="Q14" s="1850"/>
    </row>
    <row r="15" spans="2:17" s="8" customFormat="1" ht="15" customHeight="1">
      <c r="E15" s="46"/>
      <c r="F15" s="19"/>
      <c r="G15" s="47"/>
      <c r="H15" s="43"/>
      <c r="I15" s="43"/>
      <c r="J15" s="47"/>
      <c r="K15" s="43"/>
      <c r="L15" s="43"/>
      <c r="M15" s="43"/>
      <c r="N15" s="43"/>
      <c r="O15" s="43"/>
      <c r="P15" s="47"/>
      <c r="Q15" s="43"/>
    </row>
    <row r="16" spans="2:17" ht="21.9" customHeight="1">
      <c r="B16" s="2323" t="s">
        <v>612</v>
      </c>
      <c r="C16" s="2324"/>
      <c r="D16" s="2324"/>
      <c r="E16" s="2325"/>
      <c r="F16" s="18"/>
      <c r="G16" s="633" t="s">
        <v>138</v>
      </c>
      <c r="H16" s="634" t="s">
        <v>139</v>
      </c>
      <c r="I16" s="44"/>
      <c r="J16" s="633" t="s">
        <v>138</v>
      </c>
      <c r="K16" s="634" t="s">
        <v>139</v>
      </c>
      <c r="L16" s="44"/>
      <c r="M16" s="633" t="s">
        <v>138</v>
      </c>
      <c r="N16" s="634" t="s">
        <v>139</v>
      </c>
      <c r="O16" s="44"/>
      <c r="P16" s="633" t="s">
        <v>138</v>
      </c>
      <c r="Q16" s="634" t="s">
        <v>139</v>
      </c>
    </row>
    <row r="17" spans="2:22" ht="20.100000000000001" customHeight="1">
      <c r="B17" s="606"/>
      <c r="C17" s="290" t="s">
        <v>206</v>
      </c>
      <c r="D17" s="290"/>
      <c r="E17" s="613"/>
      <c r="F17" s="19"/>
      <c r="G17" s="614"/>
      <c r="H17" s="1851" t="str">
        <f>IF(ca_1=0," ",caf_1)</f>
        <v xml:space="preserve"> </v>
      </c>
      <c r="I17" s="17"/>
      <c r="J17" s="614"/>
      <c r="K17" s="1851" t="str">
        <f>IF(ca_2=0," ",caf_2)</f>
        <v xml:space="preserve"> </v>
      </c>
      <c r="L17" s="17"/>
      <c r="M17" s="614"/>
      <c r="N17" s="1851" t="str">
        <f>IF(ca_3=0," ",caf_3)</f>
        <v xml:space="preserve"> </v>
      </c>
      <c r="O17" s="17"/>
      <c r="P17" s="614"/>
      <c r="Q17" s="1851" t="str">
        <f>IF(ca_4=0," ",caf_4)</f>
        <v xml:space="preserve"> </v>
      </c>
    </row>
    <row r="18" spans="2:22" ht="20.100000000000001" customHeight="1">
      <c r="B18" s="604"/>
      <c r="C18" s="518" t="s">
        <v>230</v>
      </c>
      <c r="D18" s="433"/>
      <c r="E18" s="612"/>
      <c r="F18" s="19"/>
      <c r="G18" s="614"/>
      <c r="H18" s="1852" t="str">
        <f>IF(b_1=" "," ",cession_1)</f>
        <v xml:space="preserve"> </v>
      </c>
      <c r="I18" s="17"/>
      <c r="J18" s="614"/>
      <c r="K18" s="1852" t="str">
        <f>IF(b_2=" "," ",cession_2)</f>
        <v xml:space="preserve"> </v>
      </c>
      <c r="L18" s="17"/>
      <c r="M18" s="614"/>
      <c r="N18" s="1852" t="str">
        <f>IF(b_3=" "," ",cession_3)</f>
        <v xml:space="preserve"> </v>
      </c>
      <c r="O18" s="17"/>
      <c r="P18" s="614"/>
      <c r="Q18" s="1852" t="str">
        <f>IF(b_4=" "," ",cession_4)</f>
        <v xml:space="preserve"> </v>
      </c>
    </row>
    <row r="19" spans="2:22" ht="20.100000000000001" customHeight="1">
      <c r="B19" s="604"/>
      <c r="C19" s="433" t="s">
        <v>231</v>
      </c>
      <c r="D19" s="433"/>
      <c r="E19" s="612"/>
      <c r="F19" s="19"/>
      <c r="G19" s="614"/>
      <c r="H19" s="1853" t="str">
        <f>IF(b_1=" "," ",IF(cap_propres_1&gt;0,cap_propres_1,0))</f>
        <v xml:space="preserve"> </v>
      </c>
      <c r="I19" s="17"/>
      <c r="J19" s="614"/>
      <c r="K19" s="1853" t="str">
        <f>IF(b_2=" "," ",IF(cap_propres_2&gt;0,cap_propres_2,0))</f>
        <v xml:space="preserve"> </v>
      </c>
      <c r="L19" s="17"/>
      <c r="M19" s="614"/>
      <c r="N19" s="1853" t="str">
        <f>IF(b_3=" "," ",IF(cap_propres_3&gt;0,cap_propres_3,0))</f>
        <v xml:space="preserve"> </v>
      </c>
      <c r="O19" s="17"/>
      <c r="P19" s="614"/>
      <c r="Q19" s="1853" t="str">
        <f>IF(b_4=" "," ",IF(cap_propres_4&gt;0,cap_propres_4,0))</f>
        <v xml:space="preserve"> </v>
      </c>
      <c r="S19" s="21"/>
    </row>
    <row r="20" spans="2:22" ht="20.100000000000001" customHeight="1">
      <c r="B20" s="604"/>
      <c r="C20" s="433" t="s">
        <v>429</v>
      </c>
      <c r="D20" s="433"/>
      <c r="E20" s="612"/>
      <c r="F20" s="19"/>
      <c r="G20" s="614"/>
      <c r="H20" s="1853" t="str">
        <f>IF(b_1=" "," ",IF(FP_1&gt;0,FP_1,0))</f>
        <v xml:space="preserve"> </v>
      </c>
      <c r="I20" s="17"/>
      <c r="J20" s="614"/>
      <c r="K20" s="1853" t="str">
        <f>IF(b_2=" "," ",IF(FP_2&gt;0,FP_2,0))</f>
        <v xml:space="preserve"> </v>
      </c>
      <c r="L20" s="17"/>
      <c r="M20" s="614"/>
      <c r="N20" s="1853" t="str">
        <f>IF(b_3=" "," ",IF(FP_3&gt;0,FP_3,0))</f>
        <v xml:space="preserve"> </v>
      </c>
      <c r="O20" s="17"/>
      <c r="P20" s="614"/>
      <c r="Q20" s="1853" t="str">
        <f>IF(b_4=" "," ",IF(FP_4&gt;0,FP_4,0))</f>
        <v xml:space="preserve"> </v>
      </c>
    </row>
    <row r="21" spans="2:22" ht="20.100000000000001" customHeight="1">
      <c r="B21" s="604"/>
      <c r="C21" s="433" t="s">
        <v>232</v>
      </c>
      <c r="D21" s="433"/>
      <c r="E21" s="612"/>
      <c r="F21" s="19"/>
      <c r="G21" s="614"/>
      <c r="H21" s="1852" t="str">
        <f>IF(b_1=" "," ",'Infos complémentaires'!F59+'Infos complémentaires'!F60)</f>
        <v xml:space="preserve"> </v>
      </c>
      <c r="I21" s="17"/>
      <c r="J21" s="614"/>
      <c r="K21" s="1852" t="str">
        <f>IF(b_2=" "," ",'Infos complémentaires'!H59+'Infos complémentaires'!H60)</f>
        <v xml:space="preserve"> </v>
      </c>
      <c r="L21" s="17"/>
      <c r="M21" s="614"/>
      <c r="N21" s="1852" t="str">
        <f>IF(b_3=" "," ",'Infos complémentaires'!J59+'Infos complémentaires'!J60)</f>
        <v xml:space="preserve"> </v>
      </c>
      <c r="O21" s="17"/>
      <c r="P21" s="614"/>
      <c r="Q21" s="1852" t="str">
        <f>IF(b_4=" "," ",'Infos complémentaires'!L59+'Infos complémentaires'!L60)</f>
        <v xml:space="preserve"> </v>
      </c>
    </row>
    <row r="22" spans="2:22" ht="20.100000000000001" customHeight="1">
      <c r="B22" s="606"/>
      <c r="C22" s="290" t="s">
        <v>233</v>
      </c>
      <c r="D22" s="290"/>
      <c r="E22" s="613"/>
      <c r="F22" s="19"/>
      <c r="G22" s="614"/>
      <c r="H22" s="1854" t="str">
        <f>IF(b_1=" "," ",IF(nv_1&gt;nv_2,nv_1-nv_2,0))</f>
        <v xml:space="preserve"> </v>
      </c>
      <c r="I22" s="17"/>
      <c r="J22" s="614"/>
      <c r="K22" s="1854" t="str">
        <f>IF(b_2=" "," ",IF(nv_2&gt;nv_3,nv_2-nv_3,0))</f>
        <v xml:space="preserve"> </v>
      </c>
      <c r="L22" s="17"/>
      <c r="M22" s="614"/>
      <c r="N22" s="1855" t="str">
        <f>IF(b_3=" "," ",IF(nv_3&gt;nv_4,nv_3-nv_4,0))</f>
        <v xml:space="preserve"> </v>
      </c>
      <c r="O22" s="17"/>
      <c r="P22" s="614"/>
      <c r="Q22" s="1855" t="str">
        <f>IF(b_4=" "," ",IF(nv_4&gt;nv_5,nv_4-nv_5,0))</f>
        <v xml:space="preserve"> </v>
      </c>
    </row>
    <row r="23" spans="2:22" ht="21.9" customHeight="1">
      <c r="B23" s="2333" t="s">
        <v>610</v>
      </c>
      <c r="C23" s="2334"/>
      <c r="D23" s="2334"/>
      <c r="E23" s="2335"/>
      <c r="F23" s="19"/>
      <c r="G23" s="1856"/>
      <c r="H23" s="1857" t="str">
        <f>IF(b_1=" "," ",SUM(H17:H22))</f>
        <v xml:space="preserve"> </v>
      </c>
      <c r="I23" s="17"/>
      <c r="J23" s="1856"/>
      <c r="K23" s="1857" t="str">
        <f>IF(b_2=" "," ",SUM(K17:K22))</f>
        <v xml:space="preserve"> </v>
      </c>
      <c r="L23" s="17"/>
      <c r="M23" s="1856"/>
      <c r="N23" s="1857" t="str">
        <f>IF(b_3=" "," ",SUM(N17:N22))</f>
        <v xml:space="preserve"> </v>
      </c>
      <c r="O23" s="17"/>
      <c r="P23" s="1856"/>
      <c r="Q23" s="1857" t="str">
        <f>IF(b_4=" "," ",SUM(Q17:Q22))</f>
        <v xml:space="preserve"> </v>
      </c>
    </row>
    <row r="24" spans="2:22" s="7" customFormat="1" ht="9" customHeight="1">
      <c r="B24" s="20"/>
      <c r="C24" s="20"/>
      <c r="D24" s="20"/>
      <c r="E24" s="20"/>
      <c r="F24" s="20"/>
      <c r="G24" s="11"/>
      <c r="H24" s="24"/>
      <c r="I24" s="24"/>
      <c r="J24" s="11"/>
      <c r="K24" s="24"/>
      <c r="L24" s="24"/>
      <c r="M24" s="11"/>
      <c r="N24" s="24"/>
      <c r="O24" s="24"/>
      <c r="P24" s="11"/>
      <c r="Q24" s="24"/>
      <c r="R24" s="4"/>
    </row>
    <row r="25" spans="2:22" ht="20.100000000000001" customHeight="1">
      <c r="B25" s="267"/>
      <c r="C25" s="635" t="s">
        <v>234</v>
      </c>
      <c r="D25" s="142"/>
      <c r="E25" s="267"/>
      <c r="F25" s="48"/>
      <c r="G25" s="17"/>
      <c r="H25" s="615" t="str">
        <f>IF(b_1=" "," ",IF(H23&lt;G14,0,H23-G14))</f>
        <v xml:space="preserve"> </v>
      </c>
      <c r="I25" s="17"/>
      <c r="J25" s="17"/>
      <c r="K25" s="615" t="str">
        <f>IF(b_2=" "," ",IF(K23&lt;J14,0,K23-J14))</f>
        <v xml:space="preserve"> </v>
      </c>
      <c r="L25" s="17"/>
      <c r="M25" s="17"/>
      <c r="N25" s="615" t="str">
        <f>IF(b_3=" "," ",IF(N23&lt;M14,0,N23-M14))</f>
        <v xml:space="preserve"> </v>
      </c>
      <c r="O25" s="17"/>
      <c r="P25" s="17"/>
      <c r="Q25" s="615" t="str">
        <f>IF(b_4=" "," ",IF(Q23&lt;P14,0,Q23-P14))</f>
        <v xml:space="preserve"> </v>
      </c>
    </row>
    <row r="26" spans="2:22" ht="3" customHeight="1">
      <c r="B26" s="25"/>
      <c r="C26" s="636"/>
      <c r="D26" s="116"/>
      <c r="F26" s="35"/>
      <c r="G26" s="43"/>
      <c r="H26" s="43"/>
      <c r="I26" s="43"/>
      <c r="J26" s="43"/>
      <c r="K26" s="43"/>
      <c r="L26" s="43"/>
      <c r="M26" s="43"/>
      <c r="N26" s="43"/>
      <c r="O26" s="43"/>
      <c r="P26" s="43"/>
      <c r="Q26" s="43"/>
    </row>
    <row r="27" spans="2:22" ht="20.100000000000001" customHeight="1">
      <c r="C27" s="637" t="s">
        <v>235</v>
      </c>
      <c r="D27" s="117"/>
      <c r="F27" s="49"/>
      <c r="G27" s="371" t="str">
        <f>IF(b_1=" "," ",IF(H23&gt;G14,0,G14-H23))</f>
        <v xml:space="preserve"> </v>
      </c>
      <c r="H27" s="17"/>
      <c r="I27" s="43"/>
      <c r="J27" s="371" t="str">
        <f>IF(b_2=" "," ",IF(K23&gt;J14,0,J14-K23))</f>
        <v xml:space="preserve"> </v>
      </c>
      <c r="K27" s="17"/>
      <c r="L27" s="43"/>
      <c r="M27" s="371" t="str">
        <f>IF(b_3=" "," ",IF(N23&gt;M14,0,M14-N23))</f>
        <v xml:space="preserve"> </v>
      </c>
      <c r="N27" s="17"/>
      <c r="O27" s="43"/>
      <c r="P27" s="371" t="str">
        <f>IF(b_4=" "," ",IF(Q23&gt;P14,0,P14-Q23))</f>
        <v xml:space="preserve"> </v>
      </c>
      <c r="Q27" s="17"/>
    </row>
    <row r="28" spans="2:22">
      <c r="E28" s="8"/>
      <c r="G28" s="50"/>
      <c r="H28" s="50"/>
      <c r="I28" s="43"/>
      <c r="J28" s="50"/>
      <c r="K28" s="50"/>
      <c r="L28" s="43"/>
      <c r="M28" s="50"/>
      <c r="N28" s="50"/>
      <c r="O28" s="43"/>
      <c r="P28" s="50"/>
      <c r="Q28" s="50"/>
    </row>
    <row r="29" spans="2:22" ht="21.9" customHeight="1">
      <c r="B29" s="2312" t="s">
        <v>613</v>
      </c>
      <c r="C29" s="2313"/>
      <c r="D29" s="2313"/>
      <c r="E29" s="2314"/>
      <c r="G29" s="633" t="s">
        <v>138</v>
      </c>
      <c r="H29" s="634" t="s">
        <v>139</v>
      </c>
      <c r="I29" s="44"/>
      <c r="J29" s="633" t="s">
        <v>138</v>
      </c>
      <c r="K29" s="634" t="s">
        <v>139</v>
      </c>
      <c r="L29" s="44"/>
      <c r="M29" s="633" t="s">
        <v>138</v>
      </c>
      <c r="N29" s="634" t="s">
        <v>139</v>
      </c>
      <c r="O29" s="44"/>
      <c r="P29" s="633" t="s">
        <v>138</v>
      </c>
      <c r="Q29" s="634" t="s">
        <v>139</v>
      </c>
    </row>
    <row r="30" spans="2:22" ht="20.100000000000001" customHeight="1">
      <c r="B30" s="606"/>
      <c r="C30" s="369" t="s">
        <v>238</v>
      </c>
      <c r="D30" s="289"/>
      <c r="E30" s="616"/>
      <c r="F30" s="27"/>
      <c r="G30" s="621" t="str">
        <f>IF(b_1=" ","",IF(st_1&lt;st_2,0,st_1-st_2))</f>
        <v/>
      </c>
      <c r="H30" s="1858" t="str">
        <f>IF(b_1=" ","",IF(st_1&gt;st_2,0,st_2-st_1))</f>
        <v/>
      </c>
      <c r="I30" s="43"/>
      <c r="J30" s="621" t="str">
        <f>IF(b_2=" ","",IF(st_2&lt;st_3,0,st_2-st_3))</f>
        <v/>
      </c>
      <c r="K30" s="1858" t="str">
        <f>IF(b_2=" ","",IF(st_2&gt;st_3,0,st_3-st_2))</f>
        <v/>
      </c>
      <c r="L30" s="43"/>
      <c r="M30" s="621" t="str">
        <f>IF(b_3=" ","",IF(st_3&lt;st_4,0,st_3-st_4))</f>
        <v/>
      </c>
      <c r="N30" s="1858" t="str">
        <f>IF(b_3=" ","",IF(st_3&gt;st_4,0,st_4-st_3))</f>
        <v/>
      </c>
      <c r="O30" s="43"/>
      <c r="P30" s="621" t="str">
        <f>IF(b_4=" ","",IF(st_4&lt;st_5,0,st_4-st_5))</f>
        <v/>
      </c>
      <c r="Q30" s="1858" t="str">
        <f>IF(b_4=" ","",IF(st_4&gt;st_5,0,st_5-st_4))</f>
        <v/>
      </c>
      <c r="R30" s="51"/>
      <c r="S30" s="51"/>
      <c r="T30" s="51"/>
      <c r="U30" s="51"/>
      <c r="V30" s="51"/>
    </row>
    <row r="31" spans="2:22" ht="20.100000000000001" customHeight="1">
      <c r="B31" s="604"/>
      <c r="C31" s="432" t="s">
        <v>239</v>
      </c>
      <c r="D31" s="434"/>
      <c r="E31" s="617"/>
      <c r="F31" s="27"/>
      <c r="G31" s="622" t="str">
        <f>IF(b_1=" ","",IF(clt_brut_1&lt;clt_brut_2,0,clt_brut_1-clt_brut_2))</f>
        <v/>
      </c>
      <c r="H31" s="1859" t="str">
        <f>IF(b_1=" ","",IF(clt_brut_1&gt;clt_brut_2,0,clt_brut_2-clt_brut_1))</f>
        <v/>
      </c>
      <c r="I31" s="43"/>
      <c r="J31" s="622" t="str">
        <f>IF(b_2=" ","",IF(clt_brut_2&lt;clt_brut_3,0,clt_brut_2-clt_brut_3))</f>
        <v/>
      </c>
      <c r="K31" s="1859" t="str">
        <f>IF(b_2=" ","",IF(clt_brut_2&gt;clt_brut_3,0,clt_brut_3-clt_brut_2))</f>
        <v/>
      </c>
      <c r="L31" s="43"/>
      <c r="M31" s="623" t="str">
        <f>IF(b_3=" ","",IF(clt_brut_3&lt;clt_brut_4,0,clt_brut_3-clt_brut_4))</f>
        <v/>
      </c>
      <c r="N31" s="1861" t="str">
        <f>IF(b_3=" ","",IF(clt_brut_3&gt;clt_brut_4,0,clt_brut_4-clt_brut_3))</f>
        <v/>
      </c>
      <c r="O31" s="43"/>
      <c r="P31" s="623" t="str">
        <f>IF(b_4=" ","",IF(clt_brut_4&lt;clt_brut_5,0,clt_brut_4-clt_brut_5))</f>
        <v/>
      </c>
      <c r="Q31" s="1861" t="str">
        <f>IF(b_4=" ","",IF(clt_brut_4&gt;clt_brut_5,0,clt_brut_5-clt_brut_4))</f>
        <v/>
      </c>
      <c r="S31" s="52"/>
      <c r="T31" s="52"/>
      <c r="U31" s="53"/>
    </row>
    <row r="32" spans="2:22" ht="20.100000000000001" customHeight="1">
      <c r="B32" s="604"/>
      <c r="C32" s="432" t="s">
        <v>87</v>
      </c>
      <c r="D32" s="434"/>
      <c r="E32" s="617"/>
      <c r="F32" s="27"/>
      <c r="G32" s="622" t="str">
        <f>IF(b_1=" ","",IF(acre_1&lt;acre_2,0,acre_1-acre_2))</f>
        <v/>
      </c>
      <c r="H32" s="1859" t="str">
        <f>IF(b_1=" ","",IF(acre_1&gt;acre_2,0,acre_2-acre_1))</f>
        <v/>
      </c>
      <c r="I32" s="43"/>
      <c r="J32" s="622" t="str">
        <f>IF(b_2=" ","",IF(acre_2&lt;acre_3,0,acre_2-acre_3))</f>
        <v/>
      </c>
      <c r="K32" s="1859" t="str">
        <f>IF(b_2=" ","",IF(acre_2&gt;acre_3,0,acre_3-acre_2))</f>
        <v/>
      </c>
      <c r="L32" s="43"/>
      <c r="M32" s="623" t="str">
        <f>IF(b_3=" ","",IF(acre_3&lt;acre_4,0,acre_3-acre_4))</f>
        <v/>
      </c>
      <c r="N32" s="1861" t="str">
        <f>IF(b_3=" ","",IF(acre_3&gt;acre_4,0,acre_4-acre_3))</f>
        <v/>
      </c>
      <c r="O32" s="43"/>
      <c r="P32" s="623" t="str">
        <f>IF(b_4=" ","",IF(acre_4&lt;acre_5,0,acre_4-acre_5))</f>
        <v/>
      </c>
      <c r="Q32" s="1861" t="str">
        <f>IF(b_4=" ","",IF(acre_4&gt;acre_5,0,acre_5-acre_4))</f>
        <v/>
      </c>
      <c r="S32" s="8"/>
      <c r="T32" s="52"/>
      <c r="U32" s="54"/>
    </row>
    <row r="33" spans="2:21" ht="20.100000000000001" customHeight="1">
      <c r="B33" s="606"/>
      <c r="C33" s="369" t="s">
        <v>120</v>
      </c>
      <c r="D33" s="289"/>
      <c r="E33" s="616"/>
      <c r="F33" s="27"/>
      <c r="G33" s="621" t="str">
        <f>IF(b_1=" ","",IF(cca_1&lt;cca_2,0,cca_1-cca_2))</f>
        <v/>
      </c>
      <c r="H33" s="1860" t="str">
        <f>IF(b_1=" ","",IF(cca_1&gt;cca_2,0,cca_2-cca_1))</f>
        <v/>
      </c>
      <c r="I33" s="43"/>
      <c r="J33" s="621" t="str">
        <f>IF(b_2=" ","",IF(cca_2&lt;cca_3,0,cca_2-cca_3))</f>
        <v/>
      </c>
      <c r="K33" s="1860" t="str">
        <f>IF(b_2=" ","",IF(cca_2&gt;cca_3,0,cca_3-cca_2))</f>
        <v/>
      </c>
      <c r="L33" s="43"/>
      <c r="M33" s="625" t="str">
        <f>IF(b_3=" ","",IF(cca_3&lt;cca_4,0,cca_3-cca_4))</f>
        <v/>
      </c>
      <c r="N33" s="1863" t="str">
        <f>IF(b_3=" ","",IF(cca_3&gt;cca_4,0,cca_4-cca_3))</f>
        <v/>
      </c>
      <c r="O33" s="43"/>
      <c r="P33" s="625" t="str">
        <f>IF(b_4=" ","",IF(cca_4&lt;cca_5,0,cca_4-cca_5))</f>
        <v/>
      </c>
      <c r="Q33" s="1863" t="str">
        <f>IF(b_4=" ","",IF(cca_4&gt;cca_5,0,cca_5-cca_4))</f>
        <v/>
      </c>
      <c r="S33" s="52"/>
      <c r="T33" s="52"/>
      <c r="U33" s="54"/>
    </row>
    <row r="34" spans="2:21" ht="21.9" customHeight="1">
      <c r="B34" s="2312" t="s">
        <v>614</v>
      </c>
      <c r="C34" s="2313"/>
      <c r="D34" s="2313"/>
      <c r="E34" s="2314"/>
      <c r="F34" s="55"/>
      <c r="G34" s="633" t="s">
        <v>138</v>
      </c>
      <c r="H34" s="634" t="s">
        <v>139</v>
      </c>
      <c r="I34" s="44"/>
      <c r="J34" s="633" t="s">
        <v>138</v>
      </c>
      <c r="K34" s="634" t="s">
        <v>139</v>
      </c>
      <c r="L34" s="44"/>
      <c r="M34" s="633" t="s">
        <v>138</v>
      </c>
      <c r="N34" s="634" t="s">
        <v>139</v>
      </c>
      <c r="O34" s="44"/>
      <c r="P34" s="633" t="s">
        <v>138</v>
      </c>
      <c r="Q34" s="634" t="s">
        <v>139</v>
      </c>
      <c r="T34" s="8"/>
      <c r="U34" s="8"/>
    </row>
    <row r="35" spans="2:21" ht="20.100000000000001" customHeight="1">
      <c r="B35" s="606"/>
      <c r="C35" s="290" t="s">
        <v>240</v>
      </c>
      <c r="D35" s="290"/>
      <c r="E35" s="613"/>
      <c r="F35" s="27"/>
      <c r="G35" s="621" t="str">
        <f>IF(b_1=" ","",IF(dx_1&gt;dx_2,0,dx_2-dx_1))</f>
        <v/>
      </c>
      <c r="H35" s="1858" t="str">
        <f>IF(b_1=" ","",IF(dx_1&lt;dx_2,0,dx_1-dx_2))</f>
        <v/>
      </c>
      <c r="I35" s="43"/>
      <c r="J35" s="621" t="str">
        <f>IF(b_2=" ","",IF(dx_2&gt;dx_3,0,dx_3-dx_2))</f>
        <v/>
      </c>
      <c r="K35" s="1858" t="str">
        <f>IF(b_2=" ","",IF(dx_2&lt;dx_3,0,dx_2-dx_3))</f>
        <v/>
      </c>
      <c r="L35" s="43"/>
      <c r="M35" s="625" t="str">
        <f>IF(b_3=" ","",IF(dx_3&gt;dx_4,0,dx_4-dx_3))</f>
        <v/>
      </c>
      <c r="N35" s="1864" t="str">
        <f>IF(b_3=" ","",IF(dx_3&lt;dx_4,0,dx_3-dx_4))</f>
        <v/>
      </c>
      <c r="O35" s="43"/>
      <c r="P35" s="625" t="str">
        <f>IF(b_4=" ","",IF(dx_4&gt;dx_5,0,dx_5-dx_4))</f>
        <v/>
      </c>
      <c r="Q35" s="1864" t="str">
        <f>IF(b_4=" ","",IF(dx_4&lt;dx_5,0,dx_4-dx_5))</f>
        <v/>
      </c>
      <c r="S35" s="52"/>
      <c r="T35" s="52"/>
      <c r="U35" s="8"/>
    </row>
    <row r="36" spans="2:21" ht="20.100000000000001" customHeight="1">
      <c r="B36" s="604"/>
      <c r="C36" s="433" t="s">
        <v>91</v>
      </c>
      <c r="D36" s="433"/>
      <c r="E36" s="612"/>
      <c r="F36" s="27"/>
      <c r="G36" s="622" t="str">
        <f>IF(b_1=" ","",IF(dfse_1&gt;dfse_2,0,dfse_2-dfse_1))</f>
        <v/>
      </c>
      <c r="H36" s="1859" t="str">
        <f>IF(b_1=" ","",IF(dfse_1&lt;dfse_2,0,dfse_1-dfse_2))</f>
        <v/>
      </c>
      <c r="I36" s="43"/>
      <c r="J36" s="622" t="str">
        <f>IF(b_2=" ","",IF(dfse_2&gt;dfse_3,0,dfse_3-dfse_2))</f>
        <v/>
      </c>
      <c r="K36" s="1859" t="str">
        <f>IF(b_2=" ","",IF(dfse_2&lt;dfse_3,0,dfse_2-dfse_3))</f>
        <v/>
      </c>
      <c r="L36" s="43"/>
      <c r="M36" s="623" t="str">
        <f>IF(b_3=" ","",IF(dfse_3&gt;dfse_4,0,dfse_4-dfse_3))</f>
        <v/>
      </c>
      <c r="N36" s="1861" t="str">
        <f>IF(b_3=" ","",IF(dfse_3&lt;dfse_4,0,dfse_3-dfse_4))</f>
        <v/>
      </c>
      <c r="O36" s="43"/>
      <c r="P36" s="623" t="str">
        <f>IF(b_4=" ","",IF(dfse_4&gt;dfse_5,0,dfse_5-dfse_4))</f>
        <v/>
      </c>
      <c r="Q36" s="1861" t="str">
        <f>IF(b_4=" ","",IF(dfse_4&lt;dfse_5,0,dfse_4-dfse_5))</f>
        <v/>
      </c>
      <c r="S36" s="52"/>
      <c r="T36" s="52"/>
      <c r="U36" s="8"/>
    </row>
    <row r="37" spans="2:21" ht="20.100000000000001" customHeight="1">
      <c r="B37" s="604"/>
      <c r="C37" s="433" t="s">
        <v>95</v>
      </c>
      <c r="D37" s="433"/>
      <c r="E37" s="612"/>
      <c r="F37" s="27"/>
      <c r="G37" s="623" t="str">
        <f>IF(b_1=" ","",IF(ade_1&gt;=ade_2,0,ade_2-ade_1))</f>
        <v/>
      </c>
      <c r="H37" s="1861" t="str">
        <f>IF(b_1=" ","",IF(ade_1&lt;=ade_2,0,ade_1-ade_2))</f>
        <v/>
      </c>
      <c r="I37" s="43"/>
      <c r="J37" s="623" t="str">
        <f>IF(b_2=" ","",IF(ade_2&gt;=ade_3,0,ade_3-ade_2))</f>
        <v/>
      </c>
      <c r="K37" s="1861" t="str">
        <f>IF(b_2=" ","",IF(ade_2&lt;=ade_3,0,ade_2-ade_3))</f>
        <v/>
      </c>
      <c r="L37" s="43"/>
      <c r="M37" s="623" t="str">
        <f>IF(b_3=" ","",IF(ade_3&gt;=ade_4,0,ade_4-ade_3))</f>
        <v/>
      </c>
      <c r="N37" s="1861" t="str">
        <f>IF(b_3=" ","",IF(ade_3&lt;=ade_4,0,ade_3-ade_4))</f>
        <v/>
      </c>
      <c r="O37" s="43"/>
      <c r="P37" s="623" t="str">
        <f>IF(b_4=" ","",IF(ade_4&gt;=ade_5,0,ade_5-ade_4))</f>
        <v/>
      </c>
      <c r="Q37" s="1861" t="str">
        <f>IF(b_4=" ","",IF(ade_4&lt;=ade_5,0,ade_4-ade_5))</f>
        <v/>
      </c>
      <c r="S37" s="52"/>
      <c r="T37" s="52"/>
      <c r="U37" s="8"/>
    </row>
    <row r="38" spans="2:21" ht="20.100000000000001" customHeight="1">
      <c r="B38" s="618"/>
      <c r="C38" s="619" t="s">
        <v>121</v>
      </c>
      <c r="D38" s="619"/>
      <c r="E38" s="620"/>
      <c r="F38" s="27"/>
      <c r="G38" s="624" t="str">
        <f>IF(b_1=" ","",IF(pca_1&gt;pca_2,0,pca_2-pca_1))</f>
        <v/>
      </c>
      <c r="H38" s="1860" t="str">
        <f>IF(b_1=" ","",IF(pca_1&lt;pca_2,0,pca_1-pca_2))</f>
        <v/>
      </c>
      <c r="I38" s="43"/>
      <c r="J38" s="624" t="str">
        <f>IF(b_2=" ","",IF(pca_2&gt;pca_3,0,pca_3-pca_2))</f>
        <v/>
      </c>
      <c r="K38" s="1860" t="str">
        <f>IF(b_2=" ","",IF(pca_2&lt;pca_3,0,pca_2-pca_3))</f>
        <v/>
      </c>
      <c r="L38" s="43"/>
      <c r="M38" s="626" t="str">
        <f>IF(b_3=" ","",IF(pca_3&gt;pca_4,0,pca_4-pca_3))</f>
        <v/>
      </c>
      <c r="N38" s="1863" t="str">
        <f>IF(b_3=" ","",IF(pca_3&lt;pca_4,0,pca_3-pca_4))</f>
        <v/>
      </c>
      <c r="O38" s="43"/>
      <c r="P38" s="626" t="str">
        <f>IF(b_4=" ","",IF(pca_4&gt;pca_5,0,pca_5-pca_4))</f>
        <v/>
      </c>
      <c r="Q38" s="1863" t="str">
        <f>IF(b_4=" ","",IF(pca_4&lt;pca_5,0,pca_4-pca_5))</f>
        <v/>
      </c>
      <c r="S38" s="52"/>
      <c r="T38" s="52"/>
      <c r="U38" s="8"/>
    </row>
    <row r="39" spans="2:21" s="8" customFormat="1" ht="3" customHeight="1">
      <c r="B39" s="27"/>
      <c r="C39" s="27"/>
      <c r="D39" s="27"/>
      <c r="E39" s="27"/>
      <c r="F39" s="27"/>
      <c r="G39" s="41"/>
      <c r="H39" s="41"/>
      <c r="I39" s="43"/>
      <c r="J39" s="41"/>
      <c r="K39" s="41"/>
      <c r="L39" s="43"/>
      <c r="M39" s="43"/>
      <c r="N39" s="43"/>
      <c r="O39" s="43"/>
      <c r="P39" s="43"/>
      <c r="Q39" s="43"/>
    </row>
    <row r="40" spans="2:21" ht="20.100000000000001" customHeight="1">
      <c r="B40" s="27"/>
      <c r="C40" s="27"/>
      <c r="D40" s="27"/>
      <c r="E40" s="27"/>
      <c r="F40" s="27"/>
      <c r="G40" s="627" t="str">
        <f>IF(b_1=" "," ",SUM(G30:G38))</f>
        <v xml:space="preserve"> </v>
      </c>
      <c r="H40" s="1862" t="str">
        <f>IF(b_1=" "," ",SUM(H30:H38))</f>
        <v xml:space="preserve"> </v>
      </c>
      <c r="I40" s="43"/>
      <c r="J40" s="627" t="str">
        <f>IF(b_2=" "," ",SUM(J30:J38))</f>
        <v xml:space="preserve"> </v>
      </c>
      <c r="K40" s="1862" t="str">
        <f>IF(b_2=" "," ",SUM(K30:K38))</f>
        <v xml:space="preserve"> </v>
      </c>
      <c r="L40" s="43"/>
      <c r="M40" s="627" t="str">
        <f>IF(b_3=" "," ",SUM(M30:M38))</f>
        <v xml:space="preserve"> </v>
      </c>
      <c r="N40" s="1862" t="str">
        <f>IF(b_3=" "," ",SUM(N30:N38))</f>
        <v xml:space="preserve"> </v>
      </c>
      <c r="O40" s="43"/>
      <c r="P40" s="627" t="str">
        <f>IF(b_4=" "," ",SUM(P30:P38))</f>
        <v xml:space="preserve"> </v>
      </c>
      <c r="Q40" s="1862" t="str">
        <f>IF(b_4=" "," ",SUM(Q30:Q38))</f>
        <v xml:space="preserve"> </v>
      </c>
      <c r="S40" s="26"/>
    </row>
    <row r="41" spans="2:21" ht="9" customHeight="1">
      <c r="B41" s="27"/>
      <c r="C41" s="27"/>
      <c r="D41" s="27"/>
      <c r="E41" s="27"/>
      <c r="F41" s="27"/>
      <c r="G41" s="14"/>
      <c r="H41" s="14"/>
      <c r="J41" s="14"/>
      <c r="K41" s="14"/>
      <c r="M41" s="14"/>
      <c r="N41" s="14"/>
      <c r="P41" s="14"/>
      <c r="Q41" s="14"/>
    </row>
    <row r="42" spans="2:21" ht="20.100000000000001" customHeight="1">
      <c r="B42" s="2320" t="s">
        <v>141</v>
      </c>
      <c r="C42" s="2320"/>
      <c r="D42" s="2320"/>
      <c r="E42" s="2320"/>
      <c r="F42" s="640"/>
      <c r="G42" s="641"/>
      <c r="H42" s="370" t="str">
        <f>IF(b_1=" "," ",IF(G40&gt;H40,0,H40-G40))</f>
        <v xml:space="preserve"> </v>
      </c>
      <c r="I42" s="24"/>
      <c r="J42" s="24"/>
      <c r="K42" s="370" t="str">
        <f>IF(b_2=" "," ",IF(J40&gt;K40,0,K40-J40))</f>
        <v xml:space="preserve"> </v>
      </c>
      <c r="L42" s="24"/>
      <c r="M42" s="24"/>
      <c r="N42" s="370" t="str">
        <f>IF(b_3=" "," ",IF(M40&gt;N40,0,N40-M40))</f>
        <v xml:space="preserve"> </v>
      </c>
      <c r="O42" s="24"/>
      <c r="P42" s="24"/>
      <c r="Q42" s="370" t="str">
        <f>IF(b_4=" "," ",IF(P40&gt;Q40,0,Q40-P40))</f>
        <v xml:space="preserve"> </v>
      </c>
    </row>
    <row r="43" spans="2:21" s="8" customFormat="1" ht="3" customHeight="1">
      <c r="B43" s="642"/>
      <c r="C43" s="642"/>
      <c r="D43" s="642"/>
      <c r="E43" s="642"/>
      <c r="F43" s="35"/>
      <c r="G43" s="14"/>
      <c r="H43" s="14"/>
      <c r="I43" s="11"/>
      <c r="J43" s="14"/>
      <c r="K43" s="14"/>
      <c r="L43" s="11"/>
      <c r="M43" s="14"/>
      <c r="N43" s="14"/>
      <c r="O43" s="11"/>
      <c r="P43" s="14"/>
      <c r="Q43" s="14"/>
      <c r="R43" s="4"/>
    </row>
    <row r="44" spans="2:21" ht="20.100000000000001" customHeight="1">
      <c r="B44" s="2326" t="s">
        <v>140</v>
      </c>
      <c r="C44" s="2326"/>
      <c r="D44" s="2326"/>
      <c r="E44" s="2326"/>
      <c r="F44" s="49"/>
      <c r="G44" s="1865" t="str">
        <f>IF(b_1=" "," ",IF(G40&lt;H40,0,G40-H40))</f>
        <v xml:space="preserve"> </v>
      </c>
      <c r="H44" s="24"/>
      <c r="I44" s="24"/>
      <c r="J44" s="1865" t="str">
        <f>IF(b_2=" "," ",IF(J40&lt;K40,0,J40-K40))</f>
        <v xml:space="preserve"> </v>
      </c>
      <c r="K44" s="24"/>
      <c r="L44" s="24"/>
      <c r="M44" s="1865" t="str">
        <f>IF(b_3=" "," ",IF(M40&lt;N40,0,M40-N40))</f>
        <v xml:space="preserve"> </v>
      </c>
      <c r="N44" s="24"/>
      <c r="O44" s="24"/>
      <c r="P44" s="1865" t="str">
        <f>IF(b_4=" "," ",IF(P40&lt;Q40,0,P40-Q40))</f>
        <v xml:space="preserve"> </v>
      </c>
      <c r="Q44" s="24"/>
    </row>
    <row r="45" spans="2:21">
      <c r="E45" s="8"/>
    </row>
    <row r="46" spans="2:21" ht="21.9" customHeight="1">
      <c r="B46" s="2328" t="s">
        <v>243</v>
      </c>
      <c r="C46" s="2329"/>
      <c r="D46" s="2329"/>
      <c r="E46" s="2330"/>
      <c r="G46" s="633" t="s">
        <v>138</v>
      </c>
      <c r="H46" s="634" t="s">
        <v>139</v>
      </c>
      <c r="I46" s="44"/>
      <c r="J46" s="633" t="s">
        <v>138</v>
      </c>
      <c r="K46" s="634" t="s">
        <v>139</v>
      </c>
      <c r="L46" s="44"/>
      <c r="M46" s="633" t="s">
        <v>138</v>
      </c>
      <c r="N46" s="634" t="s">
        <v>139</v>
      </c>
      <c r="O46" s="44"/>
      <c r="P46" s="633" t="s">
        <v>138</v>
      </c>
      <c r="Q46" s="634" t="s">
        <v>139</v>
      </c>
    </row>
    <row r="47" spans="2:21" ht="20.100000000000001" customHeight="1">
      <c r="B47" s="628"/>
      <c r="C47" s="441" t="s">
        <v>274</v>
      </c>
      <c r="D47" s="435"/>
      <c r="E47" s="629"/>
      <c r="G47" s="464" t="str">
        <f>IF(b_1=" "," ",IF(vm_1&lt;vm_2,0,vm_1-vm_2))</f>
        <v xml:space="preserve"> </v>
      </c>
      <c r="H47" s="1851" t="str">
        <f>IF(b_1=" "," ",IF(vm_1&gt;vm_2,0,vm_2-vm_1))</f>
        <v xml:space="preserve"> </v>
      </c>
      <c r="I47" s="43"/>
      <c r="J47" s="464" t="str">
        <f>IF(b_2=" "," ",IF(vm_2&lt;vm_3,0,vm_2-vm_3))</f>
        <v xml:space="preserve"> </v>
      </c>
      <c r="K47" s="1851" t="str">
        <f>IF(b_2=" "," ",IF(vm_2&gt;vm_3,0,vm_3-vm_2))</f>
        <v xml:space="preserve"> </v>
      </c>
      <c r="L47" s="43"/>
      <c r="M47" s="464" t="str">
        <f>IF(b_3=" "," ",IF(vm_3&lt;vm_4,0,vm_3-vm_4))</f>
        <v xml:space="preserve"> </v>
      </c>
      <c r="N47" s="1851" t="str">
        <f>IF(b_3=" "," ",IF(vm_3&gt;vm_4,0,vm_4-vm_3))</f>
        <v xml:space="preserve"> </v>
      </c>
      <c r="O47" s="43"/>
      <c r="P47" s="464" t="str">
        <f>IF(b_4=" "," ",IF(vm_4&lt;vm_5,0,vm_4-vm_5))</f>
        <v xml:space="preserve"> </v>
      </c>
      <c r="Q47" s="1851" t="str">
        <f>IF(b_4=" "," ",IF(vm_4&gt;vm_5,0,vm_5-vm_4))</f>
        <v xml:space="preserve"> </v>
      </c>
    </row>
    <row r="48" spans="2:21" ht="20.100000000000001" customHeight="1">
      <c r="B48" s="630"/>
      <c r="C48" s="442" t="s">
        <v>275</v>
      </c>
      <c r="D48" s="436"/>
      <c r="E48" s="631"/>
      <c r="G48" s="632" t="str">
        <f>IF(b_1=" "," ",IF(vc_1&lt;vc_2,0,vc_1-vc_2))</f>
        <v xml:space="preserve"> </v>
      </c>
      <c r="H48" s="1852" t="str">
        <f>IF(b_1=" "," ",IF(vc_1&gt;vc_2,0,vc_2-vc_1))</f>
        <v xml:space="preserve"> </v>
      </c>
      <c r="I48" s="43"/>
      <c r="J48" s="632" t="str">
        <f>IF(b_2=" "," ",IF(vc_2&lt;vc_3,0,vc_2-vc_3))</f>
        <v xml:space="preserve"> </v>
      </c>
      <c r="K48" s="1852" t="str">
        <f>IF(b_2=" "," ",IF(vc_2&gt;vc_3,0,vc_3-vc_2))</f>
        <v xml:space="preserve"> </v>
      </c>
      <c r="L48" s="43"/>
      <c r="M48" s="632" t="str">
        <f>IF(b_3=" "," ",IF(vc_3&lt;vc_4,0,vc_3-vc_4))</f>
        <v xml:space="preserve"> </v>
      </c>
      <c r="N48" s="1852" t="str">
        <f>IF(b_3=" "," ",IF(vc_3&gt;vc_4,0,vc_4-vc_3))</f>
        <v xml:space="preserve"> </v>
      </c>
      <c r="O48" s="43"/>
      <c r="P48" s="632" t="str">
        <f>IF(b_4=" "," ",IF(vc_4&lt;vc_5,0,vc_4-vc_5))</f>
        <v xml:space="preserve"> </v>
      </c>
      <c r="Q48" s="1852" t="str">
        <f>IF(b_4=" "," ",IF(vc_4&gt;vc_5,0,vc_5-vc_4))</f>
        <v xml:space="preserve"> </v>
      </c>
    </row>
    <row r="49" spans="2:18" ht="20.100000000000001" customHeight="1">
      <c r="B49" s="628"/>
      <c r="C49" s="441" t="s">
        <v>108</v>
      </c>
      <c r="D49" s="435"/>
      <c r="E49" s="629"/>
      <c r="F49" s="27"/>
      <c r="G49" s="464" t="str">
        <f>IF(b_1=" "," ",IF(cb_1&lt;cb_2,0,cb_1-cb_2))</f>
        <v xml:space="preserve"> </v>
      </c>
      <c r="H49" s="1855" t="str">
        <f>IF(b_1=" "," ",IF(cb_1&gt;cb_2,0,cb_2-cb_1))</f>
        <v xml:space="preserve"> </v>
      </c>
      <c r="I49" s="43"/>
      <c r="J49" s="464" t="str">
        <f>IF(b_2=" "," ",IF(cb_2&lt;cb_3,0,cb_2-cb_3))</f>
        <v xml:space="preserve"> </v>
      </c>
      <c r="K49" s="1855" t="str">
        <f>IF(b_2=" "," ",IF(cb_2&gt;cb_3,0,cb_3-cb_2))</f>
        <v xml:space="preserve"> </v>
      </c>
      <c r="L49" s="43"/>
      <c r="M49" s="464" t="str">
        <f>IF(b_3=" "," ",IF(cb_3&lt;cb_4,0,cb_3-cb_4))</f>
        <v xml:space="preserve"> </v>
      </c>
      <c r="N49" s="1855" t="str">
        <f>IF(b_3=" "," ",IF(cb_3&gt;cb_4,0,cb_4-cb_3))</f>
        <v xml:space="preserve"> </v>
      </c>
      <c r="O49" s="43"/>
      <c r="P49" s="464" t="str">
        <f>IF(b_4=" "," ",IF(cb_4&lt;cb_5,0,cb_4-cb_5))</f>
        <v xml:space="preserve"> </v>
      </c>
      <c r="Q49" s="1855" t="str">
        <f>IF(b_4=" "," ",IF(cb_4&gt;cb_5,0,cb_5-cb_4))</f>
        <v xml:space="preserve"> </v>
      </c>
    </row>
    <row r="50" spans="2:18" ht="20.100000000000001" customHeight="1">
      <c r="B50" s="1873"/>
      <c r="C50" s="1868" t="s">
        <v>276</v>
      </c>
      <c r="D50" s="1869"/>
      <c r="E50" s="1870"/>
      <c r="F50" s="27"/>
      <c r="G50" s="1871" t="str">
        <f>IF(b_1=" "," ",IF(is_1&gt;is_2,0,is_2-is_1))</f>
        <v xml:space="preserve"> </v>
      </c>
      <c r="H50" s="1872" t="str">
        <f>IF(b_1=" "," ",IF(is_1&lt;is_2,0,is_1-is_2))</f>
        <v xml:space="preserve"> </v>
      </c>
      <c r="I50" s="43"/>
      <c r="J50" s="1871" t="str">
        <f>IF(b_2=" "," ",IF(is_2&gt;is_3,0,is_3-is_2))</f>
        <v xml:space="preserve"> </v>
      </c>
      <c r="K50" s="1872" t="str">
        <f>IF(b_2=" "," ",IF(is_2&lt;is_3,0,is_2-is_3))</f>
        <v xml:space="preserve"> </v>
      </c>
      <c r="L50" s="43"/>
      <c r="M50" s="1871" t="str">
        <f>IF(b_3=" "," ",IF(is_3&gt;is_4,0,is_4-is_3))</f>
        <v xml:space="preserve"> </v>
      </c>
      <c r="N50" s="1872" t="str">
        <f>IF(b_3=" "," ",IF(is_3&lt;is_4,0,is_3-is_4))</f>
        <v xml:space="preserve"> </v>
      </c>
      <c r="O50" s="43"/>
      <c r="P50" s="1871" t="str">
        <f>IF(b_4=" "," ",IF(is_4&gt;is_5,0,is_5-is_4))</f>
        <v xml:space="preserve"> </v>
      </c>
      <c r="Q50" s="1872" t="str">
        <f>IF(b_4=" "," ",IF(is_4&lt;is_5,0,is_4-is_5))</f>
        <v xml:space="preserve"> </v>
      </c>
    </row>
    <row r="51" spans="2:18" ht="20.100000000000001" customHeight="1">
      <c r="B51" s="630"/>
      <c r="C51" s="442" t="s">
        <v>93</v>
      </c>
      <c r="D51" s="436"/>
      <c r="E51" s="631"/>
      <c r="F51" s="27"/>
      <c r="G51" s="1867" t="str">
        <f>IF(b_1=" "," ",IF(dz_1&gt;dz_2,0,dz_2-dz_1))</f>
        <v xml:space="preserve"> </v>
      </c>
      <c r="H51" s="1852" t="str">
        <f>IF(b_1=" "," ",IF(dz_1&lt;dz_2,0,dz_1-dz_2))</f>
        <v xml:space="preserve"> </v>
      </c>
      <c r="I51" s="43"/>
      <c r="J51" s="632" t="str">
        <f>IF(b_2=" "," ",IF(dz_2&gt;dz_3,0,dz_3-dz_2))</f>
        <v xml:space="preserve"> </v>
      </c>
      <c r="K51" s="1852" t="str">
        <f>IF(b_2=" "," ",IF(dz_2&lt;dz_3,0,dz_2-dz_3))</f>
        <v xml:space="preserve"> </v>
      </c>
      <c r="L51" s="43"/>
      <c r="M51" s="632" t="str">
        <f>IF(b_3=" "," ",IF(dz_3&gt;dz_4,0,dz_4-dz_3))</f>
        <v xml:space="preserve"> </v>
      </c>
      <c r="N51" s="1852" t="str">
        <f>IF(b_3=" "," ",IF(dz_3&lt;dz_4,0,dz_3-dz_4))</f>
        <v xml:space="preserve"> </v>
      </c>
      <c r="O51" s="43"/>
      <c r="P51" s="632" t="str">
        <f>IF(b_4=" "," ",IF(dz_4&gt;dz_5,0,dz_5-dz_4))</f>
        <v xml:space="preserve"> </v>
      </c>
      <c r="Q51" s="1852" t="str">
        <f>IF(b_4=" "," ",IF(dz_4&lt;dz_5,0,dz_4-dz_5))</f>
        <v xml:space="preserve"> </v>
      </c>
    </row>
    <row r="52" spans="2:18" ht="20.100000000000001" customHeight="1">
      <c r="B52" s="630"/>
      <c r="C52" s="442" t="s">
        <v>277</v>
      </c>
      <c r="D52" s="436"/>
      <c r="E52" s="631"/>
      <c r="F52" s="27"/>
      <c r="G52" s="632" t="str">
        <f>IF(b_1=" "," ",IF(vi_1&gt;vi_2,0,vi_2-vi_1))</f>
        <v xml:space="preserve"> </v>
      </c>
      <c r="H52" s="1852" t="str">
        <f>IF(b_1=" "," ",IF(vi_1&lt;vi_2,0,vi_1-vi_2))</f>
        <v xml:space="preserve"> </v>
      </c>
      <c r="I52" s="43"/>
      <c r="J52" s="632" t="str">
        <f>IF(b_2=" "," ",IF(vi_2&gt;vi_3,0,vi_3-vi_2))</f>
        <v xml:space="preserve"> </v>
      </c>
      <c r="K52" s="1852" t="str">
        <f>IF(b_2=" "," ",IF(vi_2&lt;vi_3,0,vi_2-vi_3))</f>
        <v xml:space="preserve"> </v>
      </c>
      <c r="L52" s="43"/>
      <c r="M52" s="632" t="str">
        <f>IF(b_3=" "," ",IF(vi_3&gt;vi_4,0,vi_4-vi_3))</f>
        <v xml:space="preserve"> </v>
      </c>
      <c r="N52" s="1852" t="str">
        <f>IF(b_3=" "," ",IF(vi_3&lt;vi_4,0,vi_3-vi_4))</f>
        <v xml:space="preserve"> </v>
      </c>
      <c r="O52" s="43"/>
      <c r="P52" s="632" t="str">
        <f>IF(b_4=" "," ",IF(vi_4&gt;vi_5,0,vi_5-vi_4))</f>
        <v xml:space="preserve"> </v>
      </c>
      <c r="Q52" s="1852" t="str">
        <f>IF(b_4=" "," ",IF(vi_4&lt;vi_5,0,vi_4-vi_5))</f>
        <v xml:space="preserve"> </v>
      </c>
    </row>
    <row r="53" spans="2:18" ht="20.100000000000001" customHeight="1">
      <c r="B53" s="628"/>
      <c r="C53" s="441" t="s">
        <v>95</v>
      </c>
      <c r="D53" s="435"/>
      <c r="E53" s="629"/>
      <c r="F53" s="27"/>
      <c r="G53" s="464" t="str">
        <f>IF(b_1=" "," ",IF(ea_1&gt;ea_2,0,ea_2-ea_1))</f>
        <v xml:space="preserve"> </v>
      </c>
      <c r="H53" s="1855" t="str">
        <f>IF(b_1=" "," ",IF(ea_1&lt;ea_2,0,ea_1-ea_2))</f>
        <v xml:space="preserve"> </v>
      </c>
      <c r="I53" s="43"/>
      <c r="J53" s="464" t="str">
        <f>IF(b_2=" "," ",IF(ea_2&gt;ea_3,0,ea_3-ea_2))</f>
        <v xml:space="preserve"> </v>
      </c>
      <c r="K53" s="1855" t="str">
        <f>IF(b_2=" "," ",IF(ea_2&lt;ea_3,0,ea_2-ea_3))</f>
        <v xml:space="preserve"> </v>
      </c>
      <c r="L53" s="43"/>
      <c r="M53" s="464" t="str">
        <f>IF(b_3=" "," ",IF(ea_3&gt;ea_4,0,ea_4-ea_3))</f>
        <v xml:space="preserve"> </v>
      </c>
      <c r="N53" s="1855" t="str">
        <f>IF(b_3=" "," ",IF(ea_3&lt;ea_4,0,ea_3-ea_4))</f>
        <v xml:space="preserve"> </v>
      </c>
      <c r="O53" s="43"/>
      <c r="P53" s="464" t="str">
        <f>IF(b_4=" "," ",IF(ea_4&gt;ea_5,0,ea_5-ea_4))</f>
        <v xml:space="preserve"> </v>
      </c>
      <c r="Q53" s="1855" t="str">
        <f>IF(b_4=" "," ",IF(ea_4&lt;ea_5,0,ea_4-ea_5))</f>
        <v xml:space="preserve"> </v>
      </c>
    </row>
    <row r="54" spans="2:18" ht="20.100000000000001" customHeight="1">
      <c r="B54" s="1961" t="s">
        <v>242</v>
      </c>
      <c r="C54" s="2331"/>
      <c r="D54" s="2331"/>
      <c r="E54" s="2332"/>
      <c r="F54" s="19"/>
      <c r="G54" s="737" t="str">
        <f>IF(b_1=" "," ",IF((G47+G48+G49+G50+G51+G52+G53)&lt;(H47+H48+H49+H50+H51+H52+H53),0,G47+G48+G49+G50+G51+G52+G53-H47-H48-H49-H50-H51-H52-H53))</f>
        <v xml:space="preserve"> </v>
      </c>
      <c r="H54" s="1866" t="str">
        <f>IF(b_1=" "," ",IF((H47+H48+H49+H50+H51+H52+H53)&lt;(G47+G48+G49+G50+G51+G52+G53),0,H47+H48+H49+H50+H51+H52+H53-G47-G48-G49-G50-G51-G52-G53))</f>
        <v xml:space="preserve"> </v>
      </c>
      <c r="I54" s="43"/>
      <c r="J54" s="737" t="str">
        <f>IF(b_2=" "," ",IF((J47+J48+J49+J50+J51+J52+J53)&lt;(K47+K48+K49+K50+K51+K52+K53),0,J47+J48+J49+J50+J51+J52+J53-K47-K48-K49-K50-K51-K52-K53))</f>
        <v xml:space="preserve"> </v>
      </c>
      <c r="K54" s="1866" t="str">
        <f>IF(b_2=" "," ",IF((K47+K48+K49+K50+K51+K52+K53)&lt;(J47+J48+J49+J50+J51+J52+J53),0,K47+K48+K49+K50+K51+K52+K53-J47-J48-J49-J50-J51-J52-J53))</f>
        <v xml:space="preserve"> </v>
      </c>
      <c r="L54" s="43"/>
      <c r="M54" s="737" t="str">
        <f>IF(b_3=" "," ",IF((M47+M48+M49+M50+M51+M52+M53)&lt;(N47+N48+N49+N50+N51+N52+N53),0,M47+M48+M49+M50+M51+M52+M53-N47-N48-N49-N50-N51-N52-N53))</f>
        <v xml:space="preserve"> </v>
      </c>
      <c r="N54" s="1866" t="str">
        <f>IF(b_3=" "," ",IF((N47+N48+N49+N50+N51+N52+N53)&lt;(M47+M48+M49+M50+M51+M52+M53),0,N47+N48+N49+N50+N51+N52+N53-M47-M48-M49-M50-M51-M52-M53))</f>
        <v xml:space="preserve"> </v>
      </c>
      <c r="O54" s="43"/>
      <c r="P54" s="737" t="str">
        <f>IF(b_4=" "," ",IF((P47+P48+P49+P50+P51+P52+P53)&lt;(Q47+Q48+Q49+Q50+Q51+Q52+Q53),0,P47+P48+P49+P50+P51+P52+P53-Q47-Q48-Q49-Q50-Q51-Q52-Q53))</f>
        <v xml:space="preserve"> </v>
      </c>
      <c r="Q54" s="1866" t="str">
        <f>IF(b_4=" "," ",IF((Q47+Q48+Q49+Q50+Q51+Q52+Q53)&lt;(P47+P48+P49+P50+P51+P52+P53),0,Q47+Q48+Q49+Q50+Q51+Q52+Q53-P47-P48-P49-P50-P51-P52-P53))</f>
        <v xml:space="preserve"> </v>
      </c>
      <c r="R54" s="21"/>
    </row>
    <row r="55" spans="2:18" ht="9" customHeight="1">
      <c r="B55" s="27"/>
      <c r="C55" s="27"/>
      <c r="D55" s="27"/>
      <c r="E55" s="27"/>
      <c r="F55" s="27"/>
      <c r="G55" s="41"/>
      <c r="H55" s="41"/>
      <c r="I55" s="43"/>
      <c r="J55" s="41"/>
      <c r="K55" s="41"/>
      <c r="L55" s="43"/>
      <c r="M55" s="41"/>
      <c r="N55" s="41"/>
      <c r="O55" s="43"/>
      <c r="P55" s="41"/>
      <c r="Q55" s="41"/>
    </row>
    <row r="56" spans="2:18" ht="20.100000000000001" customHeight="1">
      <c r="B56" s="2318" t="s">
        <v>169</v>
      </c>
      <c r="C56" s="2319"/>
      <c r="D56" s="2319"/>
      <c r="E56" s="2319"/>
      <c r="F56" s="638"/>
      <c r="G56" s="639"/>
      <c r="H56" s="370" t="str">
        <f>IF(b_1=" "," ",IF(H42-G44+H54-G54&lt;0,0,H42-G44+H54-G54))</f>
        <v xml:space="preserve"> </v>
      </c>
      <c r="I56" s="43"/>
      <c r="J56" s="17"/>
      <c r="K56" s="372" t="str">
        <f>IF(b_2=" "," ",IF(K42-J44+K54-J54&lt;0,0,K42-J44+K54-J54))</f>
        <v xml:space="preserve"> </v>
      </c>
      <c r="L56" s="43"/>
      <c r="M56" s="17"/>
      <c r="N56" s="372" t="str">
        <f>IF(b_3=" "," ",IF(N42-M44+N54-M54&lt;0,0,N42-M44+N54-M54))</f>
        <v xml:space="preserve"> </v>
      </c>
      <c r="O56" s="43"/>
      <c r="P56" s="17"/>
      <c r="Q56" s="372" t="str">
        <f>IF(b_4=" "," ",IF(Q42-P44+Q54-P54&lt;0,0,Q42-P44+Q54-P54))</f>
        <v xml:space="preserve"> </v>
      </c>
    </row>
    <row r="57" spans="2:18" ht="3" customHeight="1">
      <c r="B57" s="118"/>
      <c r="C57" s="118"/>
      <c r="D57" s="118"/>
      <c r="E57" s="118"/>
      <c r="F57" s="35"/>
      <c r="G57" s="41"/>
      <c r="H57" s="41"/>
      <c r="I57" s="43"/>
      <c r="J57" s="41"/>
      <c r="K57" s="41"/>
      <c r="L57" s="43"/>
      <c r="M57" s="41"/>
      <c r="N57" s="41"/>
      <c r="O57" s="43"/>
      <c r="P57" s="41"/>
      <c r="Q57" s="41"/>
    </row>
    <row r="58" spans="2:18" ht="20.100000000000001" customHeight="1">
      <c r="B58" s="2327" t="s">
        <v>170</v>
      </c>
      <c r="C58" s="2327"/>
      <c r="D58" s="2327"/>
      <c r="E58" s="2327"/>
      <c r="F58" s="49"/>
      <c r="G58" s="1865" t="str">
        <f>IF(b_1=" "," ",IF((G44-H42+G54-H54)&lt;0,0,G44-H42+G54-H54))</f>
        <v xml:space="preserve"> </v>
      </c>
      <c r="H58" s="17"/>
      <c r="I58" s="43"/>
      <c r="J58" s="1865" t="str">
        <f>IF(b_2=" "," ",IF((J44-K42+J54-K54)&lt;0,0,J44-K42+J54-K54))</f>
        <v xml:space="preserve"> </v>
      </c>
      <c r="K58" s="17"/>
      <c r="L58" s="43"/>
      <c r="M58" s="1865" t="str">
        <f>IF(b_3=" "," ",IF((M44-N42+M54-N54)&lt;0,0,M44-N42+M54-N54))</f>
        <v xml:space="preserve"> </v>
      </c>
      <c r="N58" s="17"/>
      <c r="O58" s="43"/>
      <c r="P58" s="1865" t="str">
        <f>IF(b_4=" "," ",IF((P44-Q42+P54-Q54)&lt;0,0,P44-Q42+P54-Q54))</f>
        <v xml:space="preserve"> </v>
      </c>
      <c r="Q58" s="17"/>
    </row>
    <row r="59" spans="2:18" ht="14.4" thickBot="1">
      <c r="B59" s="8"/>
      <c r="C59" s="8"/>
      <c r="D59" s="8"/>
      <c r="E59" s="8"/>
      <c r="G59" s="41"/>
      <c r="H59" s="41"/>
      <c r="I59" s="43"/>
      <c r="J59" s="41"/>
      <c r="K59" s="41"/>
      <c r="L59" s="43"/>
      <c r="M59" s="41"/>
      <c r="N59" s="41"/>
      <c r="O59" s="43"/>
      <c r="P59" s="41"/>
      <c r="Q59" s="41"/>
    </row>
    <row r="60" spans="2:18" ht="9" customHeight="1" thickTop="1">
      <c r="B60" s="645"/>
      <c r="C60" s="645"/>
      <c r="D60" s="645"/>
      <c r="E60" s="645"/>
      <c r="F60" s="645"/>
      <c r="G60" s="646"/>
      <c r="H60" s="646"/>
      <c r="I60" s="437"/>
      <c r="J60" s="646"/>
      <c r="K60" s="646"/>
      <c r="L60" s="437"/>
      <c r="M60" s="646"/>
      <c r="N60" s="646"/>
      <c r="O60" s="437"/>
      <c r="P60" s="646"/>
      <c r="Q60" s="646"/>
    </row>
    <row r="61" spans="2:18" ht="20.100000000000001" customHeight="1">
      <c r="B61" s="2321" t="s">
        <v>236</v>
      </c>
      <c r="C61" s="2321"/>
      <c r="D61" s="2321"/>
      <c r="E61" s="2321"/>
      <c r="F61" s="643"/>
      <c r="G61" s="643"/>
      <c r="H61" s="644" t="str">
        <f>IF(b_1=" "," ",IF((H25-G27+H56-G58)&lt;=0,0,H25-G27+H56-G58))</f>
        <v xml:space="preserve"> </v>
      </c>
      <c r="I61" s="17"/>
      <c r="J61" s="17"/>
      <c r="K61" s="644" t="str">
        <f>IF(b_2=" "," ",IF((K25-J27+K56-J58)&lt;=0,0,K25-J27+K56-J58))</f>
        <v xml:space="preserve"> </v>
      </c>
      <c r="L61" s="17"/>
      <c r="M61" s="17"/>
      <c r="N61" s="644" t="str">
        <f>IF(b_3=" "," ",IF((N25-M27+N56-M58)&lt;=0,0,N25-M27+N56-M58))</f>
        <v xml:space="preserve"> </v>
      </c>
      <c r="O61" s="17"/>
      <c r="P61" s="17"/>
      <c r="Q61" s="644" t="str">
        <f>IF(b_4=" "," ",IF((Q25-P27+Q56-P58)&lt;=0,0,Q25-P27+Q56-P58))</f>
        <v xml:space="preserve"> </v>
      </c>
    </row>
    <row r="62" spans="2:18" ht="3" customHeight="1">
      <c r="B62" s="119"/>
      <c r="C62" s="119"/>
      <c r="D62" s="119"/>
      <c r="E62" s="119"/>
      <c r="F62" s="35"/>
      <c r="G62" s="43"/>
      <c r="H62" s="43"/>
      <c r="I62" s="43"/>
      <c r="J62" s="43"/>
      <c r="K62" s="43"/>
      <c r="L62" s="43"/>
      <c r="M62" s="43"/>
      <c r="N62" s="43"/>
      <c r="O62" s="43"/>
      <c r="P62" s="43"/>
      <c r="Q62" s="43"/>
    </row>
    <row r="63" spans="2:18" ht="20.100000000000001" customHeight="1">
      <c r="B63" s="2322" t="s">
        <v>237</v>
      </c>
      <c r="C63" s="2322"/>
      <c r="D63" s="2322"/>
      <c r="E63" s="2322"/>
      <c r="F63" s="49"/>
      <c r="G63" s="1865" t="str">
        <f>IF(b_1=" "," ",IF((H25-G27+H56-G58)&gt;=0,0,G27-H25+G58-H56))</f>
        <v xml:space="preserve"> </v>
      </c>
      <c r="H63" s="17"/>
      <c r="I63" s="43"/>
      <c r="J63" s="1865" t="str">
        <f>IF(b_2=" "," ",IF((K25-J27+K56-J58)&gt;=0,0,J27-K25+J58-K56))</f>
        <v xml:space="preserve"> </v>
      </c>
      <c r="K63" s="17"/>
      <c r="L63" s="43"/>
      <c r="M63" s="1865" t="str">
        <f>IF(b_3=" "," ",IF((N25-M27+N56-M58)&gt;=0,0,M27-N25+M58-N56))</f>
        <v xml:space="preserve"> </v>
      </c>
      <c r="N63" s="17"/>
      <c r="O63" s="43"/>
      <c r="P63" s="1865" t="str">
        <f>IF(b_4=" "," ",IF((Q25-P27+Q56-P58)&gt;=0,0,P27-Q25+P58-Q56))</f>
        <v xml:space="preserve"> </v>
      </c>
      <c r="Q63" s="17"/>
    </row>
    <row r="64" spans="2:18" ht="9" customHeight="1" thickBot="1">
      <c r="B64" s="647"/>
      <c r="C64" s="647"/>
      <c r="D64" s="647"/>
      <c r="E64" s="647"/>
      <c r="F64" s="647"/>
      <c r="G64" s="648"/>
      <c r="H64" s="648"/>
      <c r="J64" s="648"/>
      <c r="K64" s="648"/>
      <c r="M64" s="648"/>
      <c r="N64" s="648"/>
      <c r="P64" s="648"/>
      <c r="Q64" s="648"/>
    </row>
    <row r="65" spans="3:17" ht="14.4" thickTop="1"/>
    <row r="66" spans="3:17" s="159" customFormat="1" ht="13.5" customHeight="1">
      <c r="C66" s="157"/>
      <c r="D66" s="157"/>
      <c r="E66" s="57" t="s">
        <v>301</v>
      </c>
      <c r="F66" s="158"/>
      <c r="G66" s="59" t="str">
        <f>IF(b_1=" "," ",IF(vtr_1&gt;0," ",(G63/-1)-vtr_1))</f>
        <v xml:space="preserve"> </v>
      </c>
      <c r="H66" s="59" t="str">
        <f>IF(b_1=" "," ",IF(vtr_1&lt;0," ",H61-vtr_1))</f>
        <v xml:space="preserve"> </v>
      </c>
      <c r="I66" s="60"/>
      <c r="J66" s="59" t="str">
        <f>IF(b_2=" "," ",IF(vtr_2&gt;0," ",(J63/-1)-vtr_2))</f>
        <v xml:space="preserve"> </v>
      </c>
      <c r="K66" s="59" t="str">
        <f>IF(b_2=" "," ",IF(vtr_2&lt;0," ",K61-vtr_2))</f>
        <v xml:space="preserve"> </v>
      </c>
      <c r="L66" s="60"/>
      <c r="M66" s="59" t="str">
        <f>IF(b_3=" "," ",IF(vtr_3&gt;0," ",(M63/-1)-vtr_3))</f>
        <v xml:space="preserve"> </v>
      </c>
      <c r="N66" s="59" t="str">
        <f>IF(b_3=" "," ",IF(vtr_3&lt;0," ",N61-vtr_3))</f>
        <v xml:space="preserve"> </v>
      </c>
      <c r="O66" s="60"/>
      <c r="P66" s="59" t="str">
        <f>IF(b_4=" "," ",IF(vtr_4&gt;0," ",(P63/-1)-vtr_4))</f>
        <v xml:space="preserve"> </v>
      </c>
      <c r="Q66" s="59"/>
    </row>
    <row r="182" spans="7:7">
      <c r="G182" s="28"/>
    </row>
  </sheetData>
  <sheetProtection algorithmName="SHA-512" hashValue="TU+iA3PgMhYH7sOXjlz3yI2/pUBb/rW/qQWIMj3IoGSc7PmlO5hNCaedWuoIpKaUK/EZgCX8akU5uHAeLB0Erw==" saltValue="R41AqK98I8nj5vELWYbdNA==" spinCount="100000" sheet="1" objects="1" scenarios="1" formatCells="0" formatColumns="0" formatRows="0" insertColumns="0" insertRows="0" insertHyperlinks="0" deleteColumns="0" deleteRows="0" sort="0" autoFilter="0" pivotTables="0"/>
  <mergeCells count="21">
    <mergeCell ref="B56:E56"/>
    <mergeCell ref="B42:E42"/>
    <mergeCell ref="B61:E61"/>
    <mergeCell ref="B63:E63"/>
    <mergeCell ref="B16:E16"/>
    <mergeCell ref="B44:E44"/>
    <mergeCell ref="B58:E58"/>
    <mergeCell ref="B29:E29"/>
    <mergeCell ref="B34:E34"/>
    <mergeCell ref="B46:E46"/>
    <mergeCell ref="B54:E54"/>
    <mergeCell ref="B23:E23"/>
    <mergeCell ref="B2:E2"/>
    <mergeCell ref="F2:Q2"/>
    <mergeCell ref="B14:E14"/>
    <mergeCell ref="B6:E6"/>
    <mergeCell ref="G4:H4"/>
    <mergeCell ref="J4:K4"/>
    <mergeCell ref="M4:N4"/>
    <mergeCell ref="P4:Q4"/>
    <mergeCell ref="B4:D4"/>
  </mergeCells>
  <phoneticPr fontId="0" type="noConversion"/>
  <conditionalFormatting sqref="Q56 N56 K56 H56 G66:Q66 G47:Q53 H42 K42 N42 Q42 G30:Q33 G35:Q38 I54 L54 O54">
    <cfRule type="cellIs" dxfId="605" priority="2" stopIfTrue="1" operator="equal">
      <formula>0</formula>
    </cfRule>
  </conditionalFormatting>
  <conditionalFormatting sqref="M63 G58 J58 M58 P58 P63 G63 J63 G44 J44 M44 P44 G27 J27 M27 P27">
    <cfRule type="cellIs" dxfId="604" priority="4" stopIfTrue="1" operator="equal">
      <formula>0</formula>
    </cfRule>
  </conditionalFormatting>
  <conditionalFormatting sqref="H61 K61 N61 Q61 M68">
    <cfRule type="cellIs" dxfId="603" priority="5" stopIfTrue="1" operator="equal">
      <formula>0</formula>
    </cfRule>
  </conditionalFormatting>
  <conditionalFormatting sqref="H25 K25 N25 Q25">
    <cfRule type="cellIs" dxfId="602" priority="9" stopIfTrue="1" operator="equal">
      <formula>0</formula>
    </cfRule>
  </conditionalFormatting>
  <conditionalFormatting sqref="P54:Q54 M54:N54 J54:K54 G54:H54">
    <cfRule type="cellIs" dxfId="601" priority="1" operator="equal">
      <formula>0</formula>
    </cfRule>
  </conditionalFormatting>
  <printOptions horizontalCentered="1" verticalCentered="1"/>
  <pageMargins left="0" right="0" top="0" bottom="0" header="0" footer="0"/>
  <pageSetup paperSize="9" scale="6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50"/>
  <sheetViews>
    <sheetView showGridLines="0" showRowColHeaders="0" zoomScaleNormal="100" workbookViewId="0">
      <pane ySplit="4" topLeftCell="A5" activePane="bottomLeft" state="frozenSplit"/>
      <selection pane="bottomLeft" activeCell="B2" sqref="B2:D3"/>
    </sheetView>
  </sheetViews>
  <sheetFormatPr baseColWidth="10" defaultColWidth="12" defaultRowHeight="13.8"/>
  <cols>
    <col min="1" max="1" width="1.77734375" style="56" customWidth="1"/>
    <col min="2" max="2" width="38.77734375" style="56" customWidth="1"/>
    <col min="3" max="3" width="37.33203125" style="56" customWidth="1"/>
    <col min="4" max="4" width="3.6640625" style="73" bestFit="1" customWidth="1"/>
    <col min="5" max="5" width="1" style="63" customWidth="1"/>
    <col min="6" max="6" width="14.77734375" style="56" customWidth="1"/>
    <col min="7" max="7" width="1" style="63" customWidth="1"/>
    <col min="8" max="8" width="14.77734375" style="56" customWidth="1"/>
    <col min="9" max="9" width="1" style="63" customWidth="1"/>
    <col min="10" max="10" width="14.77734375" style="56" customWidth="1"/>
    <col min="11" max="11" width="1" style="62" customWidth="1"/>
    <col min="12" max="12" width="14.77734375" style="56" customWidth="1"/>
    <col min="13" max="13" width="1" style="62" customWidth="1"/>
    <col min="14" max="14" width="14.77734375" style="56" customWidth="1"/>
    <col min="15" max="15" width="39.77734375" style="56" bestFit="1" customWidth="1"/>
    <col min="16" max="16" width="13.109375" style="56" bestFit="1" customWidth="1"/>
    <col min="17" max="16384" width="12" style="56"/>
  </cols>
  <sheetData>
    <row r="1" spans="2:16" ht="6" customHeight="1"/>
    <row r="2" spans="2:16" ht="20.100000000000001" customHeight="1">
      <c r="B2" s="2336" t="str">
        <f>IF(ISBLANK(societe)," ",societe)</f>
        <v xml:space="preserve"> </v>
      </c>
      <c r="C2" s="2337"/>
      <c r="D2" s="2338"/>
      <c r="E2" s="180"/>
      <c r="F2" s="649" t="str">
        <f>IF(ISBLANK(d)," ",d+4)</f>
        <v xml:space="preserve"> </v>
      </c>
      <c r="G2" s="318"/>
      <c r="H2" s="649" t="str">
        <f>IF(ISBLANK(d)," ",d+3)</f>
        <v xml:space="preserve"> </v>
      </c>
      <c r="I2" s="319"/>
      <c r="J2" s="649" t="str">
        <f>IF(ISBLANK(d)," ",d+2)</f>
        <v xml:space="preserve"> </v>
      </c>
      <c r="K2" s="320"/>
      <c r="L2" s="649" t="str">
        <f>IF(ISBLANK(d)," ",d+1)</f>
        <v xml:space="preserve"> </v>
      </c>
      <c r="M2" s="321"/>
      <c r="N2" s="649" t="str">
        <f>IF(ISBLANK(d)," ",d)</f>
        <v xml:space="preserve"> </v>
      </c>
    </row>
    <row r="3" spans="2:16" ht="20.100000000000001" customHeight="1">
      <c r="B3" s="2339"/>
      <c r="C3" s="2340"/>
      <c r="D3" s="2341"/>
      <c r="E3" s="180"/>
      <c r="F3" s="650" t="str">
        <f>IF(ISBLANK(du_1)," ",du_1)</f>
        <v xml:space="preserve"> </v>
      </c>
      <c r="G3" s="322"/>
      <c r="H3" s="650" t="str">
        <f>IF(ISBLANK(du_2)," ",du_2)</f>
        <v xml:space="preserve"> </v>
      </c>
      <c r="I3" s="322"/>
      <c r="J3" s="650" t="str">
        <f>IF(ISBLANK(du_3)," ",du_3)</f>
        <v xml:space="preserve"> </v>
      </c>
      <c r="K3" s="323"/>
      <c r="L3" s="650" t="str">
        <f>IF(ISBLANK(du_4)," ",du_4)</f>
        <v xml:space="preserve"> </v>
      </c>
      <c r="M3" s="323"/>
      <c r="N3" s="650" t="str">
        <f>IF(ISBLANK(du_5)," ",du_5)</f>
        <v xml:space="preserve"> </v>
      </c>
    </row>
    <row r="4" spans="2:16" ht="21.75" customHeight="1">
      <c r="B4" s="251" t="s">
        <v>472</v>
      </c>
      <c r="C4" s="64"/>
      <c r="D4" s="220"/>
      <c r="F4" s="251" t="s">
        <v>410</v>
      </c>
      <c r="H4" s="65"/>
      <c r="J4" s="65"/>
      <c r="L4" s="65"/>
      <c r="N4" s="65"/>
    </row>
    <row r="5" spans="2:16" ht="21.9" customHeight="1">
      <c r="B5" s="1918" t="s">
        <v>705</v>
      </c>
      <c r="C5" s="2374" t="s">
        <v>477</v>
      </c>
      <c r="D5" s="2375"/>
      <c r="E5" s="66"/>
      <c r="G5" s="66"/>
      <c r="I5" s="66"/>
      <c r="K5" s="66"/>
      <c r="M5" s="66"/>
    </row>
    <row r="6" spans="2:16" ht="20.100000000000001" customHeight="1">
      <c r="B6" s="2362" t="s">
        <v>220</v>
      </c>
      <c r="C6" s="1891" t="s">
        <v>219</v>
      </c>
      <c r="D6" s="1893" t="str">
        <f>IF(ISBLANK(u)," ",u)</f>
        <v xml:space="preserve"> </v>
      </c>
      <c r="E6" s="163"/>
      <c r="F6" s="535" t="str">
        <f>IF(ca_1=0," ",ca_1)</f>
        <v xml:space="preserve"> </v>
      </c>
      <c r="G6" s="163"/>
      <c r="H6" s="535" t="str">
        <f>IF(ca_2=0," ",ca_2)</f>
        <v xml:space="preserve"> </v>
      </c>
      <c r="I6" s="163"/>
      <c r="J6" s="535" t="str">
        <f>IF(ca_3=0," ",ca_3)</f>
        <v xml:space="preserve"> </v>
      </c>
      <c r="K6" s="67"/>
      <c r="L6" s="535" t="str">
        <f>IF(ca_4=0," ",ca_4)</f>
        <v xml:space="preserve"> </v>
      </c>
      <c r="M6" s="67"/>
      <c r="N6" s="535" t="str">
        <f>IF(ca_5=0," ",ca_5)</f>
        <v xml:space="preserve"> </v>
      </c>
    </row>
    <row r="7" spans="2:16" ht="20.100000000000001" customHeight="1">
      <c r="B7" s="2363"/>
      <c r="C7" s="1899" t="s">
        <v>709</v>
      </c>
      <c r="D7" s="1900" t="s">
        <v>0</v>
      </c>
      <c r="E7" s="113"/>
      <c r="F7" s="1901" t="str">
        <f>IF(ISERROR(IF(ca_1=0," ",(ca_1/ca_2)-1))," ",IF(ca_1=0," ",(ca_1/ca_2)-1))</f>
        <v xml:space="preserve"> </v>
      </c>
      <c r="G7" s="113"/>
      <c r="H7" s="1901" t="str">
        <f>IF(ISERROR(IF(ca_2=0," ",(ca_2/ca_3)-1))," ",IF(ca_2=0," ",(ca_2/ca_3)-1))</f>
        <v xml:space="preserve"> </v>
      </c>
      <c r="I7" s="113"/>
      <c r="J7" s="1901" t="str">
        <f>IF(ISERROR(IF(ca_3=0," ",(ca_3/ca_4)-1))," ",IF(ca_3=0," ",(ca_3/ca_4)-1))</f>
        <v xml:space="preserve"> </v>
      </c>
      <c r="K7" s="150"/>
      <c r="L7" s="1901" t="str">
        <f>IF(ISERROR(IF(ca_4=0," ",(ca_4/ca_5)-1))," ",IF(ca_4=0," ",(ca_4/ca_5)-1))</f>
        <v xml:space="preserve"> </v>
      </c>
      <c r="M7" s="150"/>
      <c r="N7" s="1901" t="str">
        <f>IF(ISERROR(IF(ca_5=0," ",(ca_5/ca_6)-1))," ",IF(ca_5=0," ",(ca_5/ca_6)-1))</f>
        <v xml:space="preserve"> </v>
      </c>
    </row>
    <row r="8" spans="2:16" s="62" customFormat="1" ht="9" customHeight="1">
      <c r="B8" s="63"/>
      <c r="C8" s="63"/>
      <c r="D8" s="68"/>
      <c r="E8" s="70"/>
      <c r="F8" s="70"/>
      <c r="G8" s="70"/>
      <c r="H8" s="70"/>
      <c r="I8" s="70"/>
      <c r="J8" s="70"/>
      <c r="K8" s="71"/>
      <c r="L8" s="70"/>
      <c r="M8" s="71"/>
      <c r="N8" s="70"/>
      <c r="P8" s="56"/>
    </row>
    <row r="9" spans="2:16" s="62" customFormat="1" ht="20.100000000000001" customHeight="1">
      <c r="B9" s="63"/>
      <c r="C9" s="2417" t="s">
        <v>420</v>
      </c>
      <c r="D9" s="2418"/>
      <c r="E9" s="123"/>
      <c r="F9" s="1053" t="str">
        <f>IF(ISERROR(IF(ca_1=0," ",((ca_1*12/du_1)/(ca_2*12/du_2))-1))," ",IF(ca_1=0," ",((ca_1*12/du_1)/(ca_2*12/du_2))-1))</f>
        <v xml:space="preserve"> </v>
      </c>
      <c r="G9" s="123"/>
      <c r="H9" s="1021" t="str">
        <f>IF(ISERROR(IF(ca_2=0," ",((ca_2*12/du_2)/(ca_3*12/du_3))-1))," ",IF(ca_2=0," ",((ca_2*12/du_2)/(ca_3*12/du_3))-1))</f>
        <v xml:space="preserve"> </v>
      </c>
      <c r="I9" s="123"/>
      <c r="J9" s="1021" t="str">
        <f>IF(ISERROR(IF(ca_3=0," ",((ca_3*12/du_3)/(ca_4*12/du_4))-1))," ",IF(ca_3=0," ",((ca_3*12/du_3)/(ca_4*12/du_4))-1))</f>
        <v xml:space="preserve"> </v>
      </c>
      <c r="K9" s="124"/>
      <c r="L9" s="1021" t="str">
        <f>IF(ISERROR(IF(ca_4=0," ",((ca_4*12/du_4)/(ca_5*12/du_5))-1))," ",IF(ca_4=0," ",((ca_4*12/du_4)/(ca_5*12/du_5))-1))</f>
        <v xml:space="preserve"> </v>
      </c>
      <c r="M9" s="124"/>
      <c r="N9" s="1021" t="str">
        <f>IF(ISERROR(IF(OR(ca_5=0,ca_6=0)," ",((ca_5*12/du_5)/(ca_5*12/du_5))-1))," ",IF(OR(ca_5=0,ca_6=0)," ",((ca_5*12/du_5)/(ca_6*12/du_6))-1))</f>
        <v xml:space="preserve"> </v>
      </c>
      <c r="P9" s="56"/>
    </row>
    <row r="10" spans="2:16" s="62" customFormat="1" ht="3" customHeight="1">
      <c r="B10" s="63"/>
      <c r="C10" s="63"/>
      <c r="D10" s="68"/>
      <c r="E10" s="70"/>
      <c r="F10" s="70"/>
      <c r="G10" s="70"/>
      <c r="H10" s="70"/>
      <c r="I10" s="70"/>
      <c r="J10" s="70"/>
      <c r="K10" s="71"/>
      <c r="L10" s="70"/>
      <c r="M10" s="71"/>
      <c r="N10" s="70"/>
      <c r="P10" s="56"/>
    </row>
    <row r="11" spans="2:16" s="62" customFormat="1" ht="30" customHeight="1">
      <c r="B11" s="63"/>
      <c r="C11" s="63"/>
      <c r="D11" s="68"/>
      <c r="E11" s="70"/>
      <c r="F11" s="187" t="str">
        <f>IF(F9=" "," ",IF(F9&lt;-1%,"Baisse du chiffre d'affaires",IF(F9&lt;1%,"Stagnation du chiffre d'affaires","Chiffre d'affaires en progression")))</f>
        <v xml:space="preserve"> </v>
      </c>
      <c r="G11" s="173"/>
      <c r="H11" s="187" t="str">
        <f>IF(H9=" "," ",IF(H9&lt;-1%,"Baisse du chiffre d'affaires",IF(H9&lt;1%,"Stagnation du chiffre d'affaires","Chiffre d'affaires en progression")))</f>
        <v xml:space="preserve"> </v>
      </c>
      <c r="I11" s="70"/>
      <c r="J11" s="187" t="str">
        <f>IF(J9=" "," ",IF(J9&lt;-1%,"Baisse du chiffre d'affaires",IF(J9&lt;1%,"Stagnation du chiffre d'affaires","Chiffre d'affaires en progression")))</f>
        <v xml:space="preserve"> </v>
      </c>
      <c r="K11" s="71"/>
      <c r="L11" s="187" t="str">
        <f>IF(L9=" "," ",IF(L9&lt;-1%,"Baisse du chiffre d'affaires",IF(L9&lt;1%,"Stagnation du chiffre d'affaires","Chiffre d'affaires en progression")))</f>
        <v xml:space="preserve"> </v>
      </c>
      <c r="M11" s="71"/>
      <c r="N11" s="187" t="str">
        <f>IF(ca_6=0," ",IF(ISBLANK(N9)," ",IF(N9&lt;-1%,"Baisse du chiffre d'affaires",IF(N9&lt;1%,"Stagnation du chiffre d'affaires","Chiffre d'affaires en progression"))))</f>
        <v xml:space="preserve"> </v>
      </c>
      <c r="P11" s="173"/>
    </row>
    <row r="12" spans="2:16" s="62" customFormat="1" ht="9" customHeight="1">
      <c r="B12" s="63"/>
      <c r="C12" s="63"/>
      <c r="D12" s="68"/>
      <c r="E12" s="70"/>
      <c r="F12" s="70"/>
      <c r="G12" s="70"/>
      <c r="H12" s="70"/>
      <c r="I12" s="70"/>
      <c r="J12" s="70"/>
      <c r="K12" s="71"/>
      <c r="L12" s="70"/>
      <c r="M12" s="71"/>
      <c r="N12" s="70"/>
      <c r="P12" s="56"/>
    </row>
    <row r="13" spans="2:16" s="62" customFormat="1" ht="20.100000000000001" customHeight="1">
      <c r="B13" s="63"/>
      <c r="C13" s="2419" t="s">
        <v>444</v>
      </c>
      <c r="D13" s="2353"/>
      <c r="E13" s="70"/>
      <c r="F13" s="1021" t="str">
        <f>IF(ISERROR(IF(ca_1=0," ",resultat!E39))," ",IF(ca_1=0," ",resultat!E39))</f>
        <v xml:space="preserve"> </v>
      </c>
      <c r="G13" s="123"/>
      <c r="H13" s="1021" t="str">
        <f>IF(ISERROR(IF(ca_2=0," ",resultat!F39))," ",IF(ca_2=0," ",resultat!F39))</f>
        <v xml:space="preserve"> </v>
      </c>
      <c r="I13" s="123"/>
      <c r="J13" s="1021" t="str">
        <f>IF(ISERROR(IF(ca_3=0," ",resultat!G39))," ",IF(ca_3=0," ",resultat!G39))</f>
        <v xml:space="preserve"> </v>
      </c>
      <c r="K13" s="124"/>
      <c r="L13" s="1021" t="str">
        <f>IF(ISERROR(IF(ca_4=0," ",resultat!H39))," ",IF(ca_4=0," ",resultat!H39))</f>
        <v xml:space="preserve"> </v>
      </c>
      <c r="M13" s="124"/>
      <c r="N13" s="1021" t="str">
        <f>IF(ISERROR(IF(ca_5=0," ",resultat!I39))," ",IF(ca_5=0," ",resultat!I39))</f>
        <v xml:space="preserve"> </v>
      </c>
      <c r="P13" s="56"/>
    </row>
    <row r="14" spans="2:16" s="62" customFormat="1" ht="9" customHeight="1">
      <c r="B14" s="217"/>
      <c r="C14" s="217"/>
      <c r="D14" s="217"/>
      <c r="E14" s="70"/>
      <c r="F14" s="70"/>
      <c r="G14" s="70"/>
      <c r="H14" s="70"/>
      <c r="I14" s="70"/>
      <c r="J14" s="70"/>
      <c r="K14" s="71"/>
      <c r="L14" s="70"/>
      <c r="M14" s="71"/>
      <c r="N14" s="70"/>
    </row>
    <row r="15" spans="2:16" s="62" customFormat="1" ht="20.100000000000001" customHeight="1">
      <c r="B15" s="63"/>
      <c r="C15" s="2419" t="str">
        <f>IF(resultat!H4="PB","Part du chiffre d'affaires produit"," ")</f>
        <v xml:space="preserve"> </v>
      </c>
      <c r="D15" s="2353"/>
      <c r="E15" s="70"/>
      <c r="F15" s="1021" t="str">
        <f>IF(ISERROR(IF(ca_1=0," ",IF(activité="PB",resultat!E20," ")))," ",IF(ca_1=0," ",IF(activité="PB",resultat!E20," ")))</f>
        <v xml:space="preserve"> </v>
      </c>
      <c r="G15" s="123"/>
      <c r="H15" s="1021" t="str">
        <f>IF(ISERROR(IF(ca_2=0," ",IF(activité="PB",resultat!F20," ")))," ",IF(ca_2=0," ",IF(activité="PB",resultat!F20," ")))</f>
        <v xml:space="preserve"> </v>
      </c>
      <c r="I15" s="123"/>
      <c r="J15" s="1021" t="str">
        <f>IF(ISERROR(IF(ca_3=0," ",IF(activité="PB",resultat!G20," ")))," ",IF(ca_3=0," ",IF(activité="PB",resultat!G20," ")))</f>
        <v xml:space="preserve"> </v>
      </c>
      <c r="K15" s="124"/>
      <c r="L15" s="1021" t="str">
        <f>IF(ISERROR(IF(ca_4=0," ",IF(activité="PB",resultat!H20," ")))," ",IF(ca_4=0," ",IF(activité="PB",resultat!H20," ")))</f>
        <v xml:space="preserve"> </v>
      </c>
      <c r="M15" s="124"/>
      <c r="N15" s="1021" t="str">
        <f>IF(ISERROR(IF(ca_5=0," ",IF(activité="PB",resultat!I20," ")))," ",IF(ca_5=0," ",IF(activité="PB",resultat!I20," ")))</f>
        <v xml:space="preserve"> </v>
      </c>
    </row>
    <row r="16" spans="2:16" s="62" customFormat="1" ht="9" customHeight="1">
      <c r="B16" s="63"/>
      <c r="C16" s="217"/>
      <c r="D16" s="217"/>
      <c r="E16" s="70"/>
      <c r="F16" s="70"/>
      <c r="G16" s="70"/>
      <c r="H16" s="70"/>
      <c r="I16" s="70"/>
      <c r="J16" s="70"/>
      <c r="K16" s="71"/>
      <c r="L16" s="70"/>
      <c r="M16" s="71"/>
      <c r="N16" s="70"/>
    </row>
    <row r="17" spans="1:17" s="62" customFormat="1" ht="20.100000000000001" customHeight="1">
      <c r="B17" s="63"/>
      <c r="C17" s="2352" t="s">
        <v>106</v>
      </c>
      <c r="D17" s="2353"/>
      <c r="E17" s="70"/>
      <c r="F17" s="539" t="str">
        <f>IF(ca_1=0," ",IF(yp_1=0," ",yp_1))</f>
        <v xml:space="preserve"> </v>
      </c>
      <c r="G17" s="439"/>
      <c r="H17" s="539" t="str">
        <f>IF(ca_2=0," ",IF(yp_2=0," ",yp_2))</f>
        <v xml:space="preserve"> </v>
      </c>
      <c r="I17" s="439"/>
      <c r="J17" s="539" t="str">
        <f>IF(ca_3=0," ",IF(yp_3=0," ",yp_3))</f>
        <v xml:space="preserve"> </v>
      </c>
      <c r="K17" s="440"/>
      <c r="L17" s="539" t="str">
        <f>IF(ca_4=0," ",IF(yp_4=0," ",yp_4))</f>
        <v xml:space="preserve"> </v>
      </c>
      <c r="M17" s="440"/>
      <c r="N17" s="539" t="str">
        <f>IF(ca_5=0," ",IF(yp_5=0," ",yp_5))</f>
        <v xml:space="preserve"> </v>
      </c>
      <c r="P17" s="56"/>
    </row>
    <row r="18" spans="1:17" s="62" customFormat="1" ht="20.100000000000001" customHeight="1">
      <c r="B18" s="63"/>
      <c r="C18" s="2352" t="s">
        <v>107</v>
      </c>
      <c r="D18" s="2352"/>
      <c r="E18" s="70"/>
      <c r="F18" s="541" t="str">
        <f>IF(ca_1=0," ",IF(interim_1=0," ",interim_1))</f>
        <v xml:space="preserve"> </v>
      </c>
      <c r="G18" s="439"/>
      <c r="H18" s="541" t="str">
        <f>IF(ca_2=0," ",IF(interim_2=0," ",interim_2))</f>
        <v xml:space="preserve"> </v>
      </c>
      <c r="I18" s="439"/>
      <c r="J18" s="541" t="str">
        <f>IF(ca_3=0," ",IF(interim_3=0," ",interim_3))</f>
        <v xml:space="preserve"> </v>
      </c>
      <c r="K18" s="440"/>
      <c r="L18" s="541" t="str">
        <f>IF(ca_4=0," ",IF(interim_4=0," ",interim_4))</f>
        <v xml:space="preserve"> </v>
      </c>
      <c r="M18" s="440"/>
      <c r="N18" s="541" t="str">
        <f>IF(ca_5=0," ",IF(interim_5=0," ",interim_5))</f>
        <v xml:space="preserve"> </v>
      </c>
      <c r="P18" s="56"/>
    </row>
    <row r="19" spans="1:17" s="62" customFormat="1" ht="20.100000000000001" customHeight="1">
      <c r="B19" s="63"/>
      <c r="C19" s="2370" t="s">
        <v>343</v>
      </c>
      <c r="D19" s="2370"/>
      <c r="E19" s="70"/>
      <c r="F19" s="540" t="str">
        <f>IF(ca_1=0," ",IF(e_1=0," ",e_1))</f>
        <v xml:space="preserve"> </v>
      </c>
      <c r="G19" s="168"/>
      <c r="H19" s="540" t="str">
        <f>IF(ca_2=0," ",IF(e_2=0," ",e_2))</f>
        <v xml:space="preserve"> </v>
      </c>
      <c r="I19" s="168"/>
      <c r="J19" s="540" t="str">
        <f>IF(ca_3=0," ",IF(e_3=0," ",e_3))</f>
        <v xml:space="preserve"> </v>
      </c>
      <c r="K19" s="169"/>
      <c r="L19" s="540" t="str">
        <f>IF(ca_4=0," ",IF(e_4=0," ",e_4))</f>
        <v xml:space="preserve"> </v>
      </c>
      <c r="M19" s="169"/>
      <c r="N19" s="540" t="str">
        <f>IF(ca_5=0," ",IF(e_5=0," ",e_5))</f>
        <v xml:space="preserve"> </v>
      </c>
      <c r="P19" s="542"/>
    </row>
    <row r="20" spans="1:17" s="82" customFormat="1" ht="6" customHeight="1">
      <c r="B20" s="83"/>
      <c r="C20" s="83"/>
      <c r="D20" s="170"/>
      <c r="E20" s="70"/>
      <c r="F20" s="171" t="str">
        <f>IF(ca_1=0," ",IF(e_1=0," ",(ca_1*12/du_1)/e_1))</f>
        <v xml:space="preserve"> </v>
      </c>
      <c r="G20" s="171"/>
      <c r="H20" s="171" t="str">
        <f>IF(ca_2=0," ",IF(e_2=0," ",(ca_2*12/du_2)/e_2))</f>
        <v xml:space="preserve"> </v>
      </c>
      <c r="I20" s="171"/>
      <c r="J20" s="171" t="str">
        <f>IF(ca_3=0," ",IF(e_3=0," ",(ca_3*12/du_3)/e_3))</f>
        <v xml:space="preserve"> </v>
      </c>
      <c r="K20" s="172"/>
      <c r="L20" s="171" t="str">
        <f>IF(ca_4=0," ",IF(e_4=0," ",(ca_4*12/du_4)/e_4))</f>
        <v xml:space="preserve"> </v>
      </c>
      <c r="M20" s="172"/>
      <c r="N20" s="171" t="str">
        <f>IF(ca_5=0," ",IF(e_5=0," ",(ca_5*12/du_5)/e_5))</f>
        <v xml:space="preserve"> </v>
      </c>
      <c r="P20" s="86"/>
    </row>
    <row r="21" spans="1:17" s="62" customFormat="1" ht="20.100000000000001" customHeight="1">
      <c r="B21" s="63"/>
      <c r="C21" s="2419" t="s">
        <v>443</v>
      </c>
      <c r="D21" s="2419"/>
      <c r="E21" s="123"/>
      <c r="F21" s="1021" t="str">
        <f>IF(ISERROR(IF(ca_1=0," ",F18/F17))," ",IF(ca_1=0," ",F18/F17))</f>
        <v xml:space="preserve"> </v>
      </c>
      <c r="G21" s="123"/>
      <c r="H21" s="1021" t="str">
        <f>IF(ISERROR(IF(ca_2=0," ",H18/H17))," ",IF(ca_2=0," ",H18/H17))</f>
        <v xml:space="preserve"> </v>
      </c>
      <c r="I21" s="123"/>
      <c r="J21" s="1021" t="str">
        <f>IF(ISERROR(IF(ca_3=0," ",J18/J17))," ",IF(ca_3=0," ",J18/J17))</f>
        <v xml:space="preserve"> </v>
      </c>
      <c r="K21" s="124"/>
      <c r="L21" s="1021" t="str">
        <f>IF(ISERROR(IF(ca_4=0," ",L18/L17))," ",IF(ca_4=0," ",L18/L17))</f>
        <v xml:space="preserve"> </v>
      </c>
      <c r="M21" s="124"/>
      <c r="N21" s="1021" t="str">
        <f>IF(ISERROR(IF(ca_5=0," ",N18/N17))," ",IF(ca_5=0," ",N18/N17))</f>
        <v xml:space="preserve"> </v>
      </c>
      <c r="P21" s="56"/>
    </row>
    <row r="22" spans="1:17" s="82" customFormat="1" ht="9" customHeight="1">
      <c r="B22" s="83"/>
      <c r="C22" s="83"/>
      <c r="D22" s="170"/>
      <c r="E22" s="70"/>
      <c r="F22" s="171"/>
      <c r="G22" s="171"/>
      <c r="H22" s="171"/>
      <c r="I22" s="171"/>
      <c r="J22" s="171"/>
      <c r="K22" s="172"/>
      <c r="L22" s="171"/>
      <c r="M22" s="172"/>
      <c r="N22" s="171"/>
      <c r="P22" s="86"/>
    </row>
    <row r="23" spans="1:17" ht="21.9" customHeight="1">
      <c r="A23" s="62"/>
      <c r="C23" s="2371" t="s">
        <v>430</v>
      </c>
      <c r="D23" s="2372"/>
      <c r="F23" s="543" t="str">
        <f>IF(F20=" "," ",IF(u="K€",F20,IF(u="€",F20/1000)))</f>
        <v xml:space="preserve"> </v>
      </c>
      <c r="H23" s="543" t="str">
        <f>IF(H20=" "," ",IF(u="K€",H20,IF(u="€",H20/1000)))</f>
        <v xml:space="preserve"> </v>
      </c>
      <c r="J23" s="543" t="str">
        <f>IF(J20=" "," ",IF(u="K€",J20,IF(u="€",J20/1000)))</f>
        <v xml:space="preserve"> </v>
      </c>
      <c r="L23" s="543" t="str">
        <f>IF(L20=" "," ",IF(u="K€",L20,IF(u="€",L20/1000)))</f>
        <v xml:space="preserve"> </v>
      </c>
      <c r="N23" s="543" t="str">
        <f>IF(N20=" "," ",IF(u="K€",N20,IF(u="€",N20/1000)))</f>
        <v xml:space="preserve"> </v>
      </c>
    </row>
    <row r="24" spans="1:17" ht="3" customHeight="1">
      <c r="A24" s="62"/>
      <c r="B24" s="63"/>
      <c r="C24" s="63"/>
      <c r="D24" s="68"/>
      <c r="F24" s="63"/>
      <c r="H24" s="63"/>
      <c r="J24" s="63"/>
      <c r="L24" s="63"/>
      <c r="N24" s="63"/>
    </row>
    <row r="25" spans="1:17" ht="30" customHeight="1">
      <c r="A25" s="62"/>
      <c r="D25" s="221"/>
      <c r="F25" s="239" t="str">
        <f>IF(F23=" "," ",IF(F23&gt;(H23*1.01),"Gain de productivité",IF(F23&lt;(H23/1.01),"Perte de productivité"," ")))</f>
        <v xml:space="preserve"> </v>
      </c>
      <c r="G25" s="241"/>
      <c r="H25" s="239" t="str">
        <f>IF(H23=" "," ",IF(H23&gt;(J23*1.01),"Gain de productivité",IF(H23&lt;(J23/1.01),"Perte de productivité"," ")))</f>
        <v xml:space="preserve"> </v>
      </c>
      <c r="I25" s="241"/>
      <c r="J25" s="239" t="str">
        <f>IF(J23=" "," ",IF(J23&gt;(L23*1.01),"Gain de productivité",IF(J23&lt;(L23/1.01),"Perte de productivité"," ")))</f>
        <v xml:space="preserve"> </v>
      </c>
      <c r="K25" s="242"/>
      <c r="L25" s="239" t="str">
        <f>IF(L23=" "," ",IF(L23&gt;(N23*1.01),"Gain de productivité",IF(L23&lt;(N23/1.01),"Perte de productivité"," ")))</f>
        <v xml:space="preserve"> </v>
      </c>
      <c r="M25" s="242"/>
      <c r="N25" s="243"/>
    </row>
    <row r="26" spans="1:17" ht="20.100000000000001" customHeight="1">
      <c r="A26" s="62"/>
      <c r="B26" s="63"/>
      <c r="C26" s="2374" t="s">
        <v>477</v>
      </c>
      <c r="D26" s="2375"/>
      <c r="F26" s="63"/>
      <c r="H26" s="63"/>
      <c r="J26" s="63"/>
      <c r="L26" s="63"/>
      <c r="N26" s="63"/>
      <c r="Q26" s="374"/>
    </row>
    <row r="27" spans="1:17" ht="20.100000000000001" customHeight="1">
      <c r="B27" s="2362" t="s">
        <v>202</v>
      </c>
      <c r="C27" s="1891" t="s">
        <v>219</v>
      </c>
      <c r="D27" s="1893" t="str">
        <f>IF(ISBLANK(u)," ",u)</f>
        <v xml:space="preserve"> </v>
      </c>
      <c r="E27" s="163"/>
      <c r="F27" s="535" t="str">
        <f>IF(pr_1=0," ",pr_1)</f>
        <v xml:space="preserve"> </v>
      </c>
      <c r="G27" s="163"/>
      <c r="H27" s="535" t="str">
        <f>IF(pr_2=0," ",pr_2)</f>
        <v xml:space="preserve"> </v>
      </c>
      <c r="I27" s="163"/>
      <c r="J27" s="535" t="str">
        <f>IF(pr_3=0," ",pr_3)</f>
        <v xml:space="preserve"> </v>
      </c>
      <c r="K27" s="67"/>
      <c r="L27" s="535" t="str">
        <f>IF(pr_4=0," ",pr_4)</f>
        <v xml:space="preserve"> </v>
      </c>
      <c r="M27" s="67"/>
      <c r="N27" s="535" t="str">
        <f>IF(pr_5=0," ",pr_5)</f>
        <v xml:space="preserve"> </v>
      </c>
    </row>
    <row r="28" spans="1:17" ht="20.100000000000001" customHeight="1">
      <c r="B28" s="2363"/>
      <c r="C28" s="1892" t="s">
        <v>110</v>
      </c>
      <c r="D28" s="1894" t="s">
        <v>0</v>
      </c>
      <c r="E28" s="164"/>
      <c r="F28" s="538" t="str">
        <f>IF(ISERROR(IF(ca_1=0," ",(pr_1/pr_2)-1))," ",IF(ca_1=0," ",(pr_1/pr_2)-1))</f>
        <v xml:space="preserve"> </v>
      </c>
      <c r="G28" s="164"/>
      <c r="H28" s="538" t="str">
        <f>IF(ISERROR(IF(ca_2=0," ",(pr_2/pr_3)-1))," ",IF(ca_2=0," ",(pr_2/pr_3)-1))</f>
        <v xml:space="preserve"> </v>
      </c>
      <c r="I28" s="164"/>
      <c r="J28" s="538" t="str">
        <f>IF(ISERROR(IF(ca_3=0," ",(pr_3/pr_4)-1))," ",IF(ca_3=0," ",(pr_3/pr_4)-1))</f>
        <v xml:space="preserve"> </v>
      </c>
      <c r="K28" s="69"/>
      <c r="L28" s="538" t="str">
        <f>IF(ISERROR(IF(ca_4=0," ",(pr_4/pr_5)-1))," ",IF(ca_4=0," ",(pr_4/pr_5)-1))</f>
        <v xml:space="preserve"> </v>
      </c>
      <c r="M28" s="69"/>
      <c r="N28" s="538" t="str">
        <f>IF(ISERROR(IF(ca_5=0," ",(pr_5/pr_6)-1))," ",IF(ca_5=0," ",(pr_5/pr_6)-1))</f>
        <v xml:space="preserve"> </v>
      </c>
    </row>
    <row r="29" spans="1:17" ht="20.100000000000001" customHeight="1">
      <c r="C29" s="2374" t="s">
        <v>477</v>
      </c>
      <c r="D29" s="2375"/>
    </row>
    <row r="30" spans="1:17" ht="18" customHeight="1">
      <c r="B30" s="2362" t="s">
        <v>203</v>
      </c>
      <c r="C30" s="1895" t="s">
        <v>219</v>
      </c>
      <c r="D30" s="1896" t="str">
        <f>IF(ISBLANK(u)," ",u)</f>
        <v xml:space="preserve"> </v>
      </c>
      <c r="E30" s="163"/>
      <c r="F30" s="1159" t="str">
        <f>IF(mc_1=0," ",mc_1)</f>
        <v xml:space="preserve"> </v>
      </c>
      <c r="G30" s="163"/>
      <c r="H30" s="1159" t="str">
        <f>IF(mc_2=0," ",mc_2)</f>
        <v xml:space="preserve"> </v>
      </c>
      <c r="I30" s="163"/>
      <c r="J30" s="1159" t="str">
        <f>IF(mc_3=0," ",mc_3)</f>
        <v xml:space="preserve"> </v>
      </c>
      <c r="K30" s="67"/>
      <c r="L30" s="1159" t="str">
        <f>IF(mc_4=0," ",mc_4)</f>
        <v xml:space="preserve"> </v>
      </c>
      <c r="M30" s="67"/>
      <c r="N30" s="1159" t="str">
        <f>IF(mc_5=0," ",mc_5)</f>
        <v xml:space="preserve"> </v>
      </c>
    </row>
    <row r="31" spans="1:17" ht="18" customHeight="1">
      <c r="B31" s="2363"/>
      <c r="C31" s="2366" t="s">
        <v>225</v>
      </c>
      <c r="D31" s="2367"/>
      <c r="E31" s="151"/>
      <c r="F31" s="537" t="str">
        <f>IF(ca_1=0," ",IF(mc_1=" "," ",mc_1/fc_1))</f>
        <v xml:space="preserve"> </v>
      </c>
      <c r="G31" s="151"/>
      <c r="H31" s="537" t="str">
        <f>IF(ca_2=0," ",IF(mc_2=" "," ",mc_2/fc_2))</f>
        <v xml:space="preserve"> </v>
      </c>
      <c r="I31" s="151"/>
      <c r="J31" s="537" t="str">
        <f>IF(ca_3=0," ",IF(mc_3=" "," ",mc_3/fc_3))</f>
        <v xml:space="preserve"> </v>
      </c>
      <c r="K31" s="150"/>
      <c r="L31" s="537" t="str">
        <f>IF(ca_4=0," ",IF(mc_4=" "," ",mc_4/fc_4))</f>
        <v xml:space="preserve"> </v>
      </c>
      <c r="M31" s="150"/>
      <c r="N31" s="537" t="str">
        <f>IF(ca_5=0," ",IF(mc_5=" "," ",mc_5/fc_5))</f>
        <v xml:space="preserve"> </v>
      </c>
    </row>
    <row r="32" spans="1:17" s="62" customFormat="1" ht="3" customHeight="1">
      <c r="B32" s="63"/>
      <c r="C32" s="63"/>
      <c r="D32" s="68"/>
      <c r="E32" s="63"/>
      <c r="F32" s="63"/>
      <c r="G32" s="63"/>
      <c r="H32" s="63"/>
      <c r="I32" s="63"/>
      <c r="J32" s="63"/>
      <c r="L32" s="63"/>
      <c r="N32" s="63"/>
    </row>
    <row r="33" spans="2:15" s="62" customFormat="1" ht="15" customHeight="1">
      <c r="B33" s="63"/>
      <c r="C33" s="63"/>
      <c r="D33" s="68"/>
      <c r="E33" s="63"/>
      <c r="F33" s="239" t="str">
        <f>IF(F31=" "," ",IF((F31-H31)&gt;0.1%,"Gain de marge",IF((F31-H31)&lt;-0.1%,"Perte de marge"," ")))</f>
        <v xml:space="preserve"> </v>
      </c>
      <c r="G33" s="63"/>
      <c r="H33" s="239" t="str">
        <f>IF(H31=" "," ",IF((H31-J31)&gt;0.1%,"Gain de marge",IF((H31-J31)&lt;-0.1%,"Perte de marge"," ")))</f>
        <v xml:space="preserve"> </v>
      </c>
      <c r="I33" s="63"/>
      <c r="J33" s="239" t="str">
        <f>IF(J31=" "," ",IF((J31-L31)&gt;0.1%,"Gain de marge",IF((J31-L31)&lt;-0.1%,"Perte de marge"," ")))</f>
        <v xml:space="preserve"> </v>
      </c>
      <c r="L33" s="239" t="str">
        <f>IF(L31=" "," ",IF((L31-N31)&gt;0.1%,"Gain de marge",IF((L31-N31)&lt;-0.1%,"Perte de marge"," ")))</f>
        <v xml:space="preserve"> </v>
      </c>
      <c r="N33" s="190"/>
    </row>
    <row r="34" spans="2:15" s="62" customFormat="1" ht="6" customHeight="1">
      <c r="B34" s="63"/>
      <c r="C34" s="63"/>
      <c r="D34" s="68"/>
      <c r="E34" s="63"/>
      <c r="F34" s="63"/>
      <c r="G34" s="63"/>
      <c r="H34" s="63"/>
      <c r="I34" s="63"/>
      <c r="J34" s="63"/>
      <c r="L34" s="63"/>
      <c r="N34" s="63"/>
    </row>
    <row r="35" spans="2:15" s="62" customFormat="1" ht="20.100000000000001" customHeight="1">
      <c r="B35" s="63"/>
      <c r="C35" s="74"/>
      <c r="D35" s="1022" t="s">
        <v>175</v>
      </c>
      <c r="E35" s="63"/>
      <c r="F35" s="1023"/>
      <c r="G35" s="63"/>
      <c r="H35" s="1023"/>
      <c r="I35" s="63"/>
      <c r="J35" s="1023"/>
      <c r="L35" s="1023"/>
      <c r="N35" s="1023"/>
    </row>
    <row r="36" spans="2:15" ht="3" customHeight="1">
      <c r="D36" s="222"/>
      <c r="F36" s="75"/>
      <c r="H36" s="75"/>
      <c r="J36" s="75"/>
      <c r="L36" s="75"/>
      <c r="N36" s="75"/>
    </row>
    <row r="37" spans="2:15" ht="15" customHeight="1">
      <c r="D37" s="223" t="s">
        <v>287</v>
      </c>
      <c r="F37" s="76" t="str">
        <f>IF(ISBLANK(F35)," ",IF(F31&lt;(0.99*F35),"Défavorable",IF(F31&gt;(F35*1.01),"Favorable","Correct ")))</f>
        <v xml:space="preserve"> </v>
      </c>
      <c r="H37" s="76" t="str">
        <f>IF(ISBLANK(H35)," ",IF(H31&lt;(0.99*H35),"Défavorable",IF(H31&gt;(H35*1.01),"Favorable","Correct ")))</f>
        <v xml:space="preserve"> </v>
      </c>
      <c r="J37" s="76" t="str">
        <f>IF(ISBLANK(J35)," ",IF(J31&lt;(0.99*J35),"Défavorable",IF(J31&gt;(J35*1.01),"Favorable","Correct ")))</f>
        <v xml:space="preserve"> </v>
      </c>
      <c r="L37" s="76" t="str">
        <f>IF(ISBLANK(L35)," ",IF(L31&lt;(0.99*L35),"Défavorable",IF(L31&gt;(L35*1.01),"Favorable","Correct ")))</f>
        <v xml:space="preserve"> </v>
      </c>
      <c r="N37" s="76" t="str">
        <f>IF(ISBLANK(N35)," ",IF(N31&lt;(0.99*N35),"Défavorable",IF(N31&gt;(N35*1.01),"Favorable","Correct ")))</f>
        <v xml:space="preserve"> </v>
      </c>
    </row>
    <row r="38" spans="2:15" s="62" customFormat="1" ht="9" customHeight="1">
      <c r="B38" s="63"/>
      <c r="C38" s="77"/>
      <c r="D38" s="224"/>
      <c r="E38" s="63"/>
      <c r="F38" s="78"/>
      <c r="G38" s="63"/>
      <c r="H38" s="78"/>
      <c r="I38" s="63"/>
      <c r="J38" s="78"/>
      <c r="L38" s="78"/>
      <c r="N38" s="78"/>
    </row>
    <row r="39" spans="2:15" ht="18" customHeight="1">
      <c r="B39" s="2364" t="s">
        <v>475</v>
      </c>
      <c r="C39" s="1895" t="s">
        <v>219</v>
      </c>
      <c r="D39" s="1896" t="str">
        <f>IF(ISBLANK(u)," ",u)</f>
        <v xml:space="preserve"> </v>
      </c>
      <c r="E39" s="163"/>
      <c r="F39" s="1159" t="str">
        <f>IF(mb_1=0," ",mb_1)</f>
        <v xml:space="preserve"> </v>
      </c>
      <c r="G39" s="163"/>
      <c r="H39" s="1159" t="str">
        <f>IF(mb_2=0," ",mb_2)</f>
        <v xml:space="preserve"> </v>
      </c>
      <c r="I39" s="163"/>
      <c r="J39" s="1159" t="str">
        <f>IF(mb_3=0," ",mb_3)</f>
        <v xml:space="preserve"> </v>
      </c>
      <c r="K39" s="67"/>
      <c r="L39" s="1159" t="str">
        <f>IF(mb_4=0," ",mb_4)</f>
        <v xml:space="preserve"> </v>
      </c>
      <c r="M39" s="67"/>
      <c r="N39" s="1159" t="str">
        <f>IF(mb_5=0," ",mb_5)</f>
        <v xml:space="preserve"> </v>
      </c>
    </row>
    <row r="40" spans="2:15" ht="18" customHeight="1">
      <c r="B40" s="2365"/>
      <c r="C40" s="2432" t="s">
        <v>316</v>
      </c>
      <c r="D40" s="2433"/>
      <c r="E40" s="113"/>
      <c r="F40" s="536" t="str">
        <f>IF(ca_1=0," ",IF(mb_1=0," ",IF(mb_1=" "," ",IF(resultat!$H$4="PB",mb_1/ff_1,IF(resultat!$H$4="PS",mb_1/fi_1," ")))))</f>
        <v xml:space="preserve"> </v>
      </c>
      <c r="G40" s="113"/>
      <c r="H40" s="536" t="str">
        <f>IF(ca_2=0," ",IF(mb_2=0," ",IF(mb_2=" "," ",IF(resultat!$H$4="PB",mb_2/ff_2,IF(resultat!$H$4="PS",mb_2/fi_2," ")))))</f>
        <v xml:space="preserve"> </v>
      </c>
      <c r="I40" s="113"/>
      <c r="J40" s="536" t="str">
        <f>IF(ca_3=0," ",IF(mb_3=0," ",IF(mb_3=" "," ",IF(resultat!$H$4="PB",mb_3/ff_3,IF(resultat!$H$4="PS",mb_3/fi_3," ")))))</f>
        <v xml:space="preserve"> </v>
      </c>
      <c r="K40" s="150"/>
      <c r="L40" s="536" t="str">
        <f>IF(ca_4=0," ",IF(mb_4=0," ",IF(mb_4=" "," ",IF(resultat!$H$4="PB",mb_4/ff_4,IF(resultat!$H$4="PS",mb_4/fi_4," ")))))</f>
        <v xml:space="preserve"> </v>
      </c>
      <c r="M40" s="150"/>
      <c r="N40" s="536" t="str">
        <f>IF(ca_5=0," ",IF(mb_5=0," ",IF(mb_5=" "," ",IF(resultat!$H$4="PB",mb_5/ff_5,IF(resultat!$H$4="PS",mb_5/fi_5," ")))))</f>
        <v xml:space="preserve"> </v>
      </c>
      <c r="O40" s="79"/>
    </row>
    <row r="41" spans="2:15" ht="3" customHeight="1"/>
    <row r="42" spans="2:15" s="62" customFormat="1" ht="15" customHeight="1">
      <c r="B42" s="63"/>
      <c r="C42" s="63"/>
      <c r="D42" s="68"/>
      <c r="E42" s="63"/>
      <c r="F42" s="1160" t="str">
        <f>IF(F40=" "," ",IF((F40-H40)&gt;0.1%,"Gain de marge",IF((F40-H40)&lt;-0.1%,"Perte de marge"," ")))</f>
        <v xml:space="preserve"> </v>
      </c>
      <c r="G42" s="1161"/>
      <c r="H42" s="1160" t="str">
        <f>IF(H40=" "," ",IF((H40-J40)&gt;0.1%,"Gain de marge",IF((H40-J40)&lt;-0.1%,"Perte de marge"," ")))</f>
        <v xml:space="preserve"> </v>
      </c>
      <c r="I42" s="1161"/>
      <c r="J42" s="1160" t="str">
        <f>IF(J40=" "," ",IF((J40-L40)&gt;0.1%,"Gain de marge",IF((J40-L40)&lt;-0.1%,"Perte de marge"," ")))</f>
        <v xml:space="preserve"> </v>
      </c>
      <c r="K42" s="1162"/>
      <c r="L42" s="1160" t="str">
        <f>IF(L40=" "," ",IF((L40-N40)&gt;0.1%,"Gain de marge",IF((L40-N40)&lt;-0.1%,"Perte de marge"," ")))</f>
        <v xml:space="preserve"> </v>
      </c>
      <c r="M42" s="1162"/>
      <c r="N42" s="1161"/>
    </row>
    <row r="43" spans="2:15" s="62" customFormat="1" ht="20.100000000000001" customHeight="1">
      <c r="B43" s="63"/>
      <c r="C43" s="63"/>
      <c r="D43" s="68"/>
      <c r="E43" s="63"/>
      <c r="F43" s="63"/>
      <c r="G43" s="63"/>
      <c r="H43" s="63"/>
      <c r="I43" s="63"/>
      <c r="J43" s="63"/>
      <c r="L43" s="63"/>
      <c r="N43" s="63"/>
    </row>
    <row r="44" spans="2:15" ht="18" customHeight="1">
      <c r="B44" s="2362" t="s">
        <v>314</v>
      </c>
      <c r="C44" s="1895" t="s">
        <v>219</v>
      </c>
      <c r="D44" s="1896" t="str">
        <f>IF(ISBLANK(u)," ",u)</f>
        <v xml:space="preserve"> </v>
      </c>
      <c r="E44" s="163"/>
      <c r="F44" s="1159" t="str">
        <f>IF(ca_1=0," ",pr_1-mse_1-mat_1)</f>
        <v xml:space="preserve"> </v>
      </c>
      <c r="G44" s="163"/>
      <c r="H44" s="1159" t="str">
        <f>IF(ca_2=0," ",pr_2-mse_2-mat_2)</f>
        <v xml:space="preserve"> </v>
      </c>
      <c r="I44" s="163"/>
      <c r="J44" s="1159" t="str">
        <f>IF(ca_3=0," ",pr_3-mse_3-mat_3)</f>
        <v xml:space="preserve"> </v>
      </c>
      <c r="K44" s="67"/>
      <c r="L44" s="1159" t="str">
        <f>IF(ca_4=0," ",pr_4-mse_4-mat_4)</f>
        <v xml:space="preserve"> </v>
      </c>
      <c r="M44" s="67"/>
      <c r="N44" s="1159" t="str">
        <f>IF(ca_5=0," ",pr_5-mse_5-mat_5)</f>
        <v xml:space="preserve"> </v>
      </c>
    </row>
    <row r="45" spans="2:15" ht="18" customHeight="1">
      <c r="B45" s="2363"/>
      <c r="C45" s="2366" t="s">
        <v>315</v>
      </c>
      <c r="D45" s="2367"/>
      <c r="E45" s="151"/>
      <c r="F45" s="537" t="str">
        <f>IF(ca_1=0," ",F44/pr_1)</f>
        <v xml:space="preserve"> </v>
      </c>
      <c r="G45" s="151"/>
      <c r="H45" s="537" t="str">
        <f>IF(ca_2=0," ",H44/pr_2)</f>
        <v xml:space="preserve"> </v>
      </c>
      <c r="I45" s="151"/>
      <c r="J45" s="537" t="str">
        <f>IF(ca_3=0," ",J44/pr_3)</f>
        <v xml:space="preserve"> </v>
      </c>
      <c r="K45" s="150"/>
      <c r="L45" s="537" t="str">
        <f>IF(ca_4=0," ",L44/pr_4)</f>
        <v xml:space="preserve"> </v>
      </c>
      <c r="M45" s="150"/>
      <c r="N45" s="537" t="str">
        <f>IF(ca_5=0," ",N44/pr_5)</f>
        <v xml:space="preserve"> </v>
      </c>
      <c r="O45" s="79"/>
    </row>
    <row r="46" spans="2:15" ht="3" customHeight="1"/>
    <row r="47" spans="2:15" s="62" customFormat="1" ht="15" customHeight="1">
      <c r="B47" s="63"/>
      <c r="C47" s="63"/>
      <c r="D47" s="68"/>
      <c r="E47" s="63"/>
      <c r="F47" s="239" t="str">
        <f>IF(F45=" "," ",IF((F45-H45)&gt;0.1%,"Gain de marge",IF((F45-H45)&lt;-0.1%,"Perte de marge"," ")))</f>
        <v xml:space="preserve"> </v>
      </c>
      <c r="G47" s="241"/>
      <c r="H47" s="239" t="str">
        <f>IF(H45=" "," ",IF((H45-J45)&gt;0.1%,"Gain de marge",IF((H45-J45)&lt;-0.1%,"Perte de marge"," ")))</f>
        <v xml:space="preserve"> </v>
      </c>
      <c r="I47" s="241"/>
      <c r="J47" s="239" t="str">
        <f>IF(J45=" "," ",IF((J45-L45)&gt;0.1%,"Gain de marge",IF((J45-L45)&lt;-0.1%,"Perte de marge"," ")))</f>
        <v xml:space="preserve"> </v>
      </c>
      <c r="K47" s="242"/>
      <c r="L47" s="239" t="str">
        <f>IF(L45=" "," ",IF((L45-N45)&gt;0.1%,"Gain de marge",IF((L45-N45)&lt;-0.1%,"Perte de marge"," ")))</f>
        <v xml:space="preserve"> </v>
      </c>
      <c r="M47" s="242"/>
      <c r="N47" s="241"/>
    </row>
    <row r="48" spans="2:15" s="62" customFormat="1" ht="20.100000000000001" customHeight="1">
      <c r="B48" s="63"/>
      <c r="C48" s="2374" t="s">
        <v>477</v>
      </c>
      <c r="D48" s="2375"/>
      <c r="E48" s="63"/>
      <c r="F48" s="63"/>
      <c r="G48" s="63"/>
      <c r="H48" s="63"/>
      <c r="I48" s="63"/>
      <c r="J48" s="63"/>
      <c r="L48" s="63"/>
      <c r="N48" s="63"/>
    </row>
    <row r="49" spans="1:16" ht="18" customHeight="1">
      <c r="B49" s="2362" t="s">
        <v>204</v>
      </c>
      <c r="C49" s="1895" t="s">
        <v>219</v>
      </c>
      <c r="D49" s="1896" t="str">
        <f>IF(ISBLANK(u)," ",u)</f>
        <v xml:space="preserve"> </v>
      </c>
      <c r="E49" s="163"/>
      <c r="F49" s="1159" t="str">
        <f>IF(va_1=" "," ",va_1)</f>
        <v xml:space="preserve"> </v>
      </c>
      <c r="G49" s="163"/>
      <c r="H49" s="1159" t="str">
        <f>IF(va_2=" "," ",va_2)</f>
        <v xml:space="preserve"> </v>
      </c>
      <c r="I49" s="163"/>
      <c r="J49" s="1159" t="str">
        <f>IF(va_3=" "," ",va_3)</f>
        <v xml:space="preserve"> </v>
      </c>
      <c r="K49" s="67"/>
      <c r="L49" s="1159" t="str">
        <f>IF(va_4=" "," ",va_4)</f>
        <v xml:space="preserve"> </v>
      </c>
      <c r="M49" s="67"/>
      <c r="N49" s="1159" t="str">
        <f>IF(va_5=" "," ",va_5)</f>
        <v xml:space="preserve"> </v>
      </c>
    </row>
    <row r="50" spans="1:16" ht="18" customHeight="1">
      <c r="B50" s="2363"/>
      <c r="C50" s="2366" t="s">
        <v>317</v>
      </c>
      <c r="D50" s="2367"/>
      <c r="E50" s="151"/>
      <c r="F50" s="537" t="str">
        <f>IF(ca_1=0," ",IF(va_1=0," ",va_1/pr_1))</f>
        <v xml:space="preserve"> </v>
      </c>
      <c r="G50" s="151"/>
      <c r="H50" s="537" t="str">
        <f>IF(ca_2=0," ",IF(va_2=0," ",va_2/pr_2))</f>
        <v xml:space="preserve"> </v>
      </c>
      <c r="I50" s="151"/>
      <c r="J50" s="537" t="str">
        <f>IF(ca_3=0," ",IF(va_3=0," ",va_3/pr_3))</f>
        <v xml:space="preserve"> </v>
      </c>
      <c r="K50" s="150"/>
      <c r="L50" s="537" t="str">
        <f>IF(ca_4=0," ",IF(va_4=0," ",va_4/pr_4))</f>
        <v xml:space="preserve"> </v>
      </c>
      <c r="M50" s="150"/>
      <c r="N50" s="537" t="str">
        <f>IF(ca_5=0," ",IF(va_5=0," ",va_5/pr_5))</f>
        <v xml:space="preserve"> </v>
      </c>
    </row>
    <row r="51" spans="1:16" s="62" customFormat="1" ht="6" customHeight="1">
      <c r="B51" s="63"/>
      <c r="C51" s="63"/>
      <c r="D51" s="68"/>
      <c r="E51" s="70"/>
      <c r="F51" s="70" t="str">
        <f>IF(ca_1=0," ",IF(e_1=0," ",(va_1*12/du_1)/e_1))</f>
        <v xml:space="preserve"> </v>
      </c>
      <c r="G51" s="70"/>
      <c r="H51" s="70" t="str">
        <f>IF(ca_2=0," ",IF(e_2=0," ",(va_2*12/du_2)/e_2))</f>
        <v xml:space="preserve"> </v>
      </c>
      <c r="I51" s="70"/>
      <c r="J51" s="70" t="str">
        <f>IF(ca_3=0," ",IF(e_3=0," ",(va_3*12/du_3)/e_3))</f>
        <v xml:space="preserve"> </v>
      </c>
      <c r="K51" s="71"/>
      <c r="L51" s="70" t="str">
        <f>IF(ca_4=0," ",IF(e_4=0," ",(va_4*12/du_4)/e_4))</f>
        <v xml:space="preserve"> </v>
      </c>
      <c r="M51" s="71"/>
      <c r="N51" s="70" t="str">
        <f>IF(ca_5=0," ",IF(e_5=0," ",(va_5*12/du_5)/e_5))</f>
        <v xml:space="preserve"> </v>
      </c>
      <c r="P51" s="56"/>
    </row>
    <row r="52" spans="1:16" ht="20.100000000000001" customHeight="1">
      <c r="A52" s="62"/>
      <c r="C52" s="2373" t="s">
        <v>650</v>
      </c>
      <c r="D52" s="2373"/>
      <c r="F52" s="1212" t="str">
        <f>IF(F51=" "," ",IF(u="K€",F51,IF(u="€",F51/1000)))</f>
        <v xml:space="preserve"> </v>
      </c>
      <c r="H52" s="1212" t="str">
        <f>IF(H51=" "," ",IF(u="K€",H51,IF(u="€",H51/1000)))</f>
        <v xml:space="preserve"> </v>
      </c>
      <c r="J52" s="1212" t="str">
        <f>IF(J51=" "," ",IF(u="K€",J51,IF(u="€",J51/1000)))</f>
        <v xml:space="preserve"> </v>
      </c>
      <c r="L52" s="1212" t="str">
        <f>IF(L51=" "," ",IF(u="K€",L51,IF(u="€",L51/1000)))</f>
        <v xml:space="preserve"> </v>
      </c>
      <c r="N52" s="1212" t="str">
        <f>IF(N51=" "," ",IF(u="K€",N51,IF(u="€",N51/1000)))</f>
        <v xml:space="preserve"> </v>
      </c>
    </row>
    <row r="53" spans="1:16" ht="3" customHeight="1">
      <c r="A53" s="62"/>
      <c r="D53" s="221"/>
      <c r="F53" s="72"/>
      <c r="H53" s="72"/>
      <c r="J53" s="72"/>
      <c r="L53" s="72"/>
      <c r="N53" s="72"/>
    </row>
    <row r="54" spans="1:16" ht="30" customHeight="1">
      <c r="A54" s="62"/>
      <c r="D54" s="221"/>
      <c r="F54" s="1160" t="str">
        <f>IF(F52=" "," ",IF(F52&gt;(H52*1.01),"Gain de productivité",IF(F52&lt;(H52/1.01),"Perte de productivité"," ")))</f>
        <v xml:space="preserve"> </v>
      </c>
      <c r="G54" s="1156"/>
      <c r="H54" s="1160" t="str">
        <f>IF(H52=" "," ",IF(H52&gt;(J52*1.01),"Gain de productivité",IF(H52&lt;(J52/1.01),"Perte de productivité"," ")))</f>
        <v xml:space="preserve"> </v>
      </c>
      <c r="I54" s="1156"/>
      <c r="J54" s="1160" t="str">
        <f>IF(J52=" "," ",IF(J52&gt;(L52*1.01),"Gain de productivité",IF(J52&lt;(L52/1.01),"Perte de productivité"," ")))</f>
        <v xml:space="preserve"> </v>
      </c>
      <c r="K54" s="1157"/>
      <c r="L54" s="1160" t="str">
        <f>IF(L52=" "," ",IF(L52&gt;(N52*1.01),"Gain de productivité",IF(L52&lt;(N52/1.01),"Perte de productivité"," ")))</f>
        <v xml:space="preserve"> </v>
      </c>
      <c r="M54" s="1157"/>
      <c r="N54" s="240"/>
      <c r="O54" s="62"/>
    </row>
    <row r="55" spans="1:16" ht="15" customHeight="1">
      <c r="A55" s="62"/>
      <c r="C55" s="2374" t="s">
        <v>477</v>
      </c>
      <c r="D55" s="2375"/>
    </row>
    <row r="56" spans="1:16" ht="20.100000000000001" customHeight="1">
      <c r="C56" s="2412" t="s">
        <v>669</v>
      </c>
      <c r="D56" s="2413"/>
      <c r="F56" s="1024">
        <f>IF(ca_1=0,0,IF(p_1=0,0,p_1/va_1))</f>
        <v>0</v>
      </c>
      <c r="H56" s="1024">
        <f>IF(ca_2=0,0,IF(p_2=0,0,p_2/va_2))</f>
        <v>0</v>
      </c>
      <c r="J56" s="1024">
        <f>IF(ca_3=0,0,IF(p_3=0,0,p_3/va_3))</f>
        <v>0</v>
      </c>
      <c r="L56" s="1024">
        <f>IF(ca_4=0,0,IF(p_4=0,0,p_4/va_4))</f>
        <v>0</v>
      </c>
      <c r="N56" s="1024">
        <f>IF(ca_5=0,0,IF(p_5=0,0,p_5/va_5))</f>
        <v>0</v>
      </c>
    </row>
    <row r="57" spans="1:16" ht="3" customHeight="1">
      <c r="D57" s="80"/>
    </row>
    <row r="58" spans="1:16" ht="15" customHeight="1">
      <c r="D58" s="80"/>
      <c r="F58" s="1028" t="str">
        <f>IF(F56=" "," ",IF(F56&lt;=75%," ",IF(F56&lt;80%,"Mauvais","Très mauvais")))</f>
        <v xml:space="preserve"> </v>
      </c>
      <c r="G58" s="190"/>
      <c r="H58" s="1028" t="str">
        <f>IF(H56=" "," ",IF(H56&lt;=75%," ",IF(H56&lt;80%,"Mauvais","Très mauvais")))</f>
        <v xml:space="preserve"> </v>
      </c>
      <c r="I58" s="190"/>
      <c r="J58" s="1028" t="str">
        <f>IF(J56=" "," ",IF(J56&lt;=75%," ",IF(J56&lt;80%,"Mauvais","Très mauvais")))</f>
        <v xml:space="preserve"> </v>
      </c>
      <c r="K58" s="191"/>
      <c r="L58" s="1028" t="str">
        <f>IF(L56=" "," ",IF(L56&lt;=75%," ",IF(L56&lt;80%,"Mauvais","Très mauvais")))</f>
        <v xml:space="preserve"> </v>
      </c>
      <c r="M58" s="191"/>
      <c r="N58" s="1028" t="str">
        <f>IF(N56=" "," ",IF(N56&lt;=75%," ",IF(N56&lt;80%,"Mauvais","Très mauvais")))</f>
        <v xml:space="preserve"> </v>
      </c>
      <c r="P58" s="246"/>
    </row>
    <row r="59" spans="1:16" ht="15" customHeight="1">
      <c r="D59" s="80"/>
    </row>
    <row r="60" spans="1:16" ht="20.100000000000001" customHeight="1">
      <c r="C60" s="2411" t="s">
        <v>526</v>
      </c>
      <c r="D60" s="2411"/>
      <c r="F60" s="1025" t="str">
        <f>IF(ca_1=0," ",IF(ISBLANK(yp_1)," ",IF(fy_1=0," ",IF(u="K€",(fy_1*12/du_1)/yp_1,IF(u="€",(fy_1*12/du_1)/(yp_1*1000))))))</f>
        <v xml:space="preserve"> </v>
      </c>
      <c r="H60" s="1025" t="str">
        <f>IF(ca_2=0," ",IF(ISBLANK(yp_2)," ",IF(fy_2=0," ",IF(u="K€",(fy_2*12/du_2)/yp_2,IF(u="€",(fy_2*12/du_2)/(yp_2*1000))))))</f>
        <v xml:space="preserve"> </v>
      </c>
      <c r="J60" s="1025" t="str">
        <f>IF(ca_3=0," ",IF(ISBLANK(yp_3)," ",IF(fy_3=0," ",IF(u="K€",(fy_3*12/du_3)/yp_3,IF(u="€",(fy_3*12/du_3)/(yp_3*1000))))))</f>
        <v xml:space="preserve"> </v>
      </c>
      <c r="L60" s="1025" t="str">
        <f>IF(ca_4=0," ",IF(ISBLANK(yp_4)," ",IF(fy_4=0," ",IF(u="K€",(fy_4*12/du_4)/yp_4,IF(u="€",(fy_4*12/du_4)/(yp_4*1000))))))</f>
        <v xml:space="preserve"> </v>
      </c>
      <c r="N60" s="1025" t="str">
        <f>IF(ca_5=0," ",IF(ISBLANK(yp_5)," ",IF(fy_5=0," ",IF(u="K€",(fy_5*12/du_5)/yp_5,IF(u="€",(fy_5*12/du_5)/(yp_5*1000))))))</f>
        <v xml:space="preserve"> </v>
      </c>
    </row>
    <row r="61" spans="1:16" ht="20.100000000000001" customHeight="1">
      <c r="C61" s="2374" t="s">
        <v>477</v>
      </c>
      <c r="D61" s="2375"/>
      <c r="H61" s="63"/>
    </row>
    <row r="62" spans="1:16" ht="18" customHeight="1">
      <c r="B62" s="2364" t="s">
        <v>507</v>
      </c>
      <c r="C62" s="1895" t="s">
        <v>219</v>
      </c>
      <c r="D62" s="1896" t="str">
        <f>IF(ISBLANK(u)," ",u)</f>
        <v xml:space="preserve"> </v>
      </c>
      <c r="E62" s="163"/>
      <c r="F62" s="1159">
        <f>IF(ebe_1=" "," ",ebe_1)</f>
        <v>0</v>
      </c>
      <c r="G62" s="163"/>
      <c r="H62" s="1159">
        <f>IF(ebe_2=" "," ",ebe_2)</f>
        <v>0</v>
      </c>
      <c r="I62" s="163"/>
      <c r="J62" s="1159">
        <f>IF(ebe_3=" "," ",ebe_3)</f>
        <v>0</v>
      </c>
      <c r="K62" s="67"/>
      <c r="L62" s="1159">
        <f>IF(ebe_4=" "," ",ebe_4)</f>
        <v>0</v>
      </c>
      <c r="M62" s="67"/>
      <c r="N62" s="1159">
        <f>IF(ebe_5=" "," ",ebe_5)</f>
        <v>0</v>
      </c>
    </row>
    <row r="63" spans="1:16" ht="18" customHeight="1">
      <c r="B63" s="2365"/>
      <c r="C63" s="2414" t="s">
        <v>387</v>
      </c>
      <c r="D63" s="2367"/>
      <c r="E63" s="151"/>
      <c r="F63" s="537" t="str">
        <f>IF(ca_1=0," ",IF(ebe_1=" "," ",ebe_1/pr_1))</f>
        <v xml:space="preserve"> </v>
      </c>
      <c r="G63" s="151"/>
      <c r="H63" s="537" t="str">
        <f>IF(ca_2=0," ",IF(ebe_2=" "," ",ebe_2/pr_2))</f>
        <v xml:space="preserve"> </v>
      </c>
      <c r="I63" s="151"/>
      <c r="J63" s="537" t="str">
        <f>IF(ca_3=0," ",IF(ebe_3=" "," ",ebe_3/pr_3))</f>
        <v xml:space="preserve"> </v>
      </c>
      <c r="K63" s="150"/>
      <c r="L63" s="537" t="str">
        <f>IF(ca_4=0," ",IF(ebe_4=" "," ",ebe_4/pr_4))</f>
        <v xml:space="preserve"> </v>
      </c>
      <c r="M63" s="150"/>
      <c r="N63" s="537" t="str">
        <f>IF(ca_5=0," ",IF(ebe_5=" "," ",ebe_5/pr_5))</f>
        <v xml:space="preserve"> </v>
      </c>
    </row>
    <row r="64" spans="1:16" ht="3" customHeight="1"/>
    <row r="65" spans="2:16" s="192" customFormat="1" ht="15" customHeight="1">
      <c r="D65" s="193"/>
      <c r="E65" s="194"/>
      <c r="F65" s="1029" t="str">
        <f>IF(F63=" "," ",IF(F63&lt;-0.5%,"Très mauvais",IF(F63&lt;=1.5%,"Mauvais",IF(F63&lt;7%,"Médiocre",IF(F63&lt;15%,"Moyen",IF(F63&lt;35%,"Bon","Excellent"))))))</f>
        <v xml:space="preserve"> </v>
      </c>
      <c r="G65" s="194"/>
      <c r="H65" s="1029" t="str">
        <f>IF(H63=" "," ",IF(H63&lt;-0.5%,"Très mauvais",IF(H63&lt;=1.5%,"Mauvais",IF(H63&lt;7%,"Médiocre",IF(H63&lt;15%,"Moyen",IF(H63&lt;35%,"Bon","Excellent"))))))</f>
        <v xml:space="preserve"> </v>
      </c>
      <c r="I65" s="194"/>
      <c r="J65" s="1029" t="str">
        <f>IF(J63=" "," ",IF(J63&lt;-0.5%,"Très mauvais",IF(J63&lt;=1.5%,"Mauvais",IF(J63&lt;7%,"Médiocre",IF(J63&lt;15%,"Moyen",IF(J63&lt;35%,"Bon","Excellent"))))))</f>
        <v xml:space="preserve"> </v>
      </c>
      <c r="K65" s="195"/>
      <c r="L65" s="1029" t="str">
        <f>IF(L63=" "," ",IF(L63&lt;-0.5%,"Très mauvais",IF(L63&lt;=1.5%,"Mauvais",IF(L63&lt;7%,"Médiocre",IF(L63&lt;15%,"Moyen",IF(L63&lt;35%,"Bon","Excellent"))))))</f>
        <v xml:space="preserve"> </v>
      </c>
      <c r="M65" s="195"/>
      <c r="N65" s="1029" t="str">
        <f>IF(N63=" "," ",IF(N63&lt;-0.5%,"Très mauvais",IF(N63&lt;=1.5%,"Mauvais",IF(N63&lt;7%,"Médiocre",IF(N63&lt;15%,"Moyen",IF(N63&lt;35%,"Bon","Excellent"))))))</f>
        <v xml:space="preserve"> </v>
      </c>
      <c r="O65" s="56"/>
      <c r="P65" s="56"/>
    </row>
    <row r="66" spans="2:16" ht="6" customHeight="1"/>
    <row r="67" spans="2:16" ht="20.100000000000001" customHeight="1">
      <c r="C67" s="2406" t="s">
        <v>572</v>
      </c>
      <c r="D67" s="2407"/>
      <c r="F67" s="1026">
        <f>IF(ca_1=0,0,IF(p_1=0,0,ebe_1/va_1))</f>
        <v>0</v>
      </c>
      <c r="H67" s="1026">
        <f>IF(ca_2=0,0,IF(p_2=0,0,ebe_2/va_2))</f>
        <v>0</v>
      </c>
      <c r="J67" s="1026">
        <f>IF(ca_3=0,0,IF(p_3=0,0,ebe_3/va_3))</f>
        <v>0</v>
      </c>
      <c r="L67" s="1026">
        <f>IF(ca_4=0,0,IF(p_4=0,0,ebe_4/va_4))</f>
        <v>0</v>
      </c>
      <c r="N67" s="1026">
        <f>IF(ca_5=0,0,IF(p_5=0,0,ebe_5/va_5))</f>
        <v>0</v>
      </c>
    </row>
    <row r="68" spans="2:16" s="73" customFormat="1" ht="3" customHeight="1">
      <c r="E68" s="68"/>
      <c r="G68" s="68"/>
      <c r="I68" s="68"/>
      <c r="N68" s="247"/>
    </row>
    <row r="69" spans="2:16" ht="20.100000000000001" customHeight="1">
      <c r="C69" s="2406" t="s">
        <v>137</v>
      </c>
      <c r="D69" s="2407"/>
      <c r="F69" s="1027">
        <f>IF(ISERROR(IF(I_1=0,0,IF(ebe_1&lt;0,"EBE négatif",I_1/ebe_1))),0,IF(I_1=0,0,IF(ebe_1&lt;0,"EBE négatif",I_1/ebe_1)))</f>
        <v>0</v>
      </c>
      <c r="H69" s="1027">
        <f>IF(ISERROR(IF(I_2=0,0,IF(ebe_2&lt;0,"EBE négatif",I_2/ebe_2))),0,IF(I_2=0,0,IF(ebe_2&lt;0,"EBE négatif",I_2/ebe_2)))</f>
        <v>0</v>
      </c>
      <c r="J69" s="1027">
        <f>IF(ISERROR(IF(I_3=0,0,IF(ebe_3&lt;0,"EBE négatif",I_3/ebe_3))),0,IF(I_3=0,0,IF(ebe_3&lt;0,"EBE négatif",I_3/ebe_3)))</f>
        <v>0</v>
      </c>
      <c r="L69" s="1027">
        <f>IF(ISERROR(IF(I_4=0,0,IF(ebe_4&lt;0,"EBE négatif",I_4/ebe_4))),0,IF(I_4=0,0,IF(ebe_4&lt;0,"EBE négatif",I_4/ebe_4)))</f>
        <v>0</v>
      </c>
      <c r="N69" s="1027">
        <f>IF(ISERROR(IF(I_5=0,0,IF(ebe_5&lt;0,"EBE négatif",I_5/ebe_5))),0,IF(I_5=0,0,IF(ebe_5&lt;0,"EBE négatif",I_5/ebe_5)))</f>
        <v>0</v>
      </c>
    </row>
    <row r="70" spans="2:16" s="62" customFormat="1" ht="3" customHeight="1">
      <c r="D70" s="61"/>
      <c r="E70" s="63"/>
      <c r="F70" s="81"/>
      <c r="G70" s="63"/>
      <c r="H70" s="81"/>
      <c r="I70" s="63"/>
      <c r="J70" s="81"/>
      <c r="L70" s="81"/>
      <c r="N70" s="81"/>
    </row>
    <row r="71" spans="2:16" s="62" customFormat="1" ht="15" customHeight="1">
      <c r="C71" s="2430" t="s">
        <v>477</v>
      </c>
      <c r="D71" s="2431"/>
      <c r="E71" s="63"/>
      <c r="F71" s="1028" t="str">
        <f>IF(F69=0," ",IF(F69&lt;30%,"Excellent",IF(F69&lt;50%,"Neutre","Danger !")))</f>
        <v xml:space="preserve"> </v>
      </c>
      <c r="G71" s="190"/>
      <c r="H71" s="1028" t="str">
        <f>IF(H69=0," ",IF(H69&lt;30%,"Excellent",IF(H69&lt;50%,"Neutre","Danger !")))</f>
        <v xml:space="preserve"> </v>
      </c>
      <c r="I71" s="190"/>
      <c r="J71" s="1028" t="str">
        <f>IF(J69=0," ",IF(J69&lt;30%,"Excellent",IF(J69&lt;50%,"Neutre","Danger !")))</f>
        <v xml:space="preserve"> </v>
      </c>
      <c r="K71" s="191"/>
      <c r="L71" s="1028" t="str">
        <f>IF(L69=0," ",IF(L69&lt;30%,"Excellent",IF(L69&lt;50%,"Neutre","Danger !")))</f>
        <v xml:space="preserve"> </v>
      </c>
      <c r="M71" s="191"/>
      <c r="N71" s="1028" t="str">
        <f>IF(N69=0," ",IF(N69&lt;30%,"Excellent",IF(N69&lt;50%,"Neutre","Danger !")))</f>
        <v xml:space="preserve"> </v>
      </c>
      <c r="P71" s="246"/>
    </row>
    <row r="72" spans="2:16" ht="20.100000000000001" customHeight="1"/>
    <row r="73" spans="2:16" ht="18" customHeight="1">
      <c r="B73" s="2364" t="s">
        <v>508</v>
      </c>
      <c r="C73" s="1895" t="s">
        <v>219</v>
      </c>
      <c r="D73" s="1896" t="str">
        <f>IF(ISBLANK(u)," ",u)</f>
        <v xml:space="preserve"> </v>
      </c>
      <c r="E73" s="163"/>
      <c r="F73" s="1159">
        <f>IF(ISERROR(re_1)," ",re_1)</f>
        <v>0</v>
      </c>
      <c r="G73" s="163"/>
      <c r="H73" s="535">
        <f>IF(ISERROR(re_2)," ",re_2)</f>
        <v>0</v>
      </c>
      <c r="I73" s="163"/>
      <c r="J73" s="1159">
        <f>IF(ISERROR(re_3)," ",re_3)</f>
        <v>0</v>
      </c>
      <c r="K73" s="67"/>
      <c r="L73" s="1159">
        <f>IF(ISERROR(re_4)," ",re_4)</f>
        <v>0</v>
      </c>
      <c r="M73" s="67"/>
      <c r="N73" s="1159">
        <f>IF(ISERROR(re_5)," ",re_5)</f>
        <v>0</v>
      </c>
    </row>
    <row r="74" spans="2:16" ht="18" customHeight="1">
      <c r="B74" s="2365"/>
      <c r="C74" s="2366" t="s">
        <v>388</v>
      </c>
      <c r="D74" s="2367"/>
      <c r="E74" s="151"/>
      <c r="F74" s="537" t="str">
        <f>IF(ca_1=0," ",IF(re_1=" "," ",re_1/pr_1))</f>
        <v xml:space="preserve"> </v>
      </c>
      <c r="G74" s="151"/>
      <c r="H74" s="537" t="str">
        <f>IF(ca_2=0," ",IF(re_2=" "," ",re_2/pr_2))</f>
        <v xml:space="preserve"> </v>
      </c>
      <c r="I74" s="151"/>
      <c r="J74" s="537">
        <v>1</v>
      </c>
      <c r="K74" s="150"/>
      <c r="L74" s="537" t="str">
        <f>IF(ca_4=0," ",IF(re_4=" "," ",re_4/pr_4))</f>
        <v xml:space="preserve"> </v>
      </c>
      <c r="M74" s="150"/>
      <c r="N74" s="537" t="str">
        <f>IF(ca_5=0," ",IF(re_5=" "," ",re_5/pr_5))</f>
        <v xml:space="preserve"> </v>
      </c>
    </row>
    <row r="75" spans="2:16" ht="3" customHeight="1"/>
    <row r="76" spans="2:16" s="188" customFormat="1" ht="15" customHeight="1">
      <c r="D76" s="189"/>
      <c r="E76" s="190"/>
      <c r="F76" s="1028" t="str">
        <f>IF(F74=" "," ",IF(F74&lt;-10%,"Très mauvais",IF(F74&lt;=0%,"Mauvais",IF(F74&lt;5%,"Médiocre",IF(F74&lt;10%,"Moyen",IF(F74&lt;25%,"Bon","Excellent"))))))</f>
        <v xml:space="preserve"> </v>
      </c>
      <c r="G76" s="1156"/>
      <c r="H76" s="1028" t="str">
        <f>IF(H74=" "," ",IF(H74&lt;-10%,"Très mauvais",IF(H74&lt;=0%,"Mauvais",IF(H74&lt;5%,"Médiocre",IF(H74&lt;10%,"Moyen",IF(H74&lt;25%,"Bon","Excellent"))))))</f>
        <v xml:space="preserve"> </v>
      </c>
      <c r="I76" s="1156"/>
      <c r="J76" s="1028" t="str">
        <f>IF(J74=" "," ",IF(J74&lt;-10%,"Très mauvais",IF(J74&lt;=0%,"Mauvais",IF(J74&lt;5%,"Médiocre",IF(J74&lt;10%,"Moyen",IF(J74&lt;25%,"Bon","Excellent"))))))</f>
        <v>Excellent</v>
      </c>
      <c r="K76" s="1157"/>
      <c r="L76" s="1028" t="str">
        <f>IF(L74=" "," ",IF(L74&lt;-10%,"Très mauvais",IF(L74&lt;=0%,"Mauvais",IF(L74&lt;5%,"Médiocre",IF(L74&lt;10%,"Moyen",IF(L74&lt;25%,"Bon","Excellent"))))))</f>
        <v xml:space="preserve"> </v>
      </c>
      <c r="M76" s="1157"/>
      <c r="N76" s="1028" t="str">
        <f>IF(N74=" "," ",IF(N74&lt;-10%,"Très mauvais",IF(N74&lt;=0%,"Mauvais",IF(N74&lt;5%,"Médiocre",IF(N74&lt;10%,"Moyen",IF(N74&lt;25%,"Bon","Excellent"))))))</f>
        <v xml:space="preserve"> </v>
      </c>
      <c r="O76" s="56"/>
      <c r="P76" s="246"/>
    </row>
    <row r="77" spans="2:16" ht="20.100000000000001" customHeight="1">
      <c r="K77" s="56"/>
    </row>
    <row r="78" spans="2:16" ht="18" customHeight="1">
      <c r="B78" s="2364" t="s">
        <v>476</v>
      </c>
      <c r="C78" s="1895" t="s">
        <v>219</v>
      </c>
      <c r="D78" s="1896" t="str">
        <f>IF(ISBLANK(u)," ",u)</f>
        <v xml:space="preserve"> </v>
      </c>
      <c r="E78" s="163"/>
      <c r="F78" s="1159">
        <f>IF(ISERROR(rc_1)," ",rc_1)</f>
        <v>0</v>
      </c>
      <c r="G78" s="163"/>
      <c r="H78" s="1159">
        <f>IF(ISERROR(rc_2)," ",rc_2)</f>
        <v>0</v>
      </c>
      <c r="I78" s="163"/>
      <c r="J78" s="1159">
        <f>IF(ISERROR(rc_3)," ",rc_3)</f>
        <v>0</v>
      </c>
      <c r="K78" s="67"/>
      <c r="L78" s="1159">
        <f>IF(ISERROR(rc_4)," ",rc_4)</f>
        <v>0</v>
      </c>
      <c r="M78" s="67"/>
      <c r="N78" s="1159">
        <f>IF(ISERROR(rc_5)," ",rc_5)</f>
        <v>0</v>
      </c>
    </row>
    <row r="79" spans="2:16" ht="18" customHeight="1">
      <c r="B79" s="2365"/>
      <c r="C79" s="2366" t="s">
        <v>318</v>
      </c>
      <c r="D79" s="2367"/>
      <c r="E79" s="151"/>
      <c r="F79" s="537" t="str">
        <f>IF(ca_1=0," ",IF(rc_1=" "," ",rc_1/pr_1))</f>
        <v xml:space="preserve"> </v>
      </c>
      <c r="G79" s="151"/>
      <c r="H79" s="537" t="str">
        <f>IF(ca_2=0," ",IF(rc_2=" "," ",rc_2/pr_2))</f>
        <v xml:space="preserve"> </v>
      </c>
      <c r="I79" s="151"/>
      <c r="J79" s="537" t="str">
        <f>IF(ca_3=0," ",IF(rc_3=" "," ",rc_3/pr_3))</f>
        <v xml:space="preserve"> </v>
      </c>
      <c r="K79" s="150"/>
      <c r="L79" s="537" t="str">
        <f>IF(ca_4=0," ",IF(rc_4=" "," ",rc_4/pr_4))</f>
        <v xml:space="preserve"> </v>
      </c>
      <c r="M79" s="150"/>
      <c r="N79" s="537" t="str">
        <f>IF(ca_5=0," ",IF(rc_5=" "," ",rc_5/pr_5))</f>
        <v xml:space="preserve"> </v>
      </c>
    </row>
    <row r="80" spans="2:16" ht="3" customHeight="1"/>
    <row r="81" spans="2:17" s="188" customFormat="1" ht="15" customHeight="1">
      <c r="D81" s="189"/>
      <c r="E81" s="190"/>
      <c r="F81" s="1028" t="str">
        <f>IF(F79=" "," ",IF(F79&lt;-7%,"Très mauvais",IF(F79&lt;=0%,"Mauvais",IF(F79&lt;3%,"Médiocre",IF(F79&lt;6%,"Moyen",IF(F79&lt;12%,"Bon","Excellent"))))))</f>
        <v xml:space="preserve"> </v>
      </c>
      <c r="G81" s="190"/>
      <c r="H81" s="1028" t="str">
        <f>IF(H79=" "," ",IF(H79&lt;-7%,"Très mauvais",IF(H79&lt;=0%,"Mauvais",IF(H79&lt;3%,"Médiocre",IF(H79&lt;6%,"Moyen",IF(H79&lt;12%,"Bon","Excellent"))))))</f>
        <v xml:space="preserve"> </v>
      </c>
      <c r="I81" s="190"/>
      <c r="J81" s="1028" t="str">
        <f>IF(J79=" "," ",IF(J79&lt;-7%,"Très mauvais",IF(J79&lt;=0%,"Mauvais",IF(J79&lt;3%,"Médiocre",IF(J79&lt;6%,"Moyen",IF(J79&lt;12%,"Bon","Excellent"))))))</f>
        <v xml:space="preserve"> </v>
      </c>
      <c r="K81" s="191"/>
      <c r="L81" s="1028" t="str">
        <f>IF(L79=" "," ",IF(L79&lt;-7%,"Très mauvais",IF(L79&lt;=0%,"Mauvais",IF(L79&lt;3%,"Médiocre",IF(L79&lt;6%,"Moyen",IF(L79&lt;12%,"Bon","Excellent"))))))</f>
        <v xml:space="preserve"> </v>
      </c>
      <c r="M81" s="191"/>
      <c r="N81" s="1028" t="str">
        <f>IF(N79=" "," ",IF(N79&lt;-7%,"Très mauvais",IF(N79&lt;=0%,"Mauvais",IF(N79&lt;3%,"Médiocre",IF(N79&lt;6%,"Moyen",IF(N79&lt;12%,"Bon","Excellent"))))))</f>
        <v xml:space="preserve"> </v>
      </c>
      <c r="P81" s="246"/>
      <c r="Q81" s="56"/>
    </row>
    <row r="82" spans="2:17" ht="20.100000000000001" customHeight="1"/>
    <row r="83" spans="2:17" ht="18" customHeight="1">
      <c r="B83" s="2362" t="s">
        <v>205</v>
      </c>
      <c r="C83" s="1895" t="s">
        <v>219</v>
      </c>
      <c r="D83" s="1896" t="str">
        <f>IF(ISBLANK(u)," ",u)</f>
        <v xml:space="preserve"> </v>
      </c>
      <c r="E83" s="163"/>
      <c r="F83" s="1159" t="str">
        <f>IF(ISERROR(r_1)," ",r_1)</f>
        <v xml:space="preserve"> </v>
      </c>
      <c r="G83" s="163"/>
      <c r="H83" s="1159" t="str">
        <f>IF(ISERROR(r_2)," ",r_2)</f>
        <v xml:space="preserve"> </v>
      </c>
      <c r="I83" s="163"/>
      <c r="J83" s="1159" t="str">
        <f>IF(ISERROR(r_3)," ",r_3)</f>
        <v xml:space="preserve"> </v>
      </c>
      <c r="K83" s="67"/>
      <c r="L83" s="1159" t="str">
        <f>IF(ISERROR(r_4)," ",r_4)</f>
        <v xml:space="preserve"> </v>
      </c>
      <c r="M83" s="67"/>
      <c r="N83" s="1159" t="str">
        <f>IF(ISERROR(r_5)," ",r_5)</f>
        <v xml:space="preserve"> </v>
      </c>
    </row>
    <row r="84" spans="2:17" ht="18" customHeight="1">
      <c r="B84" s="2363"/>
      <c r="C84" s="2366" t="s">
        <v>389</v>
      </c>
      <c r="D84" s="2367"/>
      <c r="E84" s="151"/>
      <c r="F84" s="537" t="str">
        <f>IF(ca_1=0," ",IF(r_1=" "," ",r_1/pr_1))</f>
        <v xml:space="preserve"> </v>
      </c>
      <c r="G84" s="151"/>
      <c r="H84" s="537" t="str">
        <f>IF(ca_2=0," ",IF(r_2=" "," ",r_2/pr_2))</f>
        <v xml:space="preserve"> </v>
      </c>
      <c r="I84" s="151"/>
      <c r="J84" s="537" t="str">
        <f>IF(ca_3=0," ",IF(r_3=" "," ",r_3/pr_3))</f>
        <v xml:space="preserve"> </v>
      </c>
      <c r="K84" s="150"/>
      <c r="L84" s="537" t="str">
        <f>IF(ca_4=0," ",IF(r_4=" "," ",r_4/pr_4))</f>
        <v xml:space="preserve"> </v>
      </c>
      <c r="M84" s="150"/>
      <c r="N84" s="537" t="str">
        <f>IF(ca_5=0," ",IF(r_5=" "," ",r_5/pr_5))</f>
        <v xml:space="preserve"> </v>
      </c>
    </row>
    <row r="85" spans="2:17" ht="20.100000000000001" customHeight="1">
      <c r="C85" s="2374" t="s">
        <v>477</v>
      </c>
      <c r="D85" s="2375"/>
    </row>
    <row r="86" spans="2:17" ht="18" customHeight="1">
      <c r="B86" s="2364" t="s">
        <v>506</v>
      </c>
      <c r="C86" s="1895" t="s">
        <v>219</v>
      </c>
      <c r="D86" s="1896" t="str">
        <f>IF(ISBLANK(u)," ",u)</f>
        <v xml:space="preserve"> </v>
      </c>
      <c r="E86" s="163"/>
      <c r="F86" s="1159" t="str">
        <f>IF(ISERROR(caf_1)," ",caf_1)</f>
        <v xml:space="preserve"> </v>
      </c>
      <c r="G86" s="163"/>
      <c r="H86" s="1159" t="str">
        <f>IF(ISERROR(caf_2)," ",caf_2)</f>
        <v xml:space="preserve"> </v>
      </c>
      <c r="I86" s="163"/>
      <c r="J86" s="1159" t="str">
        <f>IF(ISERROR(caf_3)," ",caf_3)</f>
        <v xml:space="preserve"> </v>
      </c>
      <c r="K86" s="67"/>
      <c r="L86" s="1159" t="str">
        <f>IF(ISERROR(caf_4)," ",caf_4)</f>
        <v xml:space="preserve"> </v>
      </c>
      <c r="M86" s="67"/>
      <c r="N86" s="1159" t="str">
        <f>IF(ISERROR(caf_5)," ",caf_5)</f>
        <v xml:space="preserve"> </v>
      </c>
      <c r="P86" s="58"/>
    </row>
    <row r="87" spans="2:17" ht="18" customHeight="1">
      <c r="B87" s="2365"/>
      <c r="C87" s="2366" t="s">
        <v>319</v>
      </c>
      <c r="D87" s="2367"/>
      <c r="E87" s="151"/>
      <c r="F87" s="537" t="str">
        <f>IF(ca_1=0," ",IF(caf_1=" "," ",caf_1/pr_1))</f>
        <v xml:space="preserve"> </v>
      </c>
      <c r="G87" s="151"/>
      <c r="H87" s="537" t="str">
        <f>IF(ca_2=0," ",IF(caf_2=" "," ",caf_2/pr_2))</f>
        <v xml:space="preserve"> </v>
      </c>
      <c r="I87" s="151"/>
      <c r="J87" s="537" t="str">
        <f>IF(ca_3=0," ",IF(caf_3=" "," ",caf_3/pr_3))</f>
        <v xml:space="preserve"> </v>
      </c>
      <c r="K87" s="150"/>
      <c r="L87" s="537" t="str">
        <f>IF(ca_4=0," ",IF(caf_4=" "," ",caf_4/pr_4))</f>
        <v xml:space="preserve"> </v>
      </c>
      <c r="M87" s="150"/>
      <c r="N87" s="537" t="str">
        <f>IF(ca_5=0," ",IF(caf_5=" "," ",caf_5/pr_5))</f>
        <v xml:space="preserve"> </v>
      </c>
    </row>
    <row r="88" spans="2:17" ht="3" customHeight="1"/>
    <row r="89" spans="2:17" ht="20.100000000000001" customHeight="1">
      <c r="F89" s="1158" t="str">
        <f>IF(ca_1=0," ",IF(F86&lt;0,"CAF nulle",IF(F86&lt;ga_1,"CAF insuffisante",IF(F86&lt;(bfe_1-bfe_2),"CAF insuffisante"," "))))</f>
        <v xml:space="preserve"> </v>
      </c>
      <c r="G89" s="166"/>
      <c r="H89" s="1158" t="str">
        <f>IF(ca_2=0," ",IF(H86&lt;0,"CAF nulle",IF(H86&lt;ga_2,"CAF insuffisante",IF(H86&lt;(bfe_2-bfe_3),"CAF insuffisante"," "))))</f>
        <v xml:space="preserve"> </v>
      </c>
      <c r="I89" s="68"/>
      <c r="J89" s="1158" t="str">
        <f>IF(ca_3=0," ",IF(J86&lt;0,"CAF nulle",IF(J86&lt;ga_3,"CAF insuffisante",IF(J86&lt;(bfe_3-bfe_4),"CAF insuffisante"," "))))</f>
        <v xml:space="preserve"> </v>
      </c>
      <c r="K89" s="61"/>
      <c r="L89" s="1158" t="str">
        <f>IF(ca_4=0," ",IF(L86&lt;0,"CAF nulle",IF(L86&lt;ga_4,"CAF insuffisante",IF(L86&lt;(bfe_4-bfe_5),"CAF insuffisante"," "))))</f>
        <v xml:space="preserve"> </v>
      </c>
      <c r="M89" s="61"/>
      <c r="N89" s="1158" t="str">
        <f>IF(ca_5=0," ",IF(N86&lt;0,"CAF nulle",IF(N86&lt;ga_5,"CAF insuffisante"," ")))</f>
        <v xml:space="preserve"> </v>
      </c>
    </row>
    <row r="90" spans="2:17" ht="9" customHeight="1"/>
    <row r="91" spans="2:17" ht="18" customHeight="1">
      <c r="B91" s="2422" t="s">
        <v>545</v>
      </c>
      <c r="C91" s="1897" t="s">
        <v>219</v>
      </c>
      <c r="D91" s="1898" t="str">
        <f>IF(ISBLANK(u)," ",u)</f>
        <v xml:space="preserve"> </v>
      </c>
      <c r="F91" s="1163" t="str">
        <f>IF(ISERROR(pm_1)," ",pm_1)</f>
        <v xml:space="preserve"> </v>
      </c>
      <c r="H91" s="1163" t="str">
        <f>IF(ISERROR(pm_2)," ",pm_2)</f>
        <v xml:space="preserve"> </v>
      </c>
      <c r="I91" s="24"/>
      <c r="J91" s="1163" t="str">
        <f>IF(ISERROR(pm_3)," ",pm_3)</f>
        <v xml:space="preserve"> </v>
      </c>
      <c r="K91" s="24"/>
      <c r="L91" s="1163" t="str">
        <f>IF(ISERROR(pm_4)," ",pm_4)</f>
        <v xml:space="preserve"> </v>
      </c>
      <c r="M91" s="7"/>
      <c r="N91" s="1163" t="str">
        <f>IF(ISERROR(pm_5)," ",pm_5)</f>
        <v xml:space="preserve"> </v>
      </c>
    </row>
    <row r="92" spans="2:17" ht="18" customHeight="1">
      <c r="B92" s="2423"/>
      <c r="C92" s="2420" t="s">
        <v>532</v>
      </c>
      <c r="D92" s="2421"/>
      <c r="F92" s="544" t="str">
        <f>IF(ca_1=0," ",IF(pm_1=" "," ",pm_1/pr_1))</f>
        <v xml:space="preserve"> </v>
      </c>
      <c r="G92" s="375"/>
      <c r="H92" s="544" t="str">
        <f>IF(ca_2=0," ",IF(pm_2=" "," ",pm_2/pr_2))</f>
        <v xml:space="preserve"> </v>
      </c>
      <c r="I92" s="376"/>
      <c r="J92" s="544" t="str">
        <f>IF(ca_3=0," ",IF(pm_3=" "," ",pm_3/pr_3))</f>
        <v xml:space="preserve"> </v>
      </c>
      <c r="K92" s="376"/>
      <c r="L92" s="544" t="str">
        <f>IF(ca_4=0," ",IF(pm_4=" "," ",pm_4/pr_4))</f>
        <v xml:space="preserve"> </v>
      </c>
      <c r="M92" s="377"/>
      <c r="N92" s="544" t="str">
        <f>IF(ca_5=0," ",IF(pm_5=" "," ",pm_5/pr_5))</f>
        <v xml:space="preserve"> </v>
      </c>
    </row>
    <row r="93" spans="2:17" ht="20.100000000000001" customHeight="1"/>
    <row r="94" spans="2:17" s="232" customFormat="1" ht="21.9" customHeight="1">
      <c r="B94" s="2434" t="s">
        <v>437</v>
      </c>
      <c r="C94" s="2435"/>
      <c r="D94" s="2435"/>
      <c r="E94" s="230"/>
      <c r="F94" s="248" t="str">
        <f>IF(b_1=" "," ",IF((rp_1/b_1)&lt;0,0,rp_1/b_1))</f>
        <v xml:space="preserve"> </v>
      </c>
      <c r="G94" s="230"/>
      <c r="H94" s="248" t="str">
        <f>IF(b_2=" "," ",IF((rp_2/b_2)&lt;0,0,rp_2/b_2))</f>
        <v xml:space="preserve"> </v>
      </c>
      <c r="I94" s="249"/>
      <c r="J94" s="248" t="str">
        <f>IF(b_3=" "," ",IF((rp_3/b_3)&lt;0,0,rp_3/b_3))</f>
        <v xml:space="preserve"> </v>
      </c>
      <c r="K94" s="250"/>
      <c r="L94" s="248" t="str">
        <f>IF(b_4=" "," ",IF((rp_4/b_4)&lt;0,0,rp_4/b_4))</f>
        <v xml:space="preserve"> </v>
      </c>
      <c r="M94" s="250"/>
      <c r="N94" s="248" t="str">
        <f>IF(b_5=" "," ",IF((rp_5/b_5)&lt;0,0,rp_5/b_5))</f>
        <v xml:space="preserve"> </v>
      </c>
    </row>
    <row r="95" spans="2:17" s="232" customFormat="1" ht="20.100000000000001" customHeight="1">
      <c r="B95" s="1030" t="s">
        <v>181</v>
      </c>
      <c r="C95" s="1031"/>
      <c r="D95" s="1032" t="str">
        <f>IF(ISBLANK(u)," ",u)</f>
        <v xml:space="preserve"> </v>
      </c>
      <c r="E95" s="230"/>
      <c r="F95" s="1034" t="str">
        <f>IF(b_1=" "," ",dl_1)</f>
        <v xml:space="preserve"> </v>
      </c>
      <c r="G95" s="288" t="s">
        <v>478</v>
      </c>
      <c r="H95" s="1034" t="str">
        <f>IF(b_2=" "," ",dl_2)</f>
        <v xml:space="preserve"> </v>
      </c>
      <c r="I95" s="288"/>
      <c r="J95" s="1034" t="str">
        <f>IF(b_3=" "," ",dl_3)</f>
        <v xml:space="preserve"> </v>
      </c>
      <c r="K95" s="184"/>
      <c r="L95" s="1034" t="str">
        <f>IF(b_4=" "," ",dl_4)</f>
        <v xml:space="preserve"> </v>
      </c>
      <c r="M95" s="184"/>
      <c r="N95" s="1034" t="str">
        <f>IF(b_5=" "," ",dl_5)</f>
        <v xml:space="preserve"> </v>
      </c>
    </row>
    <row r="96" spans="2:17" s="232" customFormat="1" ht="20.100000000000001" customHeight="1">
      <c r="B96" s="2479" t="s">
        <v>479</v>
      </c>
      <c r="C96" s="2480"/>
      <c r="D96" s="1033" t="s">
        <v>0</v>
      </c>
      <c r="E96" s="230"/>
      <c r="F96" s="1035" t="str">
        <f>IF(ISERROR(dl_1/da_1)," ",dl_1/da_1)</f>
        <v xml:space="preserve"> </v>
      </c>
      <c r="H96" s="1035" t="str">
        <f>IF(ISERROR(dl_2/da_2)," ",dl_2/da_2)</f>
        <v xml:space="preserve"> </v>
      </c>
      <c r="I96" s="308"/>
      <c r="J96" s="1035" t="str">
        <f>IF(ISERROR(dl_3/da_3)," ",dl_3/da_3)</f>
        <v xml:space="preserve"> </v>
      </c>
      <c r="K96" s="309"/>
      <c r="L96" s="1035" t="str">
        <f>IF(ISERROR(dl_4/da_4)," ",dl_4/da_4)</f>
        <v xml:space="preserve"> </v>
      </c>
      <c r="M96" s="309"/>
      <c r="N96" s="1035" t="str">
        <f>IF(ISERROR(dl_5/da_5)," ",dl_5/da_5)</f>
        <v xml:space="preserve"> </v>
      </c>
    </row>
    <row r="97" spans="2:16" ht="3" customHeight="1">
      <c r="E97" s="83"/>
      <c r="F97" s="85">
        <f>IF(b_1=" ",0,IF(dl_1&gt;(da_1/2),0,dl_1-(da_1/2)))</f>
        <v>0</v>
      </c>
      <c r="G97" s="83"/>
      <c r="H97" s="85">
        <f>IF(b_2=" ",0,IF(dl_2&gt;(da_2/2),0,dl_2-(da_2/2)))</f>
        <v>0</v>
      </c>
      <c r="I97" s="83"/>
      <c r="J97" s="85">
        <f>IF(b_3=" ",0,IF(dl_3&gt;(da_3/2),0,dl_3-(da_3/2)))</f>
        <v>0</v>
      </c>
      <c r="K97" s="82"/>
      <c r="L97" s="85">
        <f>IF(b_4=" ",0,IF(dl_4&gt;(da_4/2),0,dl_4-(da_4/2)))</f>
        <v>0</v>
      </c>
      <c r="M97" s="82"/>
      <c r="N97" s="85">
        <f>IF(b_5=" ",0,IF(dl_5&gt;(da_5/2),0,dl_5-(da_5/2)))</f>
        <v>0</v>
      </c>
    </row>
    <row r="98" spans="2:16" ht="60" customHeight="1">
      <c r="C98" s="2379" t="s">
        <v>477</v>
      </c>
      <c r="D98" s="2379"/>
      <c r="F98" s="84" t="str">
        <f>IF(F97&lt;0,"Attention ! capitaux propres &lt; à la moitié du capital social"," ")</f>
        <v xml:space="preserve"> </v>
      </c>
      <c r="H98" s="84" t="str">
        <f>IF(H97&lt;0,"Attention ! capitaux propres &lt; à la moitié du capital social"," ")</f>
        <v xml:space="preserve"> </v>
      </c>
      <c r="I98" s="165"/>
      <c r="J98" s="84" t="str">
        <f>IF(J97&lt;0,"Attention ! capitaux propres &lt; à la moitié du capital social"," ")</f>
        <v xml:space="preserve"> </v>
      </c>
      <c r="L98" s="84" t="str">
        <f>IF(L97&lt;0,"Attention ! capitaux propres &lt; à la moitié du capital social"," ")</f>
        <v xml:space="preserve"> </v>
      </c>
      <c r="N98" s="84" t="str">
        <f>IF(N97&lt;0,"Attention ! capitaux propres &lt; à la moitié du capital social"," ")</f>
        <v xml:space="preserve"> </v>
      </c>
    </row>
    <row r="99" spans="2:16" s="233" customFormat="1" ht="9" customHeight="1">
      <c r="C99" s="2381" t="s">
        <v>477</v>
      </c>
      <c r="D99" s="2382"/>
      <c r="E99" s="234"/>
      <c r="F99" s="249" t="str">
        <f>IF(b_1=" "," ",100%-F94)</f>
        <v xml:space="preserve"> </v>
      </c>
      <c r="G99" s="231"/>
      <c r="H99" s="249" t="str">
        <f>IF(b_2=" "," ",100%-H94)</f>
        <v xml:space="preserve"> </v>
      </c>
      <c r="I99" s="249"/>
      <c r="J99" s="249" t="str">
        <f>IF(b_3=" "," ",100%-J94)</f>
        <v xml:space="preserve"> </v>
      </c>
      <c r="K99" s="249"/>
      <c r="L99" s="249" t="str">
        <f>IF(b_4=" "," ",100%-L94)</f>
        <v xml:space="preserve"> </v>
      </c>
      <c r="M99" s="249"/>
      <c r="N99" s="249" t="str">
        <f>IF(b_5=" "," ",100%-N94)</f>
        <v xml:space="preserve"> </v>
      </c>
    </row>
    <row r="100" spans="2:16" ht="15" customHeight="1">
      <c r="B100" s="2415" t="s">
        <v>224</v>
      </c>
      <c r="C100" s="2481" t="s">
        <v>320</v>
      </c>
      <c r="D100" s="2482"/>
      <c r="E100" s="163"/>
      <c r="F100" s="2428" t="str">
        <f>IF(ISERROR(IF(rp_1&lt;0,"Fonds propres négatifs !",(rp_1/b_1)))," ",IF(rp_1&lt;0,"Fonds propres négatifs !",rp_1/b_1))</f>
        <v xml:space="preserve"> </v>
      </c>
      <c r="G100" s="163"/>
      <c r="H100" s="2428" t="str">
        <f>IF(ISERROR(IF(rp_2&lt;0,"Fonds propres négatifs !",(rp_2/b_2)))," ",IF(rp_2&lt;0,"Fonds propres négatifs !",rp_2/b_2))</f>
        <v xml:space="preserve"> </v>
      </c>
      <c r="I100" s="163"/>
      <c r="J100" s="2428" t="str">
        <f>IF(ISERROR(IF(rp_3&lt;0,"Fonds propres négatifs !",(rp_3/b_3)))," ",IF(rp_3&lt;0,"Fonds propres négatifs !",rp_3/b_3))</f>
        <v xml:space="preserve"> </v>
      </c>
      <c r="K100" s="67"/>
      <c r="L100" s="2428" t="str">
        <f>IF(ISERROR(IF(rp_4&lt;0,"Fonds propres négatifs !",(rp_4/b_4)))," ",IF(rp_4&lt;0,"Fonds propres négatifs !",rp_4/b_4))</f>
        <v xml:space="preserve"> </v>
      </c>
      <c r="M100" s="67"/>
      <c r="N100" s="2428" t="str">
        <f>IF(ISERROR(IF(rp_5&lt;0,"Fonds propres négatifs !",(rp_5/b_5)))," ",IF(rp_5&lt;0,"Fonds propres négatifs !",rp_5/b_5))</f>
        <v xml:space="preserve"> </v>
      </c>
    </row>
    <row r="101" spans="2:16" ht="15" customHeight="1">
      <c r="B101" s="2416"/>
      <c r="C101" s="2483"/>
      <c r="D101" s="2484"/>
      <c r="E101" s="164"/>
      <c r="F101" s="2429"/>
      <c r="G101" s="164"/>
      <c r="H101" s="2429"/>
      <c r="I101" s="164"/>
      <c r="J101" s="2429"/>
      <c r="K101" s="69"/>
      <c r="L101" s="2429"/>
      <c r="M101" s="69"/>
      <c r="N101" s="2429"/>
    </row>
    <row r="102" spans="2:16" ht="3" customHeight="1">
      <c r="B102" s="63"/>
      <c r="C102" s="63"/>
      <c r="D102" s="68"/>
      <c r="F102" s="63"/>
      <c r="H102" s="63"/>
      <c r="J102" s="63"/>
      <c r="L102" s="63"/>
      <c r="N102" s="63"/>
      <c r="O102" s="62"/>
    </row>
    <row r="103" spans="2:16" ht="30" customHeight="1">
      <c r="B103" s="190"/>
      <c r="C103" s="63"/>
      <c r="D103" s="68"/>
      <c r="F103" s="307" t="str">
        <f>IF(F100&lt;20%,"Fonds propres insuffisants"," ")</f>
        <v xml:space="preserve"> </v>
      </c>
      <c r="H103" s="418" t="str">
        <f>IF(H100&lt;20%,"Fonds propres insuffisants"," ")</f>
        <v xml:space="preserve"> </v>
      </c>
      <c r="J103" s="418" t="str">
        <f>IF(J100&lt;20%,"Fonds propres insuffisants"," ")</f>
        <v xml:space="preserve"> </v>
      </c>
      <c r="L103" s="418" t="str">
        <f>IF(L100&lt;20%,"Fonds propres insuffisants"," ")</f>
        <v xml:space="preserve"> </v>
      </c>
      <c r="N103" s="418" t="str">
        <f>IF(N100&lt;20%,"Fonds propres insuffisants"," ")</f>
        <v xml:space="preserve"> </v>
      </c>
      <c r="O103" s="62"/>
    </row>
    <row r="104" spans="2:16" ht="9" customHeight="1">
      <c r="C104" s="2381" t="s">
        <v>477</v>
      </c>
      <c r="D104" s="2382"/>
    </row>
    <row r="105" spans="2:16" s="188" customFormat="1" ht="24.9" customHeight="1">
      <c r="B105" s="547" t="s">
        <v>428</v>
      </c>
      <c r="C105" s="2485" t="s">
        <v>465</v>
      </c>
      <c r="D105" s="2486"/>
      <c r="E105" s="218"/>
      <c r="F105" s="545">
        <f>IF(ISERROR(IF(rp_1&lt;0,"&gt;150%",(emp_1+encoursCB_1)/rp_1)),0,IF(rp_1&lt;0,"&gt;150%",(emp_1+encoursCB_1)/rp_1))</f>
        <v>0</v>
      </c>
      <c r="G105" s="218"/>
      <c r="H105" s="545">
        <f>IF(ISERROR(IF(rp_2&lt;0,"&gt;150%",(emp_2+encoursCB_2)/rp_2)),0,IF(rp_2&lt;0,"&gt;150%",(emp_2+encoursCB_2)/rp_2))</f>
        <v>0</v>
      </c>
      <c r="I105" s="218"/>
      <c r="J105" s="545">
        <f>IF(ISERROR(IF(rp_3&lt;0,"&gt;150%",(emp_3+encoursCB_3)/rp_3)),0,IF(rp_3&lt;0,"&gt;150%",(emp_3+encoursCB_3)/rp_3))</f>
        <v>0</v>
      </c>
      <c r="K105" s="219"/>
      <c r="L105" s="545">
        <f>IF(ISERROR(IF(rp_4&lt;0,"&gt;150%",(emp_4+encoursCB_4)/rp_4)),0,IF(rp_4&lt;0,"&gt;150%",(emp_4+encoursCB_4)/rp_4))</f>
        <v>0</v>
      </c>
      <c r="M105" s="219"/>
      <c r="N105" s="545">
        <f>IF(ISERROR(IF(rp_5&lt;0,"&gt;150%",(emp_5+encoursCB_5)/rp_5)),0,IF(rp_5&lt;0,"&gt;150%",(emp_5+encoursCB_5)/rp_5))</f>
        <v>0</v>
      </c>
      <c r="P105" s="92"/>
    </row>
    <row r="106" spans="2:16" ht="3" customHeight="1">
      <c r="B106" s="63"/>
      <c r="C106" s="63"/>
      <c r="D106" s="68"/>
      <c r="F106" s="63"/>
      <c r="H106" s="63"/>
      <c r="J106" s="63"/>
      <c r="L106" s="63"/>
      <c r="N106" s="63"/>
      <c r="O106" s="62"/>
    </row>
    <row r="107" spans="2:16" s="188" customFormat="1" ht="45" customHeight="1">
      <c r="B107" s="190"/>
      <c r="C107" s="190"/>
      <c r="D107" s="196"/>
      <c r="E107" s="190"/>
      <c r="F107" s="197" t="str">
        <f>IF(F105&lt;1," ",IF(F105=1,"Capacite d'endettement saturée",IF(F105&lt;=1.5,"Endettement supérieur aux capitaux propres","Niveau d'endettement trop élevé")))</f>
        <v xml:space="preserve"> </v>
      </c>
      <c r="G107" s="198"/>
      <c r="H107" s="417" t="str">
        <f>IF(H105&lt;1," ",IF(H105=1,"Capacite d'endettement saturée",IF(H105&lt;=1.5,"Endettement supérieur aux capitaux propres","Niveau d'endettement trop élevé")))</f>
        <v xml:space="preserve"> </v>
      </c>
      <c r="I107" s="199"/>
      <c r="J107" s="417" t="str">
        <f>IF(J105&lt;1," ",IF(J105=1,"Capacite d'endettement saturée",IF(J105&lt;=1.5,"Endettement supérieur aux capitaux propres","Niveau d'endettement trop élevé")))</f>
        <v xml:space="preserve"> </v>
      </c>
      <c r="K107" s="200"/>
      <c r="L107" s="417" t="str">
        <f>IF(L105&lt;1," ",IF(L105=1,"Capacite d'endettement saturée",IF(L105&lt;=1.5,"Endettement supérieur aux capitaux propres","Niveau d'endettement trop élevé")))</f>
        <v xml:space="preserve"> </v>
      </c>
      <c r="M107" s="200"/>
      <c r="N107" s="417" t="str">
        <f>IF(N105&lt;1," ",IF(N105=1,"Capacite d'endettement saturée",IF(N105&lt;=1.5,"Endettement supérieur aux capitaux propres","Niveau d'endettement trop élevé")))</f>
        <v xml:space="preserve"> </v>
      </c>
      <c r="O107" s="191"/>
    </row>
    <row r="108" spans="2:16" ht="9" customHeight="1">
      <c r="C108" s="2381" t="s">
        <v>477</v>
      </c>
      <c r="D108" s="2382"/>
    </row>
    <row r="109" spans="2:16" ht="24.9" customHeight="1">
      <c r="B109" s="2356" t="s">
        <v>207</v>
      </c>
      <c r="C109" s="2357"/>
      <c r="D109" s="2358"/>
      <c r="E109" s="163"/>
      <c r="F109" s="546">
        <f>IF(ISERROR(IF(emp_1=0,0,(IF(caf_1&lt;=0,"Nulle !",emp_1/caf_1)))),0,IF(emp_1=0,0,IF(caf_1&lt;=0,"Nulle !",emp_1/caf_1)))</f>
        <v>0</v>
      </c>
      <c r="G109" s="163"/>
      <c r="H109" s="546">
        <f>IF(ISERROR(IF(emp_2=0,0,(IF(caf_2&lt;=0,"Nulle !",emp_2/caf_2)))),0,IF(emp_2=0,0,IF(caf_2&lt;=0,"Nulle !",emp_2/caf_2)))</f>
        <v>0</v>
      </c>
      <c r="I109" s="163"/>
      <c r="J109" s="546">
        <f>IF(ISERROR(IF(emp_3=0,0,(IF(caf_3&lt;=0,"Nulle !",emp_3/caf_3)))),0,IF(emp_3=0,0,IF(caf_3&lt;=0,"Nulle !",emp_3/caf_3)))</f>
        <v>0</v>
      </c>
      <c r="K109" s="67"/>
      <c r="L109" s="546">
        <f>IF(ISERROR(IF(emp_4=0,0,(IF(caf_4&lt;=0,"Nulle !",emp_4/caf_4)))),0,IF(emp_4=0,0,IF(caf_4&lt;=0,"Nulle !",emp_4/caf_4)))</f>
        <v>0</v>
      </c>
      <c r="M109" s="67"/>
      <c r="N109" s="546">
        <f>IF(ISERROR(IF(emp_5=0,0,(IF(caf_5&lt;=0,"Nulle !",emp_5/caf_5)))),0,IF(emp_5=0,0,IF(caf_5&lt;=0,"Nulle !",emp_5/caf_5)))</f>
        <v>0</v>
      </c>
    </row>
    <row r="110" spans="2:16" ht="3" customHeight="1">
      <c r="B110" s="63"/>
      <c r="C110" s="63"/>
      <c r="D110" s="68"/>
      <c r="F110" s="63"/>
      <c r="H110" s="63"/>
      <c r="J110" s="63"/>
      <c r="L110" s="63"/>
      <c r="N110" s="63"/>
      <c r="O110" s="62"/>
    </row>
    <row r="111" spans="2:16" ht="45" customHeight="1">
      <c r="B111" s="63"/>
      <c r="C111" s="63"/>
      <c r="D111" s="68"/>
      <c r="F111" s="84" t="str">
        <f>IF(F109&gt;4,"Risque de difficulté de remboursement"," ")</f>
        <v xml:space="preserve"> </v>
      </c>
      <c r="G111" s="165"/>
      <c r="H111" s="416" t="str">
        <f>IF(H109&gt;4,"Risque de difficulté de remboursement"," ")</f>
        <v xml:space="preserve"> </v>
      </c>
      <c r="J111" s="416" t="str">
        <f>IF(J109&gt;4,"Risque de difficulté de remboursement"," ")</f>
        <v xml:space="preserve"> </v>
      </c>
      <c r="L111" s="416" t="str">
        <f>IF(L109&gt;4,"Risque de difficulté de remboursement"," ")</f>
        <v xml:space="preserve"> </v>
      </c>
      <c r="N111" s="416" t="str">
        <f>IF(N109&gt;4,"Risque de difficulté de remboursement"," ")</f>
        <v xml:space="preserve"> </v>
      </c>
      <c r="O111" s="62"/>
    </row>
    <row r="112" spans="2:16" ht="9" customHeight="1">
      <c r="C112" s="2381" t="s">
        <v>477</v>
      </c>
      <c r="D112" s="2382"/>
    </row>
    <row r="113" spans="2:15" ht="30" customHeight="1">
      <c r="B113" s="2359" t="s">
        <v>470</v>
      </c>
      <c r="C113" s="2360"/>
      <c r="D113" s="2361"/>
      <c r="E113" s="163"/>
      <c r="F113" s="549">
        <f>IF(ISERROR(IF(vk_1=0,0,(IF(caf_1&lt;=0,"CAF nulle !",vk_1/caf_1)))),0,IF(vk_1=0,0,IF(caf_1&lt;=0,"CAF nulle !",vk_1/caf_1)))</f>
        <v>0</v>
      </c>
      <c r="G113" s="163"/>
      <c r="H113" s="549">
        <f>IF(ISERROR(IF(vk_2=0,0,(IF(caf_2&lt;=0,"CAF nulle !",vk_2/caf_2)))),0,IF(vk_2=0,0,IF(caf_2&lt;=0,"CAF nulle !",vk_2/caf_2)))</f>
        <v>0</v>
      </c>
      <c r="I113" s="163"/>
      <c r="J113" s="549">
        <f>IF(ISERROR(IF(vk_3=0,0,(IF(caf_3&lt;=0,"CAF nulle !",vk_3/caf_3)))),0,IF(vk_3=0,0,IF(caf_3&lt;=0,"CAF nulle !",vk_3/caf_3)))</f>
        <v>0</v>
      </c>
      <c r="K113" s="67"/>
      <c r="L113" s="549">
        <f>IF(ISERROR(IF(vk_4=0,0,(IF(caf_4&lt;=0,"CAF nulle !",vk_4/caf_4)))),0,IF(vk_4=0,0,IF(caf_4&lt;=0,"CAF nulle !",vk_4/caf_4)))</f>
        <v>0</v>
      </c>
      <c r="M113" s="67"/>
      <c r="N113" s="549">
        <f>IF(ISERROR(IF(vk_5=0,0,(IF(caf_5&lt;=0,"CAF nulle !",vk_5/caf_5)))),0,IF(vk_5=0,0,IF(caf_5&lt;=0,"CAF nulle !",vk_5/caf_5)))</f>
        <v>0</v>
      </c>
    </row>
    <row r="114" spans="2:15" ht="3" customHeight="1"/>
    <row r="115" spans="2:15" ht="45" customHeight="1">
      <c r="F115" s="84" t="str">
        <f>IF(F113&gt;60%,"Risque de difficulté de remboursement"," ")</f>
        <v xml:space="preserve"> </v>
      </c>
      <c r="G115" s="165"/>
      <c r="H115" s="416" t="str">
        <f>IF(H113&gt;60%,"Risque de difficulté de remboursement"," ")</f>
        <v xml:space="preserve"> </v>
      </c>
      <c r="J115" s="416" t="str">
        <f>IF(J113&gt;60%,"Risque de difficulté de remboursement"," ")</f>
        <v xml:space="preserve"> </v>
      </c>
      <c r="L115" s="416" t="str">
        <f>IF(L113&gt;60%,"Risque de difficulté de remboursement"," ")</f>
        <v xml:space="preserve"> </v>
      </c>
      <c r="N115" s="416" t="str">
        <f>IF(N113&gt;60%,"Risque de difficulté de remboursement"," ")</f>
        <v xml:space="preserve"> </v>
      </c>
    </row>
    <row r="116" spans="2:15" ht="9" customHeight="1"/>
    <row r="117" spans="2:15" ht="30" customHeight="1">
      <c r="B117" s="551" t="s">
        <v>471</v>
      </c>
      <c r="C117" s="2439" t="s">
        <v>464</v>
      </c>
      <c r="D117" s="2440"/>
      <c r="E117" s="548"/>
      <c r="F117" s="550">
        <f>IF(ISERROR(IF(rp_1&lt;0,(emp_1-tr_1)/(rp_1*-1),(emp_1-tr_1)/rp_1)),0,IF(rp_1&lt;0,(emp_1-tr_1)/(rp_1*-1),(emp_1-tr_1)/rp_1))</f>
        <v>0</v>
      </c>
      <c r="G117" s="163"/>
      <c r="H117" s="550">
        <f>IF(ISERROR(IF(rp_2&lt;0,(emp_2-tr_2)/(rp_2*-1),(emp_2-tr_2)/rp_2)),0,IF(rp_2&lt;0,(emp_2-tr_2)/(rp_2*-1),(emp_2-tr_2)/rp_2))</f>
        <v>0</v>
      </c>
      <c r="I117" s="163"/>
      <c r="J117" s="550">
        <f>IF(ISERROR(IF(rp_3&lt;0,(emp_3-tr_3)/(rp_3*-1),(emp_3-tr_3)/rp_3)),0,IF(rp_3&lt;0,(emp_3-tr_3)/(rp_3*-1),(emp_3-tr_3)/rp_3))</f>
        <v>0</v>
      </c>
      <c r="K117" s="67"/>
      <c r="L117" s="550">
        <f>IF(ISERROR(IF(rp_4&lt;0,(emp_4-tr_4)/(rp_4*-1),(emp_4-tr_4)/rp_4)),0,IF(rp_4&lt;0,(emp_4-tr_4)/(rp_4*-1),(emp_4-tr_4)/rp_4))</f>
        <v>0</v>
      </c>
      <c r="M117" s="67"/>
      <c r="N117" s="550">
        <f>IF(ISERROR(IF(rp_5&lt;0,(emp_5-tr_5)/(rp_5*-1),(emp_5-tr_5)/rp_5)),0,IF(rp_5&lt;0,(emp_5-tr_5)/(rp_5*-1),(emp_5-tr_5)/rp_5))</f>
        <v>0</v>
      </c>
    </row>
    <row r="118" spans="2:15" s="155" customFormat="1" ht="20.100000000000001" customHeight="1">
      <c r="E118" s="156"/>
      <c r="F118" s="155" t="str">
        <f>IF(b_1=" "," ",100%-F117)</f>
        <v xml:space="preserve"> </v>
      </c>
      <c r="G118" s="156"/>
      <c r="H118" s="155" t="str">
        <f>IF(b_2=" "," ",100%-H117)</f>
        <v xml:space="preserve"> </v>
      </c>
      <c r="I118" s="156"/>
      <c r="J118" s="155" t="str">
        <f>IF(b_3=" "," ",100%-J117)</f>
        <v xml:space="preserve"> </v>
      </c>
      <c r="K118" s="154"/>
      <c r="L118" s="155" t="str">
        <f>IF(b_4=" "," ",100%-L117)</f>
        <v xml:space="preserve"> </v>
      </c>
      <c r="M118" s="154"/>
      <c r="N118" s="155" t="str">
        <f>IF(b_5=" "," ",100%-N117)</f>
        <v xml:space="preserve"> </v>
      </c>
    </row>
    <row r="119" spans="2:15" s="155" customFormat="1" ht="18" customHeight="1">
      <c r="B119" s="2408" t="s">
        <v>438</v>
      </c>
      <c r="C119" s="1164" t="s">
        <v>219</v>
      </c>
      <c r="D119" s="1168" t="str">
        <f>IF(ISBLANK(u)," ",u)</f>
        <v xml:space="preserve"> </v>
      </c>
      <c r="E119" s="156"/>
      <c r="F119" s="1172" t="str">
        <f>IF(ca_1=0," ",'Infos complémentaires'!F9+'Infos complémentaires'!F15)</f>
        <v xml:space="preserve"> </v>
      </c>
      <c r="G119" s="153"/>
      <c r="H119" s="1172" t="str">
        <f>IF(ca_2=0," ",'Infos complémentaires'!H9+'Infos complémentaires'!H15)</f>
        <v xml:space="preserve"> </v>
      </c>
      <c r="I119" s="153"/>
      <c r="J119" s="1172" t="str">
        <f>IF(ca_3=0," ",'Infos complémentaires'!J9+'Infos complémentaires'!J15)</f>
        <v xml:space="preserve"> </v>
      </c>
      <c r="K119" s="204"/>
      <c r="L119" s="1172" t="str">
        <f>IF(ca_4=0," ",'Infos complémentaires'!L9+'Infos complémentaires'!L15)</f>
        <v xml:space="preserve"> </v>
      </c>
      <c r="M119" s="204"/>
      <c r="N119" s="1172" t="str">
        <f>IF(ca_5=0," ",'Infos complémentaires'!N9+'Infos complémentaires'!N15)</f>
        <v xml:space="preserve"> </v>
      </c>
      <c r="O119" s="1052" t="str">
        <f>IF(AND(ca_5&gt;0,N119=0)," renseigner l'onglet infos complémentaires"," ")</f>
        <v xml:space="preserve"> </v>
      </c>
    </row>
    <row r="120" spans="2:15" s="155" customFormat="1" ht="18" customHeight="1">
      <c r="B120" s="2400"/>
      <c r="C120" s="1179"/>
      <c r="D120" s="1180" t="s">
        <v>362</v>
      </c>
      <c r="E120" s="201"/>
      <c r="F120" s="1176" t="str">
        <f>IF(ISERROR(IF(ca_1=0," ",F119/ca_1))," ",IF(ca_1=0," ",F119/ca_1))</f>
        <v xml:space="preserve"> </v>
      </c>
      <c r="G120" s="156"/>
      <c r="H120" s="1176" t="str">
        <f>IF(ISERROR(IF(ca_2=0," ",H119/ca_2))," ",IF(ca_2=0," ",H119/ca_2))</f>
        <v xml:space="preserve"> </v>
      </c>
      <c r="I120" s="156"/>
      <c r="J120" s="1176" t="str">
        <f>IF(ISERROR(IF(ca_3=0," ",J119/ca_3))," ",IF(ca_3=0," ",J119/ca_3))</f>
        <v xml:space="preserve"> </v>
      </c>
      <c r="K120" s="154"/>
      <c r="L120" s="1176" t="str">
        <f>IF(ISERROR(IF(ca_4=0," ",L119/ca_4))," ",IF(ca_4=0," ",L119/ca_4))</f>
        <v xml:space="preserve"> </v>
      </c>
      <c r="M120" s="154"/>
      <c r="N120" s="1176" t="str">
        <f>IF(ISERROR(IF(ca_5=0," ",N119/ca_5))," ",IF(ca_5=0," ",N119/ca_5))</f>
        <v xml:space="preserve"> </v>
      </c>
    </row>
    <row r="121" spans="2:15" s="155" customFormat="1" ht="18" customHeight="1">
      <c r="B121" s="2409" t="s">
        <v>439</v>
      </c>
      <c r="C121" s="1165" t="s">
        <v>219</v>
      </c>
      <c r="D121" s="1169" t="str">
        <f>IF(ISBLANK(u)," ",u)</f>
        <v xml:space="preserve"> </v>
      </c>
      <c r="E121" s="156"/>
      <c r="F121" s="1173" t="str">
        <f>IF(ca_1=0," ",'Infos complémentaires'!F21)</f>
        <v xml:space="preserve"> </v>
      </c>
      <c r="G121" s="153"/>
      <c r="H121" s="1173" t="str">
        <f>IF(ca_2=0," ",'Infos complémentaires'!H21)</f>
        <v xml:space="preserve"> </v>
      </c>
      <c r="I121" s="153"/>
      <c r="J121" s="1173" t="str">
        <f>IF(ca_3=0," ",'Infos complémentaires'!J21)</f>
        <v xml:space="preserve"> </v>
      </c>
      <c r="K121" s="204"/>
      <c r="L121" s="1173" t="str">
        <f>IF(ca_4=0," ",'Infos complémentaires'!L21)</f>
        <v xml:space="preserve"> </v>
      </c>
      <c r="M121" s="204"/>
      <c r="N121" s="1173" t="str">
        <f>IF(ca_5=0," ",'Infos complémentaires'!N21)</f>
        <v xml:space="preserve"> </v>
      </c>
      <c r="O121" s="1052" t="str">
        <f>IF(AND(ca_5&gt;0,N121=0)," renseigner l'onglet infos complémentaires"," ")</f>
        <v xml:space="preserve"> </v>
      </c>
    </row>
    <row r="122" spans="2:15" s="155" customFormat="1" ht="18" customHeight="1">
      <c r="B122" s="2410"/>
      <c r="C122" s="202"/>
      <c r="D122" s="1181" t="s">
        <v>362</v>
      </c>
      <c r="E122" s="156"/>
      <c r="F122" s="1177" t="str">
        <f>IF(ISERROR(IF(ca_1=0," ",F121/ca_1))," ",IF(ca_1=0," ",F121/ca_1))</f>
        <v xml:space="preserve"> </v>
      </c>
      <c r="G122" s="156"/>
      <c r="H122" s="1177" t="str">
        <f>IF(ISERROR(IF(ca_2=0," ",H121/ca_2))," ",IF(ca_2=0," ",H121/ca_2))</f>
        <v xml:space="preserve"> </v>
      </c>
      <c r="I122" s="156"/>
      <c r="J122" s="1177" t="str">
        <f>IF(ISERROR(IF(ca_3=0," ",J121/ca_3))," ",IF(ca_3=0," ",J121/ca_3))</f>
        <v xml:space="preserve"> </v>
      </c>
      <c r="K122" s="154"/>
      <c r="L122" s="1177" t="str">
        <f>IF(ISERROR(IF(ca_4=0," ",L121/ca_4))," ",IF(ca_4=0," ",L121/ca_4))</f>
        <v xml:space="preserve"> </v>
      </c>
      <c r="M122" s="154"/>
      <c r="N122" s="1177" t="str">
        <f>IF(ISERROR(IF(ca_5=0," ",N121/ca_5))," ",IF(ca_5=0," ",N121/ca_5))</f>
        <v xml:space="preserve"> </v>
      </c>
    </row>
    <row r="123" spans="2:15" s="155" customFormat="1" ht="18" customHeight="1">
      <c r="B123" s="2399" t="s">
        <v>440</v>
      </c>
      <c r="C123" s="1166" t="s">
        <v>219</v>
      </c>
      <c r="D123" s="1170" t="str">
        <f>IF(ISBLANK(u)," ",u)</f>
        <v xml:space="preserve"> </v>
      </c>
      <c r="E123" s="156"/>
      <c r="F123" s="1174" t="str">
        <f>IF(ca_1=0," ",'Infos complémentaires'!F29)</f>
        <v xml:space="preserve"> </v>
      </c>
      <c r="G123" s="153"/>
      <c r="H123" s="1174" t="str">
        <f>IF(ca_2=0," ",'Infos complémentaires'!H29)</f>
        <v xml:space="preserve"> </v>
      </c>
      <c r="I123" s="153"/>
      <c r="J123" s="1174" t="str">
        <f>IF(ca_3=0," ",'Infos complémentaires'!J29)</f>
        <v xml:space="preserve"> </v>
      </c>
      <c r="K123" s="204"/>
      <c r="L123" s="1174" t="str">
        <f>IF(ca_4=0," ",'Infos complémentaires'!L29)</f>
        <v xml:space="preserve"> </v>
      </c>
      <c r="M123" s="204"/>
      <c r="N123" s="1174" t="str">
        <f>IF(ca_5=0," ",'Infos complémentaires'!N29)</f>
        <v xml:space="preserve"> </v>
      </c>
      <c r="O123" s="1052" t="str">
        <f>IF(AND(ca_5&gt;0,N123=0)," renseigner l'onglet infos complémentaires"," ")</f>
        <v xml:space="preserve"> </v>
      </c>
    </row>
    <row r="124" spans="2:15" s="155" customFormat="1" ht="18" customHeight="1" thickBot="1">
      <c r="B124" s="2400"/>
      <c r="C124" s="203"/>
      <c r="D124" s="1180" t="s">
        <v>362</v>
      </c>
      <c r="E124" s="156"/>
      <c r="F124" s="1176" t="str">
        <f>IF(ISERROR(IF(ca_1=0," ",F123/ca_1))," ",IF(ca_1=0," ",F123/ca_1))</f>
        <v xml:space="preserve"> </v>
      </c>
      <c r="G124" s="156"/>
      <c r="H124" s="1176" t="str">
        <f>IF(ISERROR(IF(ca_2=0," ",H123/ca_2))," ",IF(ca_2=0," ",H123/ca_2))</f>
        <v xml:space="preserve"> </v>
      </c>
      <c r="I124" s="156"/>
      <c r="J124" s="1176" t="str">
        <f>IF(ISERROR(IF(ca_3=0," ",J123/ca_3))," ",IF(ca_3=0," ",J123/ca_3))</f>
        <v xml:space="preserve"> </v>
      </c>
      <c r="K124" s="154"/>
      <c r="L124" s="1176" t="str">
        <f>IF(ISERROR(IF(ca_4=0," ",L123/ca_4))," ",IF(ca_4=0," ",L123/ca_4))</f>
        <v xml:space="preserve"> </v>
      </c>
      <c r="M124" s="154"/>
      <c r="N124" s="1176" t="str">
        <f>IF(ISERROR(IF(ca_5=0," ",N123/ca_5))," ",IF(ca_5=0," ",N123/ca_5))</f>
        <v xml:space="preserve"> </v>
      </c>
    </row>
    <row r="125" spans="2:15" s="205" customFormat="1" ht="18" customHeight="1" thickTop="1">
      <c r="B125" s="2401" t="s">
        <v>441</v>
      </c>
      <c r="C125" s="1167" t="s">
        <v>219</v>
      </c>
      <c r="D125" s="1171" t="str">
        <f>IF(ISBLANK(u)," ",u)</f>
        <v xml:space="preserve"> </v>
      </c>
      <c r="E125" s="206"/>
      <c r="F125" s="1175" t="str">
        <f>IF(ca_1=0," ",'Infos complémentaires'!F31)</f>
        <v xml:space="preserve"> </v>
      </c>
      <c r="G125" s="207"/>
      <c r="H125" s="1175" t="str">
        <f>IF(ca_2=0," ",'Infos complémentaires'!H31)</f>
        <v xml:space="preserve"> </v>
      </c>
      <c r="I125" s="207"/>
      <c r="J125" s="1175" t="str">
        <f>IF(ca_3=0," ",'Infos complémentaires'!J31)</f>
        <v xml:space="preserve"> </v>
      </c>
      <c r="K125" s="208"/>
      <c r="L125" s="1175" t="str">
        <f>IF(ca_4=0," ",'Infos complémentaires'!L31)</f>
        <v xml:space="preserve"> </v>
      </c>
      <c r="M125" s="208"/>
      <c r="N125" s="1175" t="str">
        <f>IF(ca_5=0," ",'Infos complémentaires'!N31)</f>
        <v xml:space="preserve"> </v>
      </c>
      <c r="O125" s="1052" t="str">
        <f>IF(AND(ca_5&gt;0,N125=0)," renseigner l'onglet infos complémentaires"," ")</f>
        <v xml:space="preserve"> </v>
      </c>
    </row>
    <row r="126" spans="2:15" s="205" customFormat="1" ht="18" customHeight="1">
      <c r="B126" s="2402"/>
      <c r="C126" s="302"/>
      <c r="D126" s="1180" t="s">
        <v>362</v>
      </c>
      <c r="E126" s="206"/>
      <c r="F126" s="1178" t="str">
        <f>IF(ISERROR(IF(ca_1=0," ",F125/ca_1))," ",IF(ca_1=0," ",F125/ca_1))</f>
        <v xml:space="preserve"> </v>
      </c>
      <c r="G126" s="206"/>
      <c r="H126" s="1178" t="str">
        <f>IF(ISERROR(IF(ca_2=0," ",H125/ca_2))," ",IF(ca_2=0," ",H125/ca_2))</f>
        <v xml:space="preserve"> </v>
      </c>
      <c r="I126" s="206"/>
      <c r="J126" s="1178" t="str">
        <f>IF(ISERROR(IF(ca_3=0," ",J125/ca_3))," ",IF(ca_3=0," ",J125/ca_3))</f>
        <v xml:space="preserve"> </v>
      </c>
      <c r="K126" s="209"/>
      <c r="L126" s="1178" t="str">
        <f>IF(ISERROR(IF(ca_4=0," ",L125/ca_4))," ",IF(ca_4=0," ",L125/ca_4))</f>
        <v xml:space="preserve"> </v>
      </c>
      <c r="M126" s="209"/>
      <c r="N126" s="1178" t="str">
        <f>IF(ISERROR(IF(ca_5=0," ",N125/ca_5))," ",IF(ca_5=0," ",N125/ca_5))</f>
        <v xml:space="preserve"> </v>
      </c>
    </row>
    <row r="127" spans="2:15" s="205" customFormat="1" ht="24.9" customHeight="1">
      <c r="B127" s="2376" t="s">
        <v>588</v>
      </c>
      <c r="C127" s="2377"/>
      <c r="D127" s="2378"/>
      <c r="E127" s="206"/>
      <c r="F127" s="552">
        <f>IF(ISERROR(IF(ca_1=0,0,IF(OR(resultat!$H$4="N",resultat!$H$4="PS"),0,(immo_1-immo_fi_1)/(do_1+lw_1+nh_1))))," ",IF(ca_1=0,0,IF(OR(resultat!$H$4="N",resultat!$H$4="PS"),0,(immo_1-immo_fi_1)/(do_1+lw_1+nh_1))))</f>
        <v>0</v>
      </c>
      <c r="G127" s="206"/>
      <c r="H127" s="552">
        <f>IF(ISERROR(IF(ca_2=0,0,IF(OR(resultat!$H$4="N",resultat!$H$4="PS"),0,(immo_2-immo_fi_2)/(do_2+lw_2+nh_2))))," ",IF(ca_2=0,0,IF(OR(resultat!$H$4="N",resultat!$H$4="PS"),0,(immo_2-immo_fi_2)/(do_2+lw_2+nh_2))))</f>
        <v>0</v>
      </c>
      <c r="I127" s="206"/>
      <c r="J127" s="552">
        <f>IF(ISERROR(IF(ca_3=0,0,IF(OR(resultat!$H$4="N",resultat!$H$4="PS"),0,(immo_3-immo_fi_3)/(do_3+lw_3+nh_3))))," ",IF(ca_3=0,0,IF(OR(resultat!$H$4="N",resultat!$H$4="PS"),0,(immo_3-immo_fi_3)/(do_3+lw_3+nh_3))))</f>
        <v>0</v>
      </c>
      <c r="K127" s="209"/>
      <c r="L127" s="552">
        <f>IF(ISERROR(IF(ca_4=0,0,IF(OR(resultat!$H$4="N",resultat!$H$4="PS"),0,(immo_4-immo_fi_4)/(do_4+lw_4+nh_4))))," ",IF(ca_4=0,0,IF(OR(resultat!$H$4="N",resultat!$H$4="PS"),0,(immo_4-immo_fi_4)/(do_4+lw_4+nh_4))))</f>
        <v>0</v>
      </c>
      <c r="M127" s="209"/>
      <c r="N127" s="552">
        <f>IF(ISERROR(IF(ca_5=0,0,IF(OR(resultat!$H$4="N",resultat!$H$4="PS"),0,(immo_5-immo_fi_5)/(do_5+lw_5+nh_5))))," ",IF(ca_5=0,0,IF(OR(resultat!$H$4="N",resultat!$H$4="PS"),0,(immo_5-immo_fi_5)/(do_5+lw_5+nh_5))))</f>
        <v>0</v>
      </c>
    </row>
    <row r="128" spans="2:15" s="155" customFormat="1" ht="24.9" customHeight="1">
      <c r="B128" s="2403" t="s">
        <v>436</v>
      </c>
      <c r="C128" s="2404"/>
      <c r="D128" s="2405"/>
      <c r="E128" s="156"/>
      <c r="F128" s="553">
        <f>IF(ca_1=0,0,IF(OR(resultat!$H$4="N",resultat!$H$4="PS"),0,amort_1))</f>
        <v>0</v>
      </c>
      <c r="G128" s="206"/>
      <c r="H128" s="553">
        <f>IF(ca_2=0,0,IF(OR(resultat!$H$4="N",resultat!$H$4="PS"),0,amort_2))</f>
        <v>0</v>
      </c>
      <c r="I128" s="206"/>
      <c r="J128" s="553">
        <f>IF(ca_3=0,0,IF(OR(resultat!$H$4="N",resultat!$H$4="PS"),0,amort_3))</f>
        <v>0</v>
      </c>
      <c r="K128" s="209"/>
      <c r="L128" s="553">
        <f>IF(ca_4=0,0,IF(OR(resultat!$H$4="N",resultat!$H$4="PS"),0,amort_4))</f>
        <v>0</v>
      </c>
      <c r="M128" s="209"/>
      <c r="N128" s="553">
        <f>IF(ca_5=0,0,IF(OR(resultat!$H$4="N",resultat!$H$4="PS"),0,amort_5))</f>
        <v>0</v>
      </c>
    </row>
    <row r="129" spans="2:15" s="155" customFormat="1" ht="3" customHeight="1">
      <c r="E129" s="156"/>
      <c r="G129" s="156"/>
      <c r="I129" s="156"/>
      <c r="K129" s="154"/>
      <c r="M129" s="154"/>
    </row>
    <row r="130" spans="2:15" s="210" customFormat="1" ht="45" customHeight="1">
      <c r="C130" s="2379" t="s">
        <v>477</v>
      </c>
      <c r="D130" s="2380"/>
      <c r="E130" s="211"/>
      <c r="F130" s="1014" t="str">
        <f>IF(F128&gt;70%, "Outil de production vétuste"," ")</f>
        <v xml:space="preserve"> </v>
      </c>
      <c r="G130" s="305"/>
      <c r="H130" s="1014" t="str">
        <f>IF(H128&gt;70%, "Outil de production vétuste"," ")</f>
        <v xml:space="preserve"> </v>
      </c>
      <c r="I130" s="305"/>
      <c r="J130" s="1014" t="str">
        <f>IF(J128&gt;70%, "Outil de production vétuste"," ")</f>
        <v xml:space="preserve"> </v>
      </c>
      <c r="K130" s="306"/>
      <c r="L130" s="1014" t="str">
        <f>IF(L128&gt;70%, "Outil de production vétuste"," ")</f>
        <v xml:space="preserve"> </v>
      </c>
      <c r="M130" s="306"/>
      <c r="N130" s="1014" t="str">
        <f>IF(N128&gt;70%, "Outil de production vétuste"," ")</f>
        <v xml:space="preserve"> </v>
      </c>
    </row>
    <row r="131" spans="2:15" s="155" customFormat="1" ht="20.100000000000001" customHeight="1">
      <c r="E131" s="156"/>
      <c r="G131" s="156"/>
      <c r="I131" s="156"/>
      <c r="K131" s="154"/>
      <c r="M131" s="154"/>
    </row>
    <row r="132" spans="2:15" s="155" customFormat="1" ht="20.100000000000001" customHeight="1">
      <c r="E132" s="156"/>
      <c r="G132" s="156"/>
      <c r="I132" s="156"/>
      <c r="K132" s="154"/>
      <c r="M132" s="154"/>
    </row>
    <row r="133" spans="2:15" s="1220" customFormat="1" ht="21.9" customHeight="1">
      <c r="B133" s="2441" t="s">
        <v>417</v>
      </c>
      <c r="C133" s="2441"/>
      <c r="D133" s="2441"/>
      <c r="E133" s="2441"/>
      <c r="F133" s="2441"/>
      <c r="G133" s="2442"/>
      <c r="H133" s="2442"/>
      <c r="I133" s="2442"/>
      <c r="J133" s="2442"/>
      <c r="K133" s="2442"/>
      <c r="L133" s="2442"/>
      <c r="M133" s="2442"/>
      <c r="N133" s="2442"/>
    </row>
    <row r="134" spans="2:15" ht="20.100000000000001" customHeight="1">
      <c r="B134" s="2487" t="s">
        <v>706</v>
      </c>
      <c r="C134" s="555" t="s">
        <v>219</v>
      </c>
      <c r="D134" s="556" t="str">
        <f>IF(ISBLANK(u)," ",u)</f>
        <v xml:space="preserve"> </v>
      </c>
      <c r="E134" s="310"/>
      <c r="F134" s="558" t="str">
        <f>IF(ca_1=0," ",fr_1)</f>
        <v xml:space="preserve"> </v>
      </c>
      <c r="G134" s="288"/>
      <c r="H134" s="561" t="str">
        <f>IF(ca_2=0," ",fr_2)</f>
        <v xml:space="preserve"> </v>
      </c>
      <c r="I134" s="288"/>
      <c r="J134" s="561" t="str">
        <f>IF(ca_3=0," ",fr_3)</f>
        <v xml:space="preserve"> </v>
      </c>
      <c r="K134" s="184"/>
      <c r="L134" s="561" t="str">
        <f>IF(ca_4=0," ",fr_4)</f>
        <v xml:space="preserve"> </v>
      </c>
      <c r="M134" s="184"/>
      <c r="N134" s="561" t="str">
        <f>IF(ca_5=0," ",fr_5)</f>
        <v xml:space="preserve"> </v>
      </c>
      <c r="O134" s="62"/>
    </row>
    <row r="135" spans="2:15" ht="20.100000000000001" customHeight="1">
      <c r="B135" s="2396"/>
      <c r="C135" s="2446" t="s">
        <v>221</v>
      </c>
      <c r="D135" s="2447"/>
      <c r="E135" s="151"/>
      <c r="F135" s="559" t="str">
        <f>IF(ISERROR(fr_1*(du_1*30)/ca_1)," ",fr_1*(du_1*30)/ca_1)</f>
        <v xml:space="preserve"> </v>
      </c>
      <c r="G135" s="151"/>
      <c r="H135" s="559" t="str">
        <f>IF(ISERROR(fr_2*(du_2*30)/ca_2)," ",fr_2*(du_2*30)/ca_2)</f>
        <v xml:space="preserve"> </v>
      </c>
      <c r="I135" s="151"/>
      <c r="J135" s="559" t="str">
        <f>IF(ISERROR(fr_3*(du_3*30)/ca_3)," ",fr_3*(du_3*30)/ca_3)</f>
        <v xml:space="preserve"> </v>
      </c>
      <c r="K135" s="150"/>
      <c r="L135" s="559" t="str">
        <f>IF(ISERROR(fr_4*(du_4*30)/ca_4)," ",fr_4*(du_4*30)/ca_4)</f>
        <v xml:space="preserve"> </v>
      </c>
      <c r="M135" s="150"/>
      <c r="N135" s="559" t="str">
        <f>IF(ISERROR(fr_5*(du_5*30)/ca_5)," ",fr_5*(du_5*30)/ca_5)</f>
        <v xml:space="preserve"> </v>
      </c>
      <c r="O135" s="62"/>
    </row>
    <row r="136" spans="2:15" ht="20.100000000000001" customHeight="1">
      <c r="B136" s="557" t="s">
        <v>424</v>
      </c>
      <c r="C136" s="2354" t="s">
        <v>362</v>
      </c>
      <c r="D136" s="2355"/>
      <c r="E136" s="151"/>
      <c r="F136" s="1207" t="str">
        <f>IF(ISERROR(fr_1/ca_1)," ",fr_1/ca_1)</f>
        <v xml:space="preserve"> </v>
      </c>
      <c r="G136" s="151"/>
      <c r="H136" s="560" t="str">
        <f>IF(ISERROR(fr_2/ca_2)," ",fr_2/ca_2)</f>
        <v xml:space="preserve"> </v>
      </c>
      <c r="I136" s="151"/>
      <c r="J136" s="1207" t="str">
        <f>IF(ISERROR(fr_3/ca_3)," ",fr_3/ca_3)</f>
        <v xml:space="preserve"> </v>
      </c>
      <c r="K136" s="151"/>
      <c r="L136" s="1207" t="str">
        <f>IF(ISERROR(fr_4/ca_4)," ",fr_4/ca_4)</f>
        <v xml:space="preserve"> </v>
      </c>
      <c r="M136" s="151"/>
      <c r="N136" s="1207" t="str">
        <f>IF(ISERROR(fr_5/ca_5)," ",fr_5/ca_5)</f>
        <v xml:space="preserve"> </v>
      </c>
      <c r="O136" s="62"/>
    </row>
    <row r="137" spans="2:15" ht="6" customHeight="1"/>
    <row r="138" spans="2:15" s="62" customFormat="1" ht="20.100000000000001" customHeight="1">
      <c r="B138" s="63"/>
      <c r="C138" s="1056" t="s">
        <v>110</v>
      </c>
      <c r="D138" s="1055" t="s">
        <v>0</v>
      </c>
      <c r="E138" s="63"/>
      <c r="F138" s="1054" t="str">
        <f>IF(ca_1=0," ",IF(b_1=0," ",(F134/H134)-1))</f>
        <v xml:space="preserve"> </v>
      </c>
      <c r="G138" s="63"/>
      <c r="H138" s="1054" t="str">
        <f>IF(ca_2=0," ",IF(b_2=0," ",(H134/J134)-1))</f>
        <v xml:space="preserve"> </v>
      </c>
      <c r="I138" s="63"/>
      <c r="J138" s="1054" t="str">
        <f>IF(ca_3=0," ",(J134/L134)-1)</f>
        <v xml:space="preserve"> </v>
      </c>
      <c r="L138" s="1054" t="str">
        <f>IF(ca_4=0," ",(L134/N134)-1)</f>
        <v xml:space="preserve"> </v>
      </c>
      <c r="N138" s="112"/>
    </row>
    <row r="139" spans="2:15" s="86" customFormat="1" ht="15" customHeight="1">
      <c r="C139" s="2381" t="s">
        <v>477</v>
      </c>
      <c r="D139" s="2382"/>
      <c r="E139" s="83"/>
      <c r="F139" s="86" t="str">
        <f>IF(ca_1=0," ",bfre_1)</f>
        <v xml:space="preserve"> </v>
      </c>
      <c r="G139" s="83"/>
      <c r="H139" s="86" t="str">
        <f>IF(ca_2=0," ",bfre_2)</f>
        <v xml:space="preserve"> </v>
      </c>
      <c r="I139" s="83"/>
      <c r="J139" s="86" t="str">
        <f>IF(ca_3=0," ",bfre_3)</f>
        <v xml:space="preserve"> </v>
      </c>
      <c r="K139" s="82"/>
      <c r="L139" s="86" t="str">
        <f>IF(ca_4=0," ",bfre_4)</f>
        <v xml:space="preserve"> </v>
      </c>
      <c r="M139" s="82"/>
      <c r="N139" s="86" t="str">
        <f>IF(ca_5=0," ",bfre_5)</f>
        <v xml:space="preserve"> </v>
      </c>
    </row>
    <row r="140" spans="2:15" ht="20.100000000000001" customHeight="1">
      <c r="B140" s="2397" t="s">
        <v>505</v>
      </c>
      <c r="C140" s="565" t="s">
        <v>219</v>
      </c>
      <c r="D140" s="566" t="str">
        <f>IF(ISBLANK(u)," ",u)</f>
        <v xml:space="preserve"> </v>
      </c>
      <c r="E140" s="310"/>
      <c r="F140" s="562" t="str">
        <f>IF(F139=" "," ",IF(F139&lt;=0,"Pas de besoin",F139))</f>
        <v xml:space="preserve"> </v>
      </c>
      <c r="G140" s="288"/>
      <c r="H140" s="562" t="str">
        <f>IF(H139=" "," ",IF(H139&lt;=0,"Pas de besoin",H139))</f>
        <v xml:space="preserve"> </v>
      </c>
      <c r="I140" s="288"/>
      <c r="J140" s="562" t="str">
        <f>IF(J139=" "," ",IF(J139&lt;=0,"Pas de besoin",J139))</f>
        <v xml:space="preserve"> </v>
      </c>
      <c r="K140" s="184"/>
      <c r="L140" s="562" t="str">
        <f>IF(L139=" "," ",IF(L139&lt;=0,"Pas de besoin",L139))</f>
        <v xml:space="preserve"> </v>
      </c>
      <c r="M140" s="184"/>
      <c r="N140" s="562" t="str">
        <f>IF(N139=" "," ",IF(N139&lt;=0,"Pas de besoin",N139))</f>
        <v xml:space="preserve"> </v>
      </c>
      <c r="O140" s="115"/>
    </row>
    <row r="141" spans="2:15" ht="20.100000000000001" customHeight="1">
      <c r="B141" s="2398"/>
      <c r="C141" s="2368" t="s">
        <v>221</v>
      </c>
      <c r="D141" s="2369"/>
      <c r="E141" s="151"/>
      <c r="F141" s="563" t="str">
        <f>IF(ISERROR(bfre_1*(du_1*30)/ca_1)," ",bfre_1*(du_1*30)/ca_1)</f>
        <v xml:space="preserve"> </v>
      </c>
      <c r="G141" s="151"/>
      <c r="H141" s="563" t="str">
        <f>IF(ISERROR(bfre_2*(du_2*30)/ca_2)," ",bfre_2*(du_2*30)/ca_2)</f>
        <v xml:space="preserve"> </v>
      </c>
      <c r="I141" s="151"/>
      <c r="J141" s="563" t="str">
        <f>IF(ISERROR(bfre_3*(du_3*30)/ca_3)," ",bfre_3*(du_3*30)/ca_3)</f>
        <v xml:space="preserve"> </v>
      </c>
      <c r="K141" s="150"/>
      <c r="L141" s="563" t="str">
        <f>IF(ISERROR(bfre_4*(du_4*30)/ca_4)," ",bfre_4*(du_4*30)/ca_4)</f>
        <v xml:space="preserve"> </v>
      </c>
      <c r="M141" s="150"/>
      <c r="N141" s="563" t="str">
        <f>IF(ISERROR(bfre_5*(du_5*30)/ca_5)," ",bfre_5*(du_5*30)/ca_5)</f>
        <v xml:space="preserve"> </v>
      </c>
    </row>
    <row r="142" spans="2:15" ht="20.100000000000001" customHeight="1">
      <c r="B142" s="567" t="s">
        <v>416</v>
      </c>
      <c r="C142" s="2443" t="s">
        <v>362</v>
      </c>
      <c r="D142" s="2444"/>
      <c r="E142" s="151"/>
      <c r="F142" s="564" t="str">
        <f>IF(ISERROR(bfre_1/ca_1)," ",bfre_1/ca_1)</f>
        <v xml:space="preserve"> </v>
      </c>
      <c r="G142" s="554"/>
      <c r="H142" s="564" t="str">
        <f>IF(ISERROR(bfre_2/ca_2)," ",bfre_2/ca_2)</f>
        <v xml:space="preserve"> </v>
      </c>
      <c r="I142" s="554"/>
      <c r="J142" s="564" t="str">
        <f>IF(ISERROR(bfre_3/ca_3)," ",bfre_3/ca_3)</f>
        <v xml:space="preserve"> </v>
      </c>
      <c r="K142" s="373"/>
      <c r="L142" s="564" t="str">
        <f>IF(ISERROR(bfre_4/ca_4)," ",bfre_4/ca_4)</f>
        <v xml:space="preserve"> </v>
      </c>
      <c r="M142" s="373"/>
      <c r="N142" s="564" t="str">
        <f>IF(ISERROR(bfre_5/ca_5)," ",bfre_5/ca_5)</f>
        <v xml:space="preserve"> </v>
      </c>
    </row>
    <row r="143" spans="2:15" ht="6" customHeight="1"/>
    <row r="144" spans="2:15" s="62" customFormat="1" ht="20.100000000000001" customHeight="1">
      <c r="B144" s="63"/>
      <c r="C144" s="1016" t="s">
        <v>342</v>
      </c>
      <c r="D144" s="1017" t="s">
        <v>0</v>
      </c>
      <c r="E144" s="63"/>
      <c r="F144" s="1018" t="str">
        <f>IF(ISERROR(IF(ca_1=0," ",(F140/H140)-1))," ",IF(ca_1=0," ",(F140/H140)-1))</f>
        <v xml:space="preserve"> </v>
      </c>
      <c r="G144" s="63"/>
      <c r="H144" s="1018" t="str">
        <f>IF(ISERROR(IF(ca_2=0," ",(H140/J140)-1))," ",IF(ca_2=0," ",(H140/J140)-1))</f>
        <v xml:space="preserve"> </v>
      </c>
      <c r="I144" s="63"/>
      <c r="J144" s="1018" t="str">
        <f>IF(ISERROR(IF(ca_3=0," ",(J140/L140)-1))," ",IF(ca_3=0," ",(J140/L140)-1))</f>
        <v xml:space="preserve"> </v>
      </c>
      <c r="L144" s="1018" t="str">
        <f>IF(ISERROR(IF(ca_4=0," ",(L140/N140)-1))," ",IF(ca_4=0," ",(L140/N140)-1))</f>
        <v xml:space="preserve"> </v>
      </c>
      <c r="N144" s="112"/>
    </row>
    <row r="145" spans="2:16" s="62" customFormat="1" ht="20.100000000000001" customHeight="1">
      <c r="B145" s="63"/>
      <c r="C145" s="438" t="s">
        <v>341</v>
      </c>
      <c r="D145" s="225" t="s">
        <v>0</v>
      </c>
      <c r="E145" s="63"/>
      <c r="F145" s="1015" t="str">
        <f>IF(ISERROR(IF(ca_1=0," ",(ca_1/ca_2)-1))," ",IF(ca_1=0," ",(ca_1/ca_2)-1))</f>
        <v xml:space="preserve"> </v>
      </c>
      <c r="G145" s="63"/>
      <c r="H145" s="1015" t="str">
        <f>IF(ISERROR(IF(ca_2=0," ",(ca_2/ca_3)-1))," ",IF(ca_2=0," ",(ca_2/ca_3)-1))</f>
        <v xml:space="preserve"> </v>
      </c>
      <c r="I145" s="63"/>
      <c r="J145" s="1015" t="str">
        <f>IF(ISERROR(IF(ca_3=0," ",(ca_3/ca_4)-1))," ",IF(ca_3=0," ",(ca_3/ca_4)-1))</f>
        <v xml:space="preserve"> </v>
      </c>
      <c r="L145" s="1015" t="str">
        <f>IF(ISERROR(IF(ca_4=0," ",(ca_4/ca_5)-1))," ",IF(ca_4=0," ",(ca_4/ca_5)-1))</f>
        <v xml:space="preserve"> </v>
      </c>
      <c r="N145" s="113"/>
    </row>
    <row r="146" spans="2:16" s="62" customFormat="1" ht="9" customHeight="1">
      <c r="B146" s="63"/>
      <c r="C146" s="111"/>
      <c r="D146" s="226"/>
      <c r="E146" s="63"/>
      <c r="F146" s="113"/>
      <c r="G146" s="63"/>
      <c r="H146" s="113"/>
      <c r="I146" s="63"/>
      <c r="J146" s="113"/>
      <c r="L146" s="113"/>
      <c r="N146" s="113"/>
    </row>
    <row r="147" spans="2:16" s="62" customFormat="1" ht="69.900000000000006" customHeight="1">
      <c r="C147" s="111"/>
      <c r="D147" s="226"/>
      <c r="E147" s="63"/>
      <c r="F147" s="166" t="str">
        <f>IF(b_1=0," ",IF(F144&gt;F145,"Le BFRE augmente plus vite ou diminue moins vite que le chiffre d'affaires"," "))</f>
        <v xml:space="preserve"> </v>
      </c>
      <c r="G147" s="167"/>
      <c r="H147" s="166" t="str">
        <f>IF(H144&gt;H145,"Le BFRE augmente plus vite ou diminue moins vite que le chiffre d'affaires"," ")</f>
        <v xml:space="preserve"> </v>
      </c>
      <c r="I147" s="63"/>
      <c r="J147" s="2438" t="str">
        <f>IF(J144&gt;J145,"Le BFRE augmente plus vite ou diminue moins vite que le chiffre d'affaires"," ")</f>
        <v xml:space="preserve"> </v>
      </c>
      <c r="L147" s="2438" t="str">
        <f>IF(L144&gt;L145,"Le BFRE augmente plus vite ou diminue moins vite que le chiffre d'affaires"," ")</f>
        <v xml:space="preserve"> </v>
      </c>
      <c r="N147" s="113"/>
    </row>
    <row r="148" spans="2:16" s="86" customFormat="1" ht="15" customHeight="1">
      <c r="D148" s="87"/>
      <c r="E148" s="83"/>
      <c r="F148" s="86" t="str">
        <f>IF(ca_1=0," ",bfr_1)</f>
        <v xml:space="preserve"> </v>
      </c>
      <c r="G148" s="83"/>
      <c r="H148" s="86" t="str">
        <f>IF(ca_2=0," ",bfr_2)</f>
        <v xml:space="preserve"> </v>
      </c>
      <c r="I148" s="83"/>
      <c r="J148" s="86" t="str">
        <f>IF(ca_3=0," ",bfr_3)</f>
        <v xml:space="preserve"> </v>
      </c>
      <c r="K148" s="82"/>
      <c r="L148" s="86" t="str">
        <f>IF(ca_4=0," ",bfr_4)</f>
        <v xml:space="preserve"> </v>
      </c>
      <c r="M148" s="82"/>
      <c r="N148" s="86" t="str">
        <f>IF(ca_5=0," ",bfr_5)</f>
        <v xml:space="preserve"> </v>
      </c>
    </row>
    <row r="149" spans="2:16" ht="20.100000000000001" customHeight="1">
      <c r="B149" s="2424" t="s">
        <v>615</v>
      </c>
      <c r="C149" s="568" t="s">
        <v>219</v>
      </c>
      <c r="D149" s="569" t="str">
        <f>IF(ISBLANK(u)," ",u)</f>
        <v xml:space="preserve"> </v>
      </c>
      <c r="E149" s="310"/>
      <c r="F149" s="573" t="str">
        <f>IF(b_1=0," ",IF(F148=" "," ",IF(F148&lt;=0,"Pas de besoin",F148)))</f>
        <v xml:space="preserve"> </v>
      </c>
      <c r="G149" s="288"/>
      <c r="H149" s="573" t="str">
        <f>IF(H148=" "," ",IF(H148&lt;=0,"Pas de besoin",H148))</f>
        <v xml:space="preserve"> </v>
      </c>
      <c r="I149" s="288"/>
      <c r="J149" s="573" t="str">
        <f>IF(J148=" "," ",IF(J148&lt;=0,"Pas de besoin",J148))</f>
        <v xml:space="preserve"> </v>
      </c>
      <c r="K149" s="184"/>
      <c r="L149" s="573" t="str">
        <f>IF(L148=" "," ",IF(L148&lt;=0,"Pas de besoin",L148))</f>
        <v xml:space="preserve"> </v>
      </c>
      <c r="M149" s="184"/>
      <c r="N149" s="573" t="str">
        <f>IF(N148=" "," ",IF(N148&lt;=0,"Pas de besoin",N148))</f>
        <v xml:space="preserve"> </v>
      </c>
    </row>
    <row r="150" spans="2:16" ht="20.100000000000001" customHeight="1">
      <c r="B150" s="2425"/>
      <c r="C150" s="2490" t="s">
        <v>221</v>
      </c>
      <c r="D150" s="2491"/>
      <c r="E150" s="151"/>
      <c r="F150" s="571" t="str">
        <f>IF(ISERROR(bfr_1*(du_1*30)/ca_1)," ",bfr_1*(du_1*30)/ca_1)</f>
        <v xml:space="preserve"> </v>
      </c>
      <c r="G150" s="151"/>
      <c r="H150" s="571" t="str">
        <f>IF(ISERROR(bfr_2*(du_2*30)/ca_2)," ",bfr_2*(du_2*30)/ca_2)</f>
        <v xml:space="preserve"> </v>
      </c>
      <c r="I150" s="151"/>
      <c r="J150" s="571" t="str">
        <f>IF(ISERROR(bfr_3*(du_3*30)/ca_3)," ",bfr_3*(du_3*30)/ca_3)</f>
        <v xml:space="preserve"> </v>
      </c>
      <c r="K150" s="150"/>
      <c r="L150" s="571" t="str">
        <f>IF(ISERROR(bfr_4*(du_4*30)/ca_4)," ",bfr_4*(du_4*30)/ca_4)</f>
        <v xml:space="preserve"> </v>
      </c>
      <c r="M150" s="150"/>
      <c r="N150" s="571" t="str">
        <f>IF(ISERROR(bfr_5*(du_5*30)/ca_5)," ",bfr_5*(du_5*30)/ca_5)</f>
        <v xml:space="preserve"> </v>
      </c>
    </row>
    <row r="151" spans="2:16" ht="20.100000000000001" customHeight="1">
      <c r="B151" s="570" t="s">
        <v>426</v>
      </c>
      <c r="C151" s="2393" t="s">
        <v>362</v>
      </c>
      <c r="D151" s="2394"/>
      <c r="E151" s="151"/>
      <c r="F151" s="572" t="str">
        <f>IF(ISERROR(bfr_1/ca_1)," ",bfr_1/ca_1)</f>
        <v xml:space="preserve"> </v>
      </c>
      <c r="G151" s="151"/>
      <c r="H151" s="572" t="str">
        <f>IF(ISERROR(bfr_2/ca_2)," ",bfr_2/ca_2)</f>
        <v xml:space="preserve"> </v>
      </c>
      <c r="I151" s="151"/>
      <c r="J151" s="572" t="str">
        <f>IF(ISERROR(bfr_3/ca_3)," ",bfr_3/ca_3)</f>
        <v xml:space="preserve"> </v>
      </c>
      <c r="K151" s="150"/>
      <c r="L151" s="572" t="str">
        <f>IF(ISERROR(bfr_4/ca_4)," ",bfr_4/ca_4)</f>
        <v xml:space="preserve"> </v>
      </c>
      <c r="M151" s="150"/>
      <c r="N151" s="572" t="str">
        <f>IF(ISERROR(bfr_5/ca_5)," ",bfr_5/ca_5)</f>
        <v xml:space="preserve"> </v>
      </c>
    </row>
    <row r="152" spans="2:16" ht="15" customHeight="1">
      <c r="C152" s="2381" t="s">
        <v>477</v>
      </c>
      <c r="D152" s="2382"/>
    </row>
    <row r="153" spans="2:16" ht="20.100000000000001" customHeight="1">
      <c r="C153" s="2391" t="s">
        <v>223</v>
      </c>
      <c r="D153" s="2392"/>
      <c r="F153" s="1019" t="str">
        <f>IF(ca_1=0," ",IF(b_1=0," ",IF(fr_1=0,0,IF(bfr_1&lt;0," ",IF(fr_1&lt;0,0,fr_1/bfr_1)))))</f>
        <v xml:space="preserve"> </v>
      </c>
      <c r="H153" s="1019" t="str">
        <f>IF(ca_2=0," ",IF(fr_2=0,0,IF(bfr_2&lt;0," ",IF(fr_2&lt;0,0,fr_2/bfr_2))))</f>
        <v xml:space="preserve"> </v>
      </c>
      <c r="J153" s="1019" t="str">
        <f>IF(ca_3=0," ",IF(fr_3=0,0,IF(bfr_3&lt;0," ",IF(fr_3&lt;0,0,fr_3/bfr_3))))</f>
        <v xml:space="preserve"> </v>
      </c>
      <c r="L153" s="1019" t="str">
        <f>IF(ca_4=0," ",IF(fr_4=0,0,IF(bfr_4&lt;0," ",IF(fr_4&lt;0,0,fr_4/bfr_4))))</f>
        <v xml:space="preserve"> </v>
      </c>
      <c r="N153" s="1019" t="str">
        <f>IF(ca_5=0," ",IF(fr_5=0,0,IF(bfr_5&lt;0," ",IF(fr_5&lt;0,0,fr_5/bfr_5))))</f>
        <v xml:space="preserve"> </v>
      </c>
    </row>
    <row r="154" spans="2:16" s="62" customFormat="1" ht="3" customHeight="1">
      <c r="D154" s="61"/>
      <c r="E154" s="63"/>
      <c r="F154" s="88"/>
      <c r="G154" s="63"/>
      <c r="H154" s="88"/>
      <c r="I154" s="63"/>
      <c r="J154" s="88"/>
      <c r="L154" s="88"/>
      <c r="N154" s="88"/>
      <c r="P154" s="56"/>
    </row>
    <row r="155" spans="2:16" s="62" customFormat="1" ht="45" customHeight="1">
      <c r="C155" s="2383"/>
      <c r="D155" s="2384"/>
      <c r="E155" s="63"/>
      <c r="F155" s="418" t="str">
        <f>IF(F153&lt;=33%,"Situation financière très fragile",IF(F153&lt;50%,"Couverture insuffisante"," "))</f>
        <v xml:space="preserve"> </v>
      </c>
      <c r="G155" s="63"/>
      <c r="H155" s="418" t="str">
        <f>IF(H153&lt;=33%,"Situation financière très fragile",IF(H153&lt;50%,"Couverture insuffisante"," "))</f>
        <v xml:space="preserve"> </v>
      </c>
      <c r="I155" s="63"/>
      <c r="J155" s="418" t="str">
        <f>IF(J153&lt;=33%,"Situation financière très fragile",IF(J153&lt;50%,"Couverture insuffisante"," "))</f>
        <v xml:space="preserve"> </v>
      </c>
      <c r="L155" s="418" t="str">
        <f>IF(L153&lt;=33%,"Situation financière très fragile",IF(L153&lt;50%,"Couverture insuffisante"," "))</f>
        <v xml:space="preserve"> </v>
      </c>
      <c r="N155" s="418" t="str">
        <f>IF(N153&lt;=33%,"Situation financière très fragile",IF(N153&lt;50%,"Couverture insuffisante"," "))</f>
        <v xml:space="preserve"> </v>
      </c>
    </row>
    <row r="156" spans="2:16" ht="9" customHeight="1"/>
    <row r="157" spans="2:16" ht="20.100000000000001" customHeight="1">
      <c r="B157" s="2395" t="s">
        <v>209</v>
      </c>
      <c r="C157" s="574" t="s">
        <v>219</v>
      </c>
      <c r="D157" s="575" t="str">
        <f>IF(ISBLANK(u)," ",u)</f>
        <v xml:space="preserve"> </v>
      </c>
      <c r="E157" s="310"/>
      <c r="F157" s="577" t="str">
        <f>IF(ca_1=0," ",tr_1)</f>
        <v xml:space="preserve"> </v>
      </c>
      <c r="G157" s="288"/>
      <c r="H157" s="577" t="str">
        <f>IF(ca_2=0," ",tr_2)</f>
        <v xml:space="preserve"> </v>
      </c>
      <c r="I157" s="288"/>
      <c r="J157" s="577" t="str">
        <f>IF(ca_3=0," ",tr_3)</f>
        <v xml:space="preserve"> </v>
      </c>
      <c r="K157" s="184"/>
      <c r="L157" s="577" t="str">
        <f>IF(ca_4=0," ",tr_4)</f>
        <v xml:space="preserve"> </v>
      </c>
      <c r="M157" s="184"/>
      <c r="N157" s="577" t="str">
        <f>IF(ca_5=0," ",tr_5)</f>
        <v xml:space="preserve"> </v>
      </c>
      <c r="O157" s="186"/>
    </row>
    <row r="158" spans="2:16" ht="20.100000000000001" customHeight="1">
      <c r="B158" s="2396"/>
      <c r="C158" s="2488" t="s">
        <v>221</v>
      </c>
      <c r="D158" s="2489"/>
      <c r="E158" s="151"/>
      <c r="F158" s="578" t="str">
        <f>IF(ISERROR(tr_1*(du_1*30)/ca_1)," ",tr_1*(du_1*30)/ca_1)</f>
        <v xml:space="preserve"> </v>
      </c>
      <c r="G158" s="151"/>
      <c r="H158" s="578" t="str">
        <f>IF(ISERROR(tr_2*(du_2*30)/ca_2)," ",tr_2*(du_2*30)/ca_2)</f>
        <v xml:space="preserve"> </v>
      </c>
      <c r="I158" s="151"/>
      <c r="J158" s="578" t="str">
        <f>IF(ISERROR(tr_3*(du_3*30)/ca_3)," ",tr_3*(du_3*30)/ca_3)</f>
        <v xml:space="preserve"> </v>
      </c>
      <c r="K158" s="150"/>
      <c r="L158" s="578" t="str">
        <f>IF(ISERROR(tr_4*(du_4*30)/ca_4)," ",tr_4*(du_4*30)/ca_4)</f>
        <v xml:space="preserve"> </v>
      </c>
      <c r="M158" s="150"/>
      <c r="N158" s="578" t="str">
        <f>IF(ISERROR(tr_5*(du_5*30)/ca_5)," ",tr_5*(du_5*30)/ca_5)</f>
        <v xml:space="preserve"> </v>
      </c>
      <c r="O158" s="62"/>
    </row>
    <row r="159" spans="2:16" ht="20.100000000000001" customHeight="1">
      <c r="B159" s="576" t="s">
        <v>427</v>
      </c>
      <c r="C159" s="2389" t="s">
        <v>362</v>
      </c>
      <c r="D159" s="2390"/>
      <c r="E159" s="151"/>
      <c r="F159" s="579" t="str">
        <f>IF(ISERROR(tr_1/ca_1)," ",tr_1/ca_1)</f>
        <v xml:space="preserve"> </v>
      </c>
      <c r="G159" s="151"/>
      <c r="H159" s="579" t="str">
        <f>IF(ISERROR(tr_2/ca_2)," ",tr_2/ca_2)</f>
        <v xml:space="preserve"> </v>
      </c>
      <c r="I159" s="151"/>
      <c r="J159" s="579" t="str">
        <f>IF(ISERROR(tr_3/ca_3)," ",tr_3/ca_3)</f>
        <v xml:space="preserve"> </v>
      </c>
      <c r="K159" s="150"/>
      <c r="L159" s="579" t="str">
        <f>IF(ISERROR(tr_4/ca_4)," ",tr_4/ca_4)</f>
        <v xml:space="preserve"> </v>
      </c>
      <c r="M159" s="150"/>
      <c r="N159" s="579" t="str">
        <f>IF(ISERROR(tr_5/ca_5)," ",tr_5/ca_5)</f>
        <v xml:space="preserve"> </v>
      </c>
      <c r="O159" s="62"/>
    </row>
    <row r="160" spans="2:16" ht="15" customHeight="1">
      <c r="C160" s="2381" t="s">
        <v>477</v>
      </c>
      <c r="D160" s="2382"/>
    </row>
    <row r="161" spans="2:15" ht="20.100000000000001" customHeight="1">
      <c r="C161" s="2391" t="s">
        <v>208</v>
      </c>
      <c r="D161" s="2445"/>
      <c r="F161" s="1020">
        <f>IF(ISERROR(IF(tr_1&gt;0,0,IF(bfr_1&lt;=0,0,tr_1*-1/bfr_1))),0,IF(tr_1&gt;0,0,IF(bfr_1&lt;=0,0,tr_1*-1/bfr_1)))</f>
        <v>0</v>
      </c>
      <c r="H161" s="1020">
        <f>IF(ISERROR(IF(tr_2&gt;0,0,IF(bfr_2&lt;=0,0,tr_2*-1/bfr_2))),0,IF(tr_2&gt;0,0,IF(bfr_2&lt;=0,0,tr_2*-1/bfr_2)))</f>
        <v>0</v>
      </c>
      <c r="J161" s="1020">
        <f>IF(ISERROR(IF(tr_3&gt;0,0,IF(bfr_3&lt;=0,0,tr_3*-1/bfr_3))),0,IF(tr_3&gt;0,0,IF(bfr_3&lt;=0,0,tr_3*-1/bfr_3)))</f>
        <v>0</v>
      </c>
      <c r="L161" s="1020">
        <f>IF(ISERROR(IF(tr_4&gt;0,0,IF(bfr_4&lt;=0,0,tr_4*-1/bfr_4))),0,IF(tr_4&gt;0,0,IF(bfr_4&lt;=0,0,tr_4*-1/bfr_4)))</f>
        <v>0</v>
      </c>
      <c r="N161" s="1020">
        <f>IF(ISERROR(IF(tr_5&gt;0,0,IF(bfr_5&lt;=0,0,tr_5*-1/bfr_5))),0,IF(tr_5&gt;0,0,IF(bfr_5&lt;=0,0,tr_5*-1/bfr_5)))</f>
        <v>0</v>
      </c>
    </row>
    <row r="162" spans="2:15" ht="3" customHeight="1"/>
    <row r="163" spans="2:15" ht="45" customHeight="1">
      <c r="B163" s="62"/>
      <c r="F163" s="418" t="str">
        <f>IF(F161=0," ",IF(F161&lt;50%," ",IF(F161&lt;67%,"Concours bancaires importants",IF(F161&gt;=67%,"Concours bancaires trop importants"," "))))</f>
        <v xml:space="preserve"> </v>
      </c>
      <c r="H163" s="418" t="str">
        <f>IF(H161=0," ",IF(H161&lt;50%," ",IF(H161&lt;67%,"Concours bancaires importants",IF(H161&gt;=67%,"Concours bancaires trop importants"," "))))</f>
        <v xml:space="preserve"> </v>
      </c>
      <c r="J163" s="418" t="str">
        <f>IF(J161=0," ",IF(J161&lt;50%," ",IF(J161&lt;67%,"Concours bancaires importants",IF(J161&gt;=67%,"Concours bancaires trop importants"," "))))</f>
        <v xml:space="preserve"> </v>
      </c>
      <c r="L163" s="418" t="str">
        <f>IF(L161=0," ",IF(L161&lt;50%," ",IF(L161&lt;67%,"Concours bancaires importants",IF(L161&gt;=67%,"Concours bancaires trop importants"," "))))</f>
        <v xml:space="preserve"> </v>
      </c>
      <c r="N163" s="418" t="str">
        <f>IF(N161=0," ",IF(N161&lt;50%," ",IF(N161&lt;67%,"Concours bancaires importants",IF(N161&gt;=67%,"Concours bancaires trop importants"," "))))</f>
        <v xml:space="preserve"> </v>
      </c>
    </row>
    <row r="164" spans="2:15" ht="12" customHeight="1">
      <c r="C164" s="2381" t="s">
        <v>477</v>
      </c>
      <c r="D164" s="2381"/>
    </row>
    <row r="165" spans="2:15" ht="20.100000000000001" customHeight="1">
      <c r="C165" s="2391" t="s">
        <v>286</v>
      </c>
      <c r="D165" s="2445"/>
      <c r="F165" s="1057">
        <f>IF(ISERROR(IF(ca_1=0,0,IF(tr_1&gt;0,0,(tr_1*-1)/clt_brut_1))),0,IF(ca_1=0,0,IF(tr_1&gt;0,0,(tr_1*-1)/clt_brut_1)))</f>
        <v>0</v>
      </c>
      <c r="H165" s="1057">
        <f>IF(ISERROR(IF(ca_2=0,0,IF(tr_2&gt;0,0,(tr_2*-1)/clt_brut_2))),0,IF(ca_2=0,0,IF(tr_2&gt;0,0,(tr_2*-1)/clt_brut_2)))</f>
        <v>0</v>
      </c>
      <c r="J165" s="1057">
        <f>IF(ISERROR(IF(ca_3=0,0,IF(tr_3&gt;0,0,(tr_3*-1)/clt_brut_3))),0,IF(ca_3=0,0,IF(tr_3&gt;0,0,(tr_3*-1)/clt_brut_3)))</f>
        <v>0</v>
      </c>
      <c r="L165" s="1057">
        <f>IF(ISERROR(IF(ca_4=0,0,IF(tr_4&gt;0,0,(tr_4*-1)/clt_brut_4))),0,IF(ca_4=0,0,IF(tr_4&gt;0,0,(tr_4*-1)/clt_brut_4)))</f>
        <v>0</v>
      </c>
      <c r="N165" s="1057">
        <f>IF(ISERROR(IF(ca_5=0,0,IF(tr_5&gt;0,0,(tr_5*-1)/clt_brut_5))),0,IF(ca_5=0,0,IF(tr_5&gt;0,0,(tr_5*-1)/clt_brut_5)))</f>
        <v>0</v>
      </c>
    </row>
    <row r="166" spans="2:15" ht="3" customHeight="1"/>
    <row r="167" spans="2:15" ht="30" customHeight="1">
      <c r="F167" s="1182" t="str">
        <f>IF(F165=0," ",IF(F165&gt;=60%, "Vulnérabilité importante"," "))</f>
        <v xml:space="preserve"> </v>
      </c>
      <c r="H167" s="1182" t="str">
        <f>IF(H165=0," ",IF(H165&gt;=60%, "Vulnérabilité importante"," "))</f>
        <v xml:space="preserve"> </v>
      </c>
      <c r="J167" s="1182" t="str">
        <f>IF(J165=0," ",IF(J165&gt;=60%, "Vulnérabilité importante"," "))</f>
        <v xml:space="preserve"> </v>
      </c>
      <c r="L167" s="1182" t="str">
        <f>IF(L165=0," ",IF(L165&gt;=60%, "Vulnérabilité importante"," "))</f>
        <v xml:space="preserve"> </v>
      </c>
      <c r="N167" s="1182" t="str">
        <f>IF(N165=0," ",IF(N165&gt;=60%, "Vulnérabilité importante"," "))</f>
        <v xml:space="preserve"> </v>
      </c>
    </row>
    <row r="168" spans="2:15" ht="9" customHeight="1">
      <c r="C168" s="2381" t="s">
        <v>477</v>
      </c>
      <c r="D168" s="2382"/>
      <c r="F168" s="276">
        <f>IF(F169=" ",0,IF((F169-H169)&lt;0,(clt_brut_1*-1)*(F169-H169)/F169,(clt_brut_1*-1)*(F169-H169)/F169))</f>
        <v>0</v>
      </c>
      <c r="G168" s="190"/>
      <c r="H168" s="276">
        <f>IF(H169=" ",0,IF((H169-J169)&lt;0,(clt_brut_2*-1)*(H169-J169)/H169,(clt_brut_2*-1)*(H169-J169)/H169))</f>
        <v>0</v>
      </c>
      <c r="I168" s="190"/>
      <c r="J168" s="276">
        <f>IF(J169=" ",0,IF((J169-L169)&lt;0,(clt_brut_3*-1)*(J169-L169)/J169,(clt_brut_3*-1)*(J169-L169)/J169))</f>
        <v>0</v>
      </c>
      <c r="K168" s="191"/>
      <c r="L168" s="276">
        <f>IF(L169=" ",0,IF((L169-N169)&lt;0,(clt_brut_4*-1)*(L169-N169)/L169,(clt_brut_4*-1)*(L169-N169)/L169))</f>
        <v>0</v>
      </c>
      <c r="M168" s="191"/>
      <c r="N168" s="188"/>
    </row>
    <row r="169" spans="2:15" s="86" customFormat="1" ht="20.100000000000001" customHeight="1">
      <c r="B169" s="2449" t="s">
        <v>245</v>
      </c>
      <c r="C169" s="2476"/>
      <c r="D169" s="2477"/>
      <c r="E169" s="83"/>
      <c r="F169" s="580" t="str">
        <f>IF(ISERROR(clt_brut_1*(du_1*30)/(ca_1+tvac_1+tvac_1b))," ",clt_brut_1*(du_1*30)/(ca_1+tvac_1+tvac_1b))</f>
        <v xml:space="preserve"> </v>
      </c>
      <c r="G169" s="83"/>
      <c r="H169" s="580" t="str">
        <f>IF(ISERROR(clt_brut_2*(du_2*30)/(ca_2+tvac_2+tvac_2b))," ",clt_brut_2*(du_2*30)/(ca_2+tvac_2+tvac_2b))</f>
        <v xml:space="preserve"> </v>
      </c>
      <c r="I169" s="83"/>
      <c r="J169" s="580" t="str">
        <f>IF(ISERROR(clt_brut_3*(du_3*30)/(ca_3+tvac_3+tvac_3b))," ",clt_brut_3*(du_3*30)/(ca_3+tvac_3+tvac_3b))</f>
        <v xml:space="preserve"> </v>
      </c>
      <c r="K169" s="82"/>
      <c r="L169" s="580" t="str">
        <f>IF(ISERROR(clt_brut_4*(du_4*30)/(ca_4+tvac_4+tvac_4b))," ",clt_brut_4*(du_4*30)/(ca_4+tvac_4+tvac_4b))</f>
        <v xml:space="preserve"> </v>
      </c>
      <c r="M169" s="82"/>
      <c r="N169" s="580" t="str">
        <f>IF(ISERROR(clt_brut_5*(du_5*30)/(ca_5+tvac_5+tvac_5b))," ",clt_brut_5*(du_5*30)/(ca_5+tvac_5+tvac_5b))</f>
        <v xml:space="preserve"> </v>
      </c>
      <c r="O169" s="82"/>
    </row>
    <row r="170" spans="2:15" s="86" customFormat="1" ht="30" customHeight="1">
      <c r="B170" s="2344" t="s">
        <v>486</v>
      </c>
      <c r="C170" s="2345"/>
      <c r="D170" s="2492"/>
      <c r="E170" s="153"/>
      <c r="F170" s="581" t="str">
        <f>IF(F169=0," ",IF(F171&gt;0,"Gain de trésorerie",IF(F171&lt;0,"Perte de trésorerie"," ")))</f>
        <v>Gain de trésorerie</v>
      </c>
      <c r="G170" s="153"/>
      <c r="H170" s="581" t="str">
        <f>IF(H169=0," ",IF(H171&gt;0,"Gain de trésorerie",IF(H171&lt;0,"Perte de trésorerie"," ")))</f>
        <v>Gain de trésorerie</v>
      </c>
      <c r="I170" s="153"/>
      <c r="J170" s="581" t="str">
        <f>IF(J169=0," ",IF(J171&gt;0,"Gain de trésorerie",IF(J171&lt;0,"Perte de trésorerie"," ")))</f>
        <v>Gain de trésorerie</v>
      </c>
      <c r="K170" s="152"/>
      <c r="L170" s="581" t="str">
        <f>IF(L169=0," ",IF(L171&gt;0,"Gain de trésorerie",IF(L171&lt;0,"Perte de trésorerie"," ")))</f>
        <v>Gain de trésorerie</v>
      </c>
      <c r="M170" s="152"/>
      <c r="N170" s="2459"/>
      <c r="O170" s="82"/>
    </row>
    <row r="171" spans="2:15" s="86" customFormat="1" ht="20.100000000000001" customHeight="1">
      <c r="B171" s="2347"/>
      <c r="C171" s="2348"/>
      <c r="D171" s="2493"/>
      <c r="E171" s="83"/>
      <c r="F171" s="582" t="b">
        <f>IF(F169=0," ",IF(u="K€",F168,IF(u="€",F168/1000)))</f>
        <v>0</v>
      </c>
      <c r="G171" s="83"/>
      <c r="H171" s="582" t="b">
        <f>IF(H169=0," ",IF(u="K€",H168,IF(u="€",H168/1000)))</f>
        <v>0</v>
      </c>
      <c r="I171" s="83"/>
      <c r="J171" s="582" t="b">
        <f>IF(J169=0," ",IF(u="K€",J168,IF(u="€",J168/1000)))</f>
        <v>0</v>
      </c>
      <c r="K171" s="82"/>
      <c r="L171" s="582" t="b">
        <f>IF(L169=0," ",IF(u="K€",L168,IF(u="€",L168/1000)))</f>
        <v>0</v>
      </c>
      <c r="M171" s="82"/>
      <c r="N171" s="2460"/>
    </row>
    <row r="172" spans="2:15" s="62" customFormat="1" ht="6" customHeight="1">
      <c r="B172" s="89"/>
      <c r="C172" s="89"/>
      <c r="D172" s="227"/>
      <c r="E172" s="63"/>
      <c r="F172" s="90"/>
      <c r="G172" s="63"/>
      <c r="H172" s="90"/>
      <c r="I172" s="63"/>
      <c r="J172" s="90"/>
      <c r="L172" s="90"/>
      <c r="N172" s="90"/>
    </row>
    <row r="173" spans="2:15" ht="20.100000000000001" customHeight="1">
      <c r="D173" s="1059" t="s">
        <v>174</v>
      </c>
      <c r="F173" s="1060"/>
      <c r="H173" s="1060"/>
      <c r="J173" s="1060"/>
      <c r="L173" s="1060"/>
      <c r="N173" s="1060"/>
    </row>
    <row r="174" spans="2:15" ht="3" customHeight="1">
      <c r="D174" s="222"/>
      <c r="F174" s="75"/>
      <c r="H174" s="75"/>
      <c r="J174" s="75"/>
      <c r="L174" s="75"/>
      <c r="N174" s="75"/>
    </row>
    <row r="175" spans="2:15" ht="15" customHeight="1">
      <c r="D175" s="1061" t="s">
        <v>287</v>
      </c>
      <c r="F175" s="1058" t="str">
        <f>IF(ISBLANK(F173)," ",IF(F169&lt;(0.99*F173),"Favorable",IF(F169&gt;(F173*1.01),"Défavorable","Correct ")))</f>
        <v xml:space="preserve"> </v>
      </c>
      <c r="H175" s="1058" t="str">
        <f>IF(ISBLANK(H173)," ",IF(H169&lt;(0.99*H173),"Favorable",IF(H169&gt;(H173*1.01),"Défavorable","Correct ")))</f>
        <v xml:space="preserve"> </v>
      </c>
      <c r="J175" s="1058" t="str">
        <f>IF(ISBLANK(J173)," ",IF(J169&lt;(0.99*J173),"Favorable",IF(J169&gt;(J173*1.01),"Défavorable","Correct ")))</f>
        <v xml:space="preserve"> </v>
      </c>
      <c r="L175" s="1058" t="str">
        <f>IF(ISBLANK(L173)," ",IF(L169&lt;(0.99*L173),"Favorable",IF(L169&gt;(L173*1.01),"Défavorable","Correct ")))</f>
        <v xml:space="preserve"> </v>
      </c>
      <c r="N175" s="1058" t="str">
        <f>IF(ISBLANK(N173)," ",IF(N169&lt;(0.99*N173),"Favorable",IF(N169&gt;(N173*1.01),"Défavorable","Correct ")))</f>
        <v xml:space="preserve"> </v>
      </c>
    </row>
    <row r="176" spans="2:15" ht="15" customHeight="1">
      <c r="C176" s="2381" t="s">
        <v>477</v>
      </c>
      <c r="D176" s="2382"/>
      <c r="F176" s="276">
        <f>IF(F177=" ",0,IF((F177-H177)&lt;0,dx_1*(F177-H177)/F177,dx_1*(F177-H177)/F177))</f>
        <v>0</v>
      </c>
      <c r="G176" s="190"/>
      <c r="H176" s="276">
        <f>IF(H177=" ",0,IF((H177-J177)&lt;0,dx_2*(H177-J177)/H177,dx_2*(H177-J177)/H177))</f>
        <v>0</v>
      </c>
      <c r="I176" s="190"/>
      <c r="J176" s="276">
        <f>IF(J177=" ",0,IF((J177-L177)&lt;0,dx_3*(J177-L177)/J177,dx_3*(J177-L177)/J177))</f>
        <v>0</v>
      </c>
      <c r="K176" s="190"/>
      <c r="L176" s="276">
        <f>IF(L177=" ",0,IF((L177-N177)&lt;0,dx_4*(L177-N177)/L177,dx_4*(L177-N177)/L177))</f>
        <v>0</v>
      </c>
      <c r="M176" s="190"/>
      <c r="N176" s="190"/>
    </row>
    <row r="177" spans="2:15" s="86" customFormat="1" ht="20.100000000000001" customHeight="1">
      <c r="B177" s="2449" t="s">
        <v>391</v>
      </c>
      <c r="C177" s="2476"/>
      <c r="D177" s="2477"/>
      <c r="E177" s="83"/>
      <c r="F177" s="580" t="str">
        <f>IF(ISERROR(dx_1*(du_1*30)/(fs_1+fu_1+fw_1-hp_1-hq_1+tvad_1+tvad_1b))," ",dx_1*(du_1*30)/(fs_1+fu_1+fw_1-hp_1-hq_1+tvad_1+tvad_1b))</f>
        <v xml:space="preserve"> </v>
      </c>
      <c r="G177" s="83"/>
      <c r="H177" s="580" t="str">
        <f>IF(ISERROR(dx_2*(du_2*30)/(fs_2+fu_2+fw_2-hp_2-hq_2+tvad_2+tvad_2b))," ",dx_2*(du_2*30)/(fs_2+fu_2+fw_2-hp_2-hq_2+tvad_2+tvad_2b))</f>
        <v xml:space="preserve"> </v>
      </c>
      <c r="I177" s="83"/>
      <c r="J177" s="580" t="str">
        <f>IF(ISERROR(dx_3*(du_3*30)/(fs_3+fu_3+fw_3-hp_3-hq_3+tvad_3+tvad_3b))," ",dx_3*(du_3*30)/(fs_3+fu_3+fw_3-hp_3-hq_3+tvad_3+tvad_3b))</f>
        <v xml:space="preserve"> </v>
      </c>
      <c r="K177" s="82"/>
      <c r="L177" s="580" t="str">
        <f>IF(ISERROR(dx_4*(du_4*30)/(fs_4+fu_4+fw_4-hp_4-hq_4+tvad_4+tvad_4b))," ",dx_4*(du_4*30)/(fs_4+fu_4+fw_4-hp_4-hq_4+tvad_4+tvad_4b))</f>
        <v xml:space="preserve"> </v>
      </c>
      <c r="M177" s="82"/>
      <c r="N177" s="580" t="str">
        <f>IF(ISERROR(dx_5*(du_5*30)/(fs_5+fu_5+fw_5-hp_5-hq_5+tvad_5+tvad_5b))," ",dx_5*(du_5*30)/(fs_5+fu_5+fw_5-hp_5-hq_5+tvad_5+tvad_5b))</f>
        <v xml:space="preserve"> </v>
      </c>
    </row>
    <row r="178" spans="2:15" s="86" customFormat="1" ht="30" customHeight="1">
      <c r="B178" s="2344" t="s">
        <v>485</v>
      </c>
      <c r="C178" s="2345"/>
      <c r="D178" s="2346"/>
      <c r="E178" s="153"/>
      <c r="F178" s="581" t="str">
        <f>IF(F177=0," ",IF(F179&gt;0,"Gain de trésorerie",IF(F179&lt;0,"Perte de trésorerie"," ")))</f>
        <v>Gain de trésorerie</v>
      </c>
      <c r="G178" s="153"/>
      <c r="H178" s="581" t="str">
        <f>IF(H177=0," ",IF(H179&gt;0,"Gain de trésorerie",IF(H179&lt;0,"Perte de trésorerie"," ")))</f>
        <v>Gain de trésorerie</v>
      </c>
      <c r="I178" s="153"/>
      <c r="J178" s="581" t="str">
        <f>IF(J177=0," ",IF(J179&gt;0,"Gain de trésorerie",IF(J179&lt;0,"Perte de trésorerie"," ")))</f>
        <v>Gain de trésorerie</v>
      </c>
      <c r="K178" s="152"/>
      <c r="L178" s="581" t="str">
        <f>IF(L177=0," ",IF(L179&gt;0,"Gain de trésorerie",IF(L179&lt;0,"Perte de trésorerie"," ")))</f>
        <v>Gain de trésorerie</v>
      </c>
      <c r="M178" s="152"/>
      <c r="N178" s="2459"/>
      <c r="O178" s="82"/>
    </row>
    <row r="179" spans="2:15" s="86" customFormat="1" ht="20.100000000000001" customHeight="1">
      <c r="B179" s="2347"/>
      <c r="C179" s="2348"/>
      <c r="D179" s="2349"/>
      <c r="E179" s="83"/>
      <c r="F179" s="582" t="b">
        <f>IF(F177=0," ",IF(u="K€",F176,IF(u="€",F176/1000)))</f>
        <v>0</v>
      </c>
      <c r="G179" s="83"/>
      <c r="H179" s="582" t="b">
        <f>IF(H177=0," ",IF(u="K€",H176,IF(u="€",H176/1000)))</f>
        <v>0</v>
      </c>
      <c r="I179" s="83"/>
      <c r="J179" s="582" t="b">
        <f>IF(J177=0," ",IF(u="K€",J176,IF(u="€",J176/1000)))</f>
        <v>0</v>
      </c>
      <c r="K179" s="82"/>
      <c r="L179" s="582" t="b">
        <f>IF(L177=0," ",IF(u="K€",L176,IF(u="€",L176/1000)))</f>
        <v>0</v>
      </c>
      <c r="M179" s="82"/>
      <c r="N179" s="2460"/>
    </row>
    <row r="180" spans="2:15" s="62" customFormat="1" ht="6" customHeight="1">
      <c r="B180" s="89"/>
      <c r="C180" s="89"/>
      <c r="D180" s="227"/>
      <c r="E180" s="63"/>
      <c r="F180" s="90"/>
      <c r="G180" s="63"/>
      <c r="H180" s="90"/>
      <c r="I180" s="63"/>
      <c r="J180" s="90"/>
      <c r="L180" s="90"/>
      <c r="N180" s="90"/>
    </row>
    <row r="181" spans="2:15" ht="20.100000000000001" customHeight="1">
      <c r="D181" s="1059" t="s">
        <v>174</v>
      </c>
      <c r="F181" s="1060"/>
      <c r="H181" s="1060"/>
      <c r="J181" s="1060"/>
      <c r="L181" s="1060"/>
      <c r="N181" s="1060"/>
    </row>
    <row r="182" spans="2:15" ht="3" customHeight="1">
      <c r="D182" s="222"/>
      <c r="F182" s="75"/>
      <c r="H182" s="75"/>
      <c r="J182" s="75"/>
      <c r="L182" s="75"/>
      <c r="N182" s="75"/>
    </row>
    <row r="183" spans="2:15" ht="15" customHeight="1">
      <c r="D183" s="1061" t="s">
        <v>287</v>
      </c>
      <c r="F183" s="76" t="str">
        <f>IF(ISBLANK(F181)," ",IF(F177&lt;(0.99*F181),"Défavorable",IF(F177&gt;(F181*1.01),"Favorable","Correct ")))</f>
        <v xml:space="preserve"> </v>
      </c>
      <c r="H183" s="76" t="str">
        <f>IF(ISBLANK(H181)," ",IF(H177&lt;(0.99*H181),"Défavorable",IF(H177&gt;(H181*1.01),"Favorable","Correct ")))</f>
        <v xml:space="preserve"> </v>
      </c>
      <c r="J183" s="76" t="str">
        <f>IF(ISBLANK(J181)," ",IF(J177&lt;(0.99*J181),"Défavorable",IF(J177&gt;(J181*1.01),"Favorable","Correct ")))</f>
        <v xml:space="preserve"> </v>
      </c>
      <c r="L183" s="76" t="str">
        <f>IF(ISBLANK(L181)," ",IF(L177&lt;(0.99*L181),"Défavorable",IF(L177&gt;(L181*1.01),"Favorable","Correct ")))</f>
        <v xml:space="preserve"> </v>
      </c>
      <c r="N183" s="76" t="str">
        <f>IF(ISBLANK(N181)," ",IF(N177&lt;(0.99*N181),"Défavorable",IF(N177&gt;(N181*1.01),"Favorable","Correct ")))</f>
        <v xml:space="preserve"> </v>
      </c>
    </row>
    <row r="184" spans="2:15" ht="3" customHeight="1">
      <c r="F184" s="91"/>
      <c r="H184" s="91"/>
      <c r="J184" s="91"/>
      <c r="L184" s="91"/>
      <c r="N184" s="91"/>
    </row>
    <row r="185" spans="2:15" ht="15" customHeight="1">
      <c r="C185" s="2381" t="s">
        <v>477</v>
      </c>
      <c r="D185" s="2448"/>
      <c r="E185" s="83"/>
      <c r="F185" s="277">
        <f>IF(F186=" ",0,IF((F186-H186)&lt;0,(bt_1*-1)*(F186-H186)/F186,(bt_1*-1)*(F186-H186)/F186))</f>
        <v>0</v>
      </c>
      <c r="G185" s="190"/>
      <c r="H185" s="277">
        <f>IF(H186=" ",0,IF((H186-J186)&lt;0,(bt_2*-1)*(H186-J186)/H186,(bt_2*-1)*(H186-J186)/H186))</f>
        <v>0</v>
      </c>
      <c r="I185" s="190"/>
      <c r="J185" s="277">
        <f>IF(J186=" ",0,IF((J186-L186)&lt;0,(bt_3*-1)*(J186-L186)/J186,(bt_3*-1)*(J186-L186)/J186))</f>
        <v>0</v>
      </c>
      <c r="K185" s="191"/>
      <c r="L185" s="277">
        <f>IF(L186=" ",0,IF((L186-N186)&lt;0,(bt_4*-1)*(L186-N186)/L186,(bt_4*-1)*(L186-N186)/L186))</f>
        <v>0</v>
      </c>
      <c r="M185" s="191"/>
      <c r="N185" s="191"/>
    </row>
    <row r="186" spans="2:15" s="86" customFormat="1" ht="20.100000000000001" customHeight="1">
      <c r="B186" s="2457" t="s">
        <v>483</v>
      </c>
      <c r="C186" s="2426" t="s">
        <v>460</v>
      </c>
      <c r="D186" s="2427"/>
      <c r="E186" s="83"/>
      <c r="F186" s="583" t="str">
        <f>IF(ISERROR(bt_1*(du_1*30)/fs_1)," ",bt_1*(du_1*30)/fs_1)</f>
        <v xml:space="preserve"> </v>
      </c>
      <c r="G186" s="83"/>
      <c r="H186" s="580" t="str">
        <f>IF(ISERROR(bt_2*(du_2*30)/fs_2)," ",bt_2*(du_2*30)/fs_2)</f>
        <v xml:space="preserve"> </v>
      </c>
      <c r="I186" s="83"/>
      <c r="J186" s="580" t="str">
        <f>IF(ISERROR(bt_3*(du_3*30)/fs_3)," ",bt_3*(du_3*30)/fs_3)</f>
        <v xml:space="preserve"> </v>
      </c>
      <c r="K186" s="82"/>
      <c r="L186" s="580" t="str">
        <f>IF(ISERROR(bt_4*(du_4*30)/fs_4)," ",bt_4*(du_4*30)/fs_4)</f>
        <v xml:space="preserve"> </v>
      </c>
      <c r="M186" s="82"/>
      <c r="N186" s="580" t="str">
        <f>IF(ISERROR(bt_5*(du_5*30)/fs_5)," ",bt_5*(du_5*30)/fs_5)</f>
        <v xml:space="preserve"> </v>
      </c>
    </row>
    <row r="187" spans="2:15" s="86" customFormat="1" ht="20.100000000000001" customHeight="1">
      <c r="B187" s="2478"/>
      <c r="C187" s="2463" t="s">
        <v>461</v>
      </c>
      <c r="D187" s="2464"/>
      <c r="E187" s="324"/>
      <c r="F187" s="584" t="str">
        <f>IF(ISERROR(bt_1*(du_1*30)/(fs_1+ft_1))," ",bt_1*(du_1*30)/(fs_1+ft_1))</f>
        <v xml:space="preserve"> </v>
      </c>
      <c r="G187" s="324"/>
      <c r="H187" s="584" t="str">
        <f>IF(ISERROR(bt_2*(du_2*30)/(fs_2+ft_2))," ",bt_2*(du_2*30)/(fs_2+ft_2))</f>
        <v xml:space="preserve"> </v>
      </c>
      <c r="I187" s="324"/>
      <c r="J187" s="584" t="str">
        <f>IF(ISERROR(bt_3*(du_3*30)/(fs_3+ft_3))," ",bt_3*(du_3*30)/(fs_3+ft_3))</f>
        <v xml:space="preserve"> </v>
      </c>
      <c r="K187" s="325"/>
      <c r="L187" s="584" t="str">
        <f>IF(ISERROR(bt_4*(du_4*30)/(fs_4+ft_4))," ",bt_4*(du_4*30)/(fs_4+ft_4))</f>
        <v xml:space="preserve"> </v>
      </c>
      <c r="M187" s="325"/>
      <c r="N187" s="584" t="str">
        <f>IF(ISERROR(bt_5*(du_5*30)/(fs_5+ft_5))," ",bt_5*(du_5*30)/(fs_5+ft_5))</f>
        <v xml:space="preserve"> </v>
      </c>
    </row>
    <row r="188" spans="2:15" s="86" customFormat="1" ht="30" customHeight="1">
      <c r="B188" s="2344" t="s">
        <v>484</v>
      </c>
      <c r="C188" s="2345"/>
      <c r="D188" s="2346"/>
      <c r="E188" s="153"/>
      <c r="F188" s="581" t="str">
        <f>IF(b_1=0," ",IF(F186=" "," ",IF(F189&gt;0,"Gain de trésorerie",IF(F189&lt;0,"Perte de trésorerie"," "))))</f>
        <v xml:space="preserve"> </v>
      </c>
      <c r="G188" s="153"/>
      <c r="H188" s="581" t="str">
        <f>IF(H186=" "," ",IF(H189&gt;0,"Gain de trésorerie",IF(H189&lt;0,"Perte de trésorerie"," ")))</f>
        <v xml:space="preserve"> </v>
      </c>
      <c r="I188" s="153"/>
      <c r="J188" s="581" t="str">
        <f>IF(J186=" "," ",IF(J189&gt;0,"Gain de trésorerie",IF(J189&lt;0,"Perte de trésorerie"," ")))</f>
        <v xml:space="preserve"> </v>
      </c>
      <c r="K188" s="152"/>
      <c r="L188" s="581" t="str">
        <f>IF(L186=" "," ",IF(L189&gt;0,"Gain de trésorerie",IF(L189&lt;0,"Perte de trésorerie"," ")))</f>
        <v xml:space="preserve"> </v>
      </c>
      <c r="M188" s="152"/>
      <c r="N188" s="2459"/>
      <c r="O188" s="82"/>
    </row>
    <row r="189" spans="2:15" s="86" customFormat="1" ht="20.100000000000001" customHeight="1">
      <c r="B189" s="2347"/>
      <c r="C189" s="2348"/>
      <c r="D189" s="2349"/>
      <c r="E189" s="83"/>
      <c r="F189" s="582" t="str">
        <f>IF(b_1=0," ",IF(F186=" "," ",IF(u="K€",F185,IF(u="€",F185/1000))))</f>
        <v xml:space="preserve"> </v>
      </c>
      <c r="G189" s="83"/>
      <c r="H189" s="582" t="str">
        <f>IF(H186=" "," ",IF(u="K€",H185,IF(u="€",H185/1000)))</f>
        <v xml:space="preserve"> </v>
      </c>
      <c r="I189" s="83"/>
      <c r="J189" s="582" t="str">
        <f>IF(J186=" "," ",IF(u="K€",J185,IF(u="€",J185/1000)))</f>
        <v xml:space="preserve"> </v>
      </c>
      <c r="K189" s="82"/>
      <c r="L189" s="582" t="str">
        <f>IF(L186=" "," ",IF(u="K€",L185,IF(u="€",L185/1000)))</f>
        <v xml:space="preserve"> </v>
      </c>
      <c r="M189" s="82"/>
      <c r="N189" s="2460"/>
    </row>
    <row r="190" spans="2:15" s="62" customFormat="1" ht="6" customHeight="1">
      <c r="B190" s="89"/>
      <c r="C190" s="89"/>
      <c r="D190" s="227"/>
      <c r="E190" s="63"/>
      <c r="F190" s="90"/>
      <c r="G190" s="63"/>
      <c r="H190" s="90"/>
      <c r="I190" s="63"/>
      <c r="J190" s="90"/>
      <c r="L190" s="90"/>
      <c r="N190" s="90"/>
    </row>
    <row r="191" spans="2:15" ht="20.100000000000001" customHeight="1">
      <c r="D191" s="1059" t="s">
        <v>462</v>
      </c>
      <c r="F191" s="1060"/>
      <c r="H191" s="1060"/>
      <c r="J191" s="1060"/>
      <c r="L191" s="1060"/>
      <c r="N191" s="1060"/>
    </row>
    <row r="192" spans="2:15" ht="3" customHeight="1">
      <c r="D192" s="222"/>
      <c r="F192" s="75"/>
      <c r="H192" s="75"/>
      <c r="J192" s="75"/>
      <c r="L192" s="75"/>
      <c r="N192" s="75"/>
    </row>
    <row r="193" spans="2:15" ht="15" customHeight="1">
      <c r="D193" s="1061" t="s">
        <v>287</v>
      </c>
      <c r="F193" s="1058" t="str">
        <f>IF(ISBLANK(F191)," ",IF(F186&lt;(0.99*F191),"Favorable",IF(F186&gt;(F191*1.01),"Défavorable","Correct ")))</f>
        <v xml:space="preserve"> </v>
      </c>
      <c r="H193" s="1058" t="str">
        <f>IF(ISBLANK(H191)," ",IF(H186&lt;(0.99*H191),"Favorable",IF(H186&gt;(H191*1.01),"Défavorable","Correct ")))</f>
        <v xml:space="preserve"> </v>
      </c>
      <c r="J193" s="1058" t="str">
        <f>IF(ISBLANK(J191)," ",IF(J186&lt;(0.99*J191),"Favorable",IF(J186&gt;(J191*1.01),"Défavorable","Correct ")))</f>
        <v xml:space="preserve"> </v>
      </c>
      <c r="L193" s="1058" t="str">
        <f>IF(ISBLANK(L191)," ",IF(L186&lt;(0.99*L191),"Favorable",IF(L186&gt;(L191*1.01),"Défavorable","Correct ")))</f>
        <v xml:space="preserve"> </v>
      </c>
      <c r="N193" s="1058" t="str">
        <f>IF(ISBLANK(N191)," ",IF(N186&lt;(0.99*N191),"Favorable",IF(N186&gt;(N191*1.01),"Défavorable","Correct ")))</f>
        <v xml:space="preserve"> </v>
      </c>
    </row>
    <row r="194" spans="2:15" ht="15" customHeight="1">
      <c r="C194" s="2381" t="s">
        <v>477</v>
      </c>
      <c r="D194" s="2448"/>
      <c r="E194" s="83"/>
      <c r="F194" s="277">
        <f>IF(F195=" ",0,IF((F195-H195)&lt;0,(bl_1*-1)*(F195-H195)/F195,(bl_1*-1)*(F195-H195)/F195))</f>
        <v>0</v>
      </c>
      <c r="G194" s="190"/>
      <c r="H194" s="277">
        <f>IF(H195=" ",0,IF((H195-J195)&lt;0,(bl_2*-1)*(H195-J195)/H195,(bl_2*-1)*(H195-J195)/H195))</f>
        <v>0</v>
      </c>
      <c r="I194" s="190"/>
      <c r="J194" s="277">
        <f>IF(J195=" ",0,IF((J195-L195)&lt;0,(bl_3*-1)*(J195-L195)/J195,(bl_3*-1)*(J195-L195)/J195))</f>
        <v>0</v>
      </c>
      <c r="K194" s="191"/>
      <c r="L194" s="277">
        <f>IF(L195=" ",0,IF((L195-N195)&lt;0,(bl_4*-1)*(L195-N195)/L195,(bl_4*-1)*(L195-N195)/L195))</f>
        <v>0</v>
      </c>
      <c r="M194" s="191"/>
      <c r="N194" s="188"/>
    </row>
    <row r="195" spans="2:15" s="86" customFormat="1" ht="20.100000000000001" customHeight="1">
      <c r="B195" s="2457" t="s">
        <v>616</v>
      </c>
      <c r="C195" s="2426" t="s">
        <v>460</v>
      </c>
      <c r="D195" s="2427"/>
      <c r="E195" s="83"/>
      <c r="F195" s="583" t="str">
        <f>IF(ISERROR(bl_1*(du_1*30)/fu_1)," ",bl_1*(du_1*30)/fu_1)</f>
        <v xml:space="preserve"> </v>
      </c>
      <c r="G195" s="83"/>
      <c r="H195" s="583" t="str">
        <f>IF(ISERROR(bl_2*(du_2*30)/fu_2)," ",bl_2*(du_2*30)/fu_2)</f>
        <v xml:space="preserve"> </v>
      </c>
      <c r="I195" s="83"/>
      <c r="J195" s="583" t="str">
        <f>IF(ISERROR(bl_3*(du_3*30)/fu_3)," ",bl_3*(du_3*30)/fu_3)</f>
        <v xml:space="preserve"> </v>
      </c>
      <c r="K195" s="82"/>
      <c r="L195" s="583" t="str">
        <f>IF(ISERROR(bl_4*(du_4*30)/fu_4)," ",bl_4*(du_4*30)/fu_4)</f>
        <v xml:space="preserve"> </v>
      </c>
      <c r="M195" s="82"/>
      <c r="N195" s="583" t="str">
        <f>IF(ISERROR(bl_5*(du_5*30)/fu_5)," ",bl_5*(du_5*30)/fu_5)</f>
        <v xml:space="preserve"> </v>
      </c>
    </row>
    <row r="196" spans="2:15" s="86" customFormat="1" ht="20.100000000000001" customHeight="1">
      <c r="B196" s="2478"/>
      <c r="C196" s="2463" t="s">
        <v>461</v>
      </c>
      <c r="D196" s="2464"/>
      <c r="E196" s="324"/>
      <c r="F196" s="584" t="str">
        <f>IF(ISERROR(bl_1*(du_1*30)/(fu_1+fv_1))," ",bl_1*(du_1*30)/(fu_1+fv_1))</f>
        <v xml:space="preserve"> </v>
      </c>
      <c r="G196" s="324"/>
      <c r="H196" s="584" t="str">
        <f>IF(ISERROR(bl_2*(du_2*30)/(fu_2+fv_2))," ",bl_2*(du_2*30)/(fu_2+fv_2))</f>
        <v xml:space="preserve"> </v>
      </c>
      <c r="I196" s="324"/>
      <c r="J196" s="584" t="str">
        <f>IF(ISERROR(bl_3*(du_3*30)/(fu_3+fv_3))," ",bl_3*(du_3*30)/(fu_3+fv_3))</f>
        <v xml:space="preserve"> </v>
      </c>
      <c r="K196" s="325"/>
      <c r="L196" s="584" t="str">
        <f>IF(ISERROR(bl_4*(du_4*30)/(fu_4+fv_4))," ",bl_4*(du_4*30)/(fu_4+fv_4))</f>
        <v xml:space="preserve"> </v>
      </c>
      <c r="M196" s="325"/>
      <c r="N196" s="584" t="str">
        <f>IF(ISERROR(bl_5*(du_5*30)/(fu_5+fv_5))," ",bl_5*(du_5*30)/(fu_5+fv_5))</f>
        <v xml:space="preserve"> </v>
      </c>
    </row>
    <row r="197" spans="2:15" s="86" customFormat="1" ht="30" customHeight="1">
      <c r="B197" s="2344" t="s">
        <v>487</v>
      </c>
      <c r="C197" s="2345"/>
      <c r="D197" s="2346"/>
      <c r="E197" s="153"/>
      <c r="F197" s="581" t="str">
        <f>IF(F195=" "," ",IF(F198&gt;0,"Gain de trésorerie",IF(F198&lt;0,"Perte de trésorerie"," ")))</f>
        <v xml:space="preserve"> </v>
      </c>
      <c r="G197" s="153"/>
      <c r="H197" s="581" t="str">
        <f>IF(H195=" "," ",IF(H198&gt;0,"Gain de trésorerie",IF(H198&lt;0,"Perte de trésorerie"," ")))</f>
        <v xml:space="preserve"> </v>
      </c>
      <c r="I197" s="153"/>
      <c r="J197" s="581" t="str">
        <f>IF(J195=" "," ",IF(J198&gt;0,"Gain de trésorerie",IF(J198&lt;0,"Perte de trésorerie"," ")))</f>
        <v xml:space="preserve"> </v>
      </c>
      <c r="K197" s="152"/>
      <c r="L197" s="581" t="str">
        <f>IF(L195=" "," ",IF(L198&gt;0,"Gain de trésorerie",IF(L198&lt;0,"Perte de trésorerie"," ")))</f>
        <v xml:space="preserve"> </v>
      </c>
      <c r="M197" s="152"/>
      <c r="N197" s="2459"/>
      <c r="O197" s="82"/>
    </row>
    <row r="198" spans="2:15" s="86" customFormat="1" ht="20.100000000000001" customHeight="1">
      <c r="B198" s="2347"/>
      <c r="C198" s="2348"/>
      <c r="D198" s="2349"/>
      <c r="E198" s="83"/>
      <c r="F198" s="582" t="str">
        <f>IF(F195=" "," ",IF(u="K€",F194,IF(u="€",F194/1000)))</f>
        <v xml:space="preserve"> </v>
      </c>
      <c r="G198" s="83"/>
      <c r="H198" s="582" t="str">
        <f>IF(H195=" "," ",IF(u="K€",H194,IF(u="€",H194/1000)))</f>
        <v xml:space="preserve"> </v>
      </c>
      <c r="I198" s="83"/>
      <c r="J198" s="582" t="str">
        <f>IF(J195=" "," ",IF(u="K€",J194,IF(u="€",J194/1000)))</f>
        <v xml:space="preserve"> </v>
      </c>
      <c r="K198" s="82"/>
      <c r="L198" s="582" t="str">
        <f>IF(L195=" "," ",IF(u="K€",L194,IF(u="€",L194/1000)))</f>
        <v xml:space="preserve"> </v>
      </c>
      <c r="M198" s="82"/>
      <c r="N198" s="2460"/>
    </row>
    <row r="199" spans="2:15" s="62" customFormat="1" ht="6" customHeight="1">
      <c r="B199" s="89"/>
      <c r="C199" s="89"/>
      <c r="D199" s="227"/>
      <c r="E199" s="63"/>
      <c r="F199" s="90"/>
      <c r="G199" s="63"/>
      <c r="H199" s="90"/>
      <c r="I199" s="63"/>
      <c r="J199" s="90"/>
      <c r="L199" s="90"/>
      <c r="N199" s="90"/>
    </row>
    <row r="200" spans="2:15" ht="20.100000000000001" customHeight="1">
      <c r="D200" s="1059" t="s">
        <v>462</v>
      </c>
      <c r="F200" s="1060"/>
      <c r="H200" s="1060"/>
      <c r="J200" s="1060"/>
      <c r="L200" s="1060"/>
      <c r="N200" s="1060"/>
    </row>
    <row r="201" spans="2:15" ht="3" customHeight="1">
      <c r="D201" s="222"/>
      <c r="F201" s="75"/>
      <c r="H201" s="75"/>
      <c r="J201" s="75"/>
      <c r="L201" s="75"/>
      <c r="N201" s="75"/>
    </row>
    <row r="202" spans="2:15" ht="15" customHeight="1">
      <c r="D202" s="1061" t="s">
        <v>287</v>
      </c>
      <c r="F202" s="1058" t="str">
        <f>IF(ISBLANK(F200)," ",IF(F195&lt;(0.99*F200),"Favorable",IF(F195&gt;(F200*1.01),"Défavorable","Correct ")))</f>
        <v xml:space="preserve"> </v>
      </c>
      <c r="H202" s="1058" t="str">
        <f>IF(ISBLANK(H200)," ",IF(H195&lt;(0.99*H200),"Favorable",IF(H195&gt;(H200*1.01),"Défavorable","Correct ")))</f>
        <v xml:space="preserve"> </v>
      </c>
      <c r="J202" s="1058" t="str">
        <f>IF(ISBLANK(J200)," ",IF(J195&lt;(0.99*J200),"Favorable",IF(J195&gt;(J200*1.01),"Défavorable","Correct ")))</f>
        <v xml:space="preserve"> </v>
      </c>
      <c r="L202" s="1058" t="str">
        <f>IF(ISBLANK(L200)," ",IF(L195&lt;(0.99*L200),"Favorable",IF(L195&gt;(L200*1.01),"Défavorable","Correct ")))</f>
        <v xml:space="preserve"> </v>
      </c>
      <c r="N202" s="1058" t="str">
        <f>IF(ISBLANK(N200)," ",IF(N195&lt;(0.99*N200),"Favorable",IF(N195&gt;(N200*1.01),"Défavorable","Correct ")))</f>
        <v xml:space="preserve"> </v>
      </c>
    </row>
    <row r="203" spans="2:15" ht="15" customHeight="1">
      <c r="C203" s="2381" t="s">
        <v>477</v>
      </c>
      <c r="D203" s="2448"/>
      <c r="F203" s="277" t="e">
        <f>IF(F204=0,0,IF((F204-H204)&lt;0,((bn_1+bp_1)*-1)*(F204-H204)/F204,((bn_1+bp_1)*-1)*(F204-H204)/F204))</f>
        <v>#VALUE!</v>
      </c>
      <c r="G203" s="190"/>
      <c r="H203" s="277" t="e">
        <f>IF(H204=0,0,IF((H204-J204)&lt;0,((bn_2+bp_2)*-1)*(H204-J204)/H204,((bn_2+bp_2)*-1)*(H204-J204)/H204))</f>
        <v>#VALUE!</v>
      </c>
      <c r="I203" s="190"/>
      <c r="J203" s="277" t="e">
        <f>IF(J204=0,0,IF((J204-L204)&lt;0,((bn_3+bp_3)*-1)*(J204-L204)/J204,((bn_3+bp_3)*-1)*(J204-L204)/J204))</f>
        <v>#VALUE!</v>
      </c>
      <c r="K203" s="191"/>
      <c r="L203" s="277" t="e">
        <f>IF(L204=0,0,IF((L204-N204)&lt;0,((bn_4+bp_4)*-1)*(L204-N204)/L204,((bn_4+bp_4)*-1)*(L204-N204)/L204))</f>
        <v>#VALUE!</v>
      </c>
    </row>
    <row r="204" spans="2:15" s="86" customFormat="1" ht="20.100000000000001" customHeight="1">
      <c r="B204" s="2449" t="s">
        <v>488</v>
      </c>
      <c r="C204" s="2476"/>
      <c r="D204" s="2477"/>
      <c r="E204" s="83"/>
      <c r="F204" s="585" t="str">
        <f>IF(ISERROR((bn_1+bp_1)*(du_1*30)/(ff_1+fm_1+fn_1-re_1))," ",(bn_1+bp_1)*(du_1*30)/(ff_1+fm_1+fn_1-re_1))</f>
        <v xml:space="preserve"> </v>
      </c>
      <c r="G204" s="190"/>
      <c r="H204" s="586" t="str">
        <f>IF(ISERROR((bn_2+bp_2)*(du_2*30)/(ff_2+fm_2+fn_2-re_2))," ",(bn_2+bp_2)*(du_2*30)/(ff_2+fm_2+fn_2-re_2))</f>
        <v xml:space="preserve"> </v>
      </c>
      <c r="I204" s="190"/>
      <c r="J204" s="586" t="str">
        <f>IF(ISERROR((bn_3+bp_3)*(du_3*30)/(ff_3+fm_3+fn_3-re_3))," ",(bn_3+bp_3)*(du_3*30)/(ff_3+fm_3+fn_3-re_3))</f>
        <v xml:space="preserve"> </v>
      </c>
      <c r="K204" s="191"/>
      <c r="L204" s="586" t="str">
        <f>IF(ISERROR((bn_4+bp_4)*(du_4*30)/(ff_4+fm_4+fn_4-re_4))," ",(bn_4+bp_4)*(du_4*30)/(ff_4+fm_4+fn_4-re_4))</f>
        <v xml:space="preserve"> </v>
      </c>
      <c r="M204" s="191"/>
      <c r="N204" s="585" t="str">
        <f>IF(ISERROR((bn_5+bp_5)*(du_5*30)/(ff_5+fm_5+fn_5-re_5))," ",(bn_5+bp_5)*(du_5*30)/(ff_5+fm_5+fn_5-re_5))</f>
        <v xml:space="preserve"> </v>
      </c>
    </row>
    <row r="205" spans="2:15" s="86" customFormat="1" ht="30" customHeight="1">
      <c r="B205" s="2344" t="s">
        <v>489</v>
      </c>
      <c r="C205" s="2345"/>
      <c r="D205" s="2346"/>
      <c r="E205" s="153"/>
      <c r="F205" s="581" t="str">
        <f>IF(F204=" "," ",IF(F206&gt;0,"Gain de trésorerie",IF(F206&lt;0,"Perte de trésorerie"," ")))</f>
        <v xml:space="preserve"> </v>
      </c>
      <c r="G205" s="153"/>
      <c r="H205" s="581" t="str">
        <f>IF(H204=" "," ",IF(H206&gt;0,"Gain de trésorerie",IF(H206&lt;0,"Perte de trésorerie"," ")))</f>
        <v xml:space="preserve"> </v>
      </c>
      <c r="I205" s="153"/>
      <c r="J205" s="581" t="str">
        <f>IF(J204=" "," ",IF(J206&gt;0,"Gain de trésorerie",IF(J206&lt;0,"Perte de trésorerie"," ")))</f>
        <v xml:space="preserve"> </v>
      </c>
      <c r="K205" s="152"/>
      <c r="L205" s="581" t="str">
        <f>IF(L204=" "," ",IF(L206&gt;0,"Gain de trésorerie",IF(L206&lt;0,"Perte de trésorerie"," ")))</f>
        <v xml:space="preserve"> </v>
      </c>
      <c r="M205" s="152"/>
      <c r="N205" s="2459"/>
      <c r="O205" s="82"/>
    </row>
    <row r="206" spans="2:15" s="86" customFormat="1" ht="20.100000000000001" customHeight="1">
      <c r="B206" s="2347"/>
      <c r="C206" s="2348"/>
      <c r="D206" s="2349"/>
      <c r="E206" s="83"/>
      <c r="F206" s="582" t="str">
        <f>IF(F204=" "," ",IF(u="K€",F203,IF(u="€",F203/1000)))</f>
        <v xml:space="preserve"> </v>
      </c>
      <c r="G206" s="83"/>
      <c r="H206" s="582" t="str">
        <f>IF(H204=" "," ",IF(u="K€",H203,IF(u="€",H203/1000)))</f>
        <v xml:space="preserve"> </v>
      </c>
      <c r="I206" s="83"/>
      <c r="J206" s="582" t="str">
        <f>IF(J204=" "," ",IF(u="K€",J203,IF(u="€",J203/1000)))</f>
        <v xml:space="preserve"> </v>
      </c>
      <c r="K206" s="82"/>
      <c r="L206" s="582" t="str">
        <f>IF(L204=" "," ",IF(u="K€",L203,IF(u="€",L203/1000)))</f>
        <v xml:space="preserve"> </v>
      </c>
      <c r="M206" s="82"/>
      <c r="N206" s="2460"/>
    </row>
    <row r="207" spans="2:15" s="62" customFormat="1" ht="6" customHeight="1">
      <c r="B207" s="89"/>
      <c r="C207" s="89"/>
      <c r="D207" s="227"/>
      <c r="E207" s="63"/>
      <c r="F207" s="90"/>
      <c r="G207" s="63"/>
      <c r="H207" s="90"/>
      <c r="I207" s="63"/>
      <c r="J207" s="90"/>
      <c r="L207" s="90"/>
      <c r="N207" s="90"/>
    </row>
    <row r="208" spans="2:15" ht="20.100000000000001" customHeight="1">
      <c r="D208" s="1059" t="s">
        <v>174</v>
      </c>
      <c r="F208" s="1060"/>
      <c r="H208" s="1060"/>
      <c r="J208" s="1060"/>
      <c r="L208" s="1060"/>
      <c r="N208" s="1060"/>
    </row>
    <row r="209" spans="2:15" ht="3" customHeight="1">
      <c r="D209" s="222"/>
      <c r="F209" s="75"/>
      <c r="H209" s="75"/>
      <c r="J209" s="75"/>
      <c r="L209" s="75"/>
      <c r="N209" s="75"/>
    </row>
    <row r="210" spans="2:15" ht="15" customHeight="1">
      <c r="D210" s="1061" t="s">
        <v>287</v>
      </c>
      <c r="F210" s="1058" t="str">
        <f>IF(ISBLANK(F208)," ",IF(F204&lt;(0.99*F208),"Favorable",IF(F204&gt;(F208*1.01),"Défavorable","Correct ")))</f>
        <v xml:space="preserve"> </v>
      </c>
      <c r="H210" s="1058" t="str">
        <f>IF(ISBLANK(H208)," ",IF(H204&lt;(0.99*H208),"Favorable",IF(H204&gt;(H208*1.01),"Défavorable","Correct ")))</f>
        <v xml:space="preserve"> </v>
      </c>
      <c r="J210" s="1058" t="str">
        <f>IF(ISBLANK(J208)," ",IF(J204&lt;(0.99*J208),"Favorable",IF(J204&gt;(J208*1.01),"Défavorable","Correct ")))</f>
        <v xml:space="preserve"> </v>
      </c>
      <c r="L210" s="1058" t="str">
        <f>IF(ISBLANK(L208)," ",IF(L204&lt;(0.99*L208),"Favorable",IF(L204&gt;(L208*1.01),"Défavorable","Correct ")))</f>
        <v xml:space="preserve"> </v>
      </c>
      <c r="N210" s="1058" t="str">
        <f>IF(ISBLANK(N208)," ",IF(N204&lt;(0.99*N208),"Favorable",IF(N204&gt;(N208*1.01),"Défavorable","Correct ")))</f>
        <v xml:space="preserve"> </v>
      </c>
    </row>
    <row r="211" spans="2:15" ht="15" customHeight="1">
      <c r="F211" s="277">
        <f>IF(ISERROR(IF(F212=" ",0,IF((F212-H212)&lt;0,(br_1*-1)*(F212-H212)/F212,(br_1*-1)*(F212-H212)/F212))),0,IF(F212=" ",0,IF((F212-H212)&lt;0,(br_1*-1)*(F212-H212)/F212,(br_1*-1)*(F212-H212)/F212)))</f>
        <v>0</v>
      </c>
      <c r="G211" s="190"/>
      <c r="H211" s="277">
        <f>IF(ISERROR(IF(H212=" ",0,IF((H212-J212)&lt;0,(br_2*-1)*(H212-J212)/H212,(br_2*-1)*(H212-J212)/H212))),0,IF(H212=" ",0,IF((H212-J212)&lt;0,(br_2*-1)*(H212-J212)/H212,(br_2*-1)*(H212-J212)/H212)))</f>
        <v>0</v>
      </c>
      <c r="I211" s="190"/>
      <c r="J211" s="277">
        <f>IF(ISERROR(IF(J212=" ",0,IF((J212-L212)&lt;0,(br_3*-1)*(J212-L212)/J212,(br_3*-1)*(J212-L212)/J212))),0,IF(J212=" ",0,IF((J212-L212)&lt;0,(br_3*-1)*(J212-L212)/J212,(br_3*-1)*(J212-L212)/J212)))</f>
        <v>0</v>
      </c>
      <c r="K211" s="191"/>
      <c r="L211" s="277">
        <f>IF(ISERROR(IF(L212=" ",0,IF((L212-N212)&lt;0,(br_4*-1)*(L212-N212)/L212,(br_4*-1)*(L212-N212)/L212))),0,IF(L212=" ",0,IF((L212-N212)&lt;0,(br_4*-1)*(L212-N212)/L212,(br_4*-1)*(L212-N212)/L212)))</f>
        <v>0</v>
      </c>
      <c r="M211" s="191"/>
      <c r="N211" s="188"/>
    </row>
    <row r="212" spans="2:15" s="86" customFormat="1" ht="20.100000000000001" customHeight="1">
      <c r="B212" s="2449" t="s">
        <v>491</v>
      </c>
      <c r="C212" s="2476"/>
      <c r="D212" s="2477"/>
      <c r="E212" s="83"/>
      <c r="F212" s="580" t="str">
        <f>IF(ISERROR(IF(ISBLANK(br_1)," ",br_1*(du_1*30)/(ff_1-re_1))),0,IF(ISBLANK(br_1)," ",br_1*(du_1*30)/(ff_1-re_1)))</f>
        <v xml:space="preserve"> </v>
      </c>
      <c r="G212" s="83"/>
      <c r="H212" s="580" t="str">
        <f>IF(ISERROR(IF(ISBLANK(br_2)," ",br_2*(du_2*30)/(ff_2-re_2))),0,IF(ISBLANK(br_2)," ",br_2*(du_2*30)/(ff_2-re_2)))</f>
        <v xml:space="preserve"> </v>
      </c>
      <c r="I212" s="83"/>
      <c r="J212" s="580" t="str">
        <f>IF(ISERROR(IF(ISBLANK(br_3)," ",br_3*(du_3*30)/(ff_3-re_3))),0,IF(ISBLANK(br_3)," ",br_3*(du_3*30)/(ff_3-re_3)))</f>
        <v xml:space="preserve"> </v>
      </c>
      <c r="K212" s="82"/>
      <c r="L212" s="580" t="str">
        <f>IF(ISERROR(IF(ISBLANK(br_4)," ",br_4*(du_4*30)/(ff_4-re_4))),0,IF(ISBLANK(br_4)," ",br_4*(du_4*30)/(ff_4-re_4)))</f>
        <v xml:space="preserve"> </v>
      </c>
      <c r="M212" s="82"/>
      <c r="N212" s="580" t="str">
        <f>IF(ISERROR(IF(ISBLANK(br_5)," ",br_5*(du_5*30)/(ff_5-re_5))),0,IF(ISBLANK(br_5)," ",br_5*(du_5*30)/(ff_5-re_5)))</f>
        <v xml:space="preserve"> </v>
      </c>
    </row>
    <row r="213" spans="2:15" s="86" customFormat="1" ht="30" customHeight="1">
      <c r="B213" s="2344" t="s">
        <v>490</v>
      </c>
      <c r="C213" s="2345"/>
      <c r="D213" s="2346"/>
      <c r="E213" s="153"/>
      <c r="F213" s="587" t="str">
        <f>IF(F212=" "," ",IF(F214&gt;0,"Gain de trésorerie",IF(F214&lt;0,"Perte de trésorerie"," ")))</f>
        <v xml:space="preserve"> </v>
      </c>
      <c r="G213" s="153"/>
      <c r="H213" s="581" t="str">
        <f>IF(H212=" "," ",IF(H214&gt;0,"Gain de trésorerie",IF(H214&lt;0,"Perte de trésorerie"," ")))</f>
        <v xml:space="preserve"> </v>
      </c>
      <c r="I213" s="153"/>
      <c r="J213" s="581" t="str">
        <f>IF(J212=" "," ",IF(J214&gt;0,"Gain de trésorerie",IF(J214&lt;0,"Perte de trésorerie"," ")))</f>
        <v xml:space="preserve"> </v>
      </c>
      <c r="K213" s="152"/>
      <c r="L213" s="581" t="str">
        <f>IF(L212=" "," ",IF(L214&gt;0,"Gain de trésorerie",IF(L214&lt;0,"Perte de trésorerie"," ")))</f>
        <v xml:space="preserve"> </v>
      </c>
      <c r="M213" s="152"/>
      <c r="N213" s="2459"/>
      <c r="O213" s="82"/>
    </row>
    <row r="214" spans="2:15" s="86" customFormat="1" ht="20.100000000000001" customHeight="1">
      <c r="B214" s="2347"/>
      <c r="C214" s="2348"/>
      <c r="D214" s="2349"/>
      <c r="E214" s="83"/>
      <c r="F214" s="588" t="str">
        <f>IF(ISERROR(IF(F212=" "," ",IF(u="K€",F211,IF(u="€",F211/1000)))),0,IF(F212=" "," ",IF(u="K€",F211,IF(u="€",F211/1000))))</f>
        <v xml:space="preserve"> </v>
      </c>
      <c r="G214" s="83"/>
      <c r="H214" s="582" t="str">
        <f>IF(ISERROR(IF(H212=" "," ",IF(u="K€",H211,IF(u="€",H211/1000)))),0,IF(H212=" "," ",IF(u="K€",H211,IF(u="€",H211/1000))))</f>
        <v xml:space="preserve"> </v>
      </c>
      <c r="I214" s="83"/>
      <c r="J214" s="582" t="str">
        <f>IF(ISERROR(IF(J212=" "," ",IF(u="K€",J211,IF(u="€",J211/1000)))),0,IF(J212=" "," ",IF(u="K€",J211,IF(u="€",J211/1000))))</f>
        <v xml:space="preserve"> </v>
      </c>
      <c r="K214" s="82"/>
      <c r="L214" s="582" t="str">
        <f>IF(ISERROR(IF(L212=" "," ",IF(u="K€",L211,IF(u="€",L211/1000)))),0,IF(L212=" "," ",IF(u="K€",L211,IF(u="€",L211/1000))))</f>
        <v xml:space="preserve"> </v>
      </c>
      <c r="M214" s="82"/>
      <c r="N214" s="2460"/>
    </row>
    <row r="215" spans="2:15" s="62" customFormat="1" ht="6" customHeight="1">
      <c r="B215" s="89"/>
      <c r="C215" s="89"/>
      <c r="D215" s="227"/>
      <c r="E215" s="63"/>
      <c r="F215" s="90"/>
      <c r="G215" s="63"/>
      <c r="H215" s="90"/>
      <c r="I215" s="63"/>
      <c r="J215" s="90"/>
      <c r="L215" s="90"/>
      <c r="N215" s="90"/>
    </row>
    <row r="216" spans="2:15" ht="20.100000000000001" customHeight="1">
      <c r="D216" s="1059" t="s">
        <v>174</v>
      </c>
      <c r="F216" s="1060"/>
      <c r="H216" s="1060"/>
      <c r="J216" s="1060"/>
      <c r="L216" s="1060"/>
      <c r="N216" s="1060"/>
    </row>
    <row r="217" spans="2:15" ht="3" customHeight="1">
      <c r="D217" s="222"/>
      <c r="F217" s="75"/>
      <c r="H217" s="75"/>
      <c r="J217" s="75"/>
      <c r="L217" s="75"/>
      <c r="N217" s="75"/>
    </row>
    <row r="218" spans="2:15" ht="15" customHeight="1">
      <c r="D218" s="1061" t="s">
        <v>287</v>
      </c>
      <c r="F218" s="1058" t="str">
        <f>IF(ISBLANK(F216)," ",IF(F212&lt;(0.99*F216),"Favorable",IF(F212&gt;(F216*1.01),"Défavorable","Correct ")))</f>
        <v xml:space="preserve"> </v>
      </c>
      <c r="H218" s="1058" t="str">
        <f>IF(ISBLANK(H216)," ",IF(H212&lt;(0.99*H216),"Favorable",IF(H212&gt;(H216*1.01),"Défavorable","Correct ")))</f>
        <v xml:space="preserve"> </v>
      </c>
      <c r="J218" s="1058" t="str">
        <f>IF(ISBLANK(J216)," ",IF(J212&lt;(0.99*J216),"Favorable",IF(J212&gt;(J216*1.01),"Défavorable","Correct ")))</f>
        <v xml:space="preserve"> </v>
      </c>
      <c r="L218" s="1058" t="str">
        <f>IF(ISBLANK(L216)," ",IF(L212&lt;(0.99*L216),"Favorable",IF(L212&gt;(L216*1.01),"Défavorable","Correct ")))</f>
        <v xml:space="preserve"> </v>
      </c>
      <c r="N218" s="1058" t="str">
        <f>IF(ISBLANK(N216)," ",IF(N212&lt;(0.99*N216),"Favorable",IF(N212&gt;(N216*1.01),"Défavorable","Correct ")))</f>
        <v xml:space="preserve"> </v>
      </c>
    </row>
    <row r="219" spans="2:15" ht="15" customHeight="1">
      <c r="D219" s="223"/>
      <c r="F219" s="277">
        <f>IF(ISERROR(IF(F220=" ",0,IF((F220-H220)&lt;0,(st_1*-1)*(F220-H220)/F220,(st_1*-1)*(F220-H220)/F220))),0,IF(F220=" ",0,IF((F220-H220)&lt;0,(st_1*-1)*(F220-H220)/F220,(st_1*-1)*(F220-H220)/F220)))</f>
        <v>0</v>
      </c>
      <c r="G219" s="190"/>
      <c r="H219" s="277">
        <f>IF(ISERROR(IF(H220=" ",0,IF((H220-J220)&lt;0,(st_2*-1)*(H220-J220)/H220,(st_2*-1)*(H220-J220)/H220))),0,IF(H220=" ",0,IF((H220-J220)&lt;0,(st_2*-1)*(H220-J220)/H220,(st_2*-1)*(H220-J220)/H220)))</f>
        <v>0</v>
      </c>
      <c r="I219" s="190"/>
      <c r="J219" s="277">
        <f>IF(ISERROR(IF(J220=" ",0,IF((J220-L220)&lt;0,(st_3*-1)*(J220-L220)/J220,(st_3*-1)*(J220-L220)/J220))),0,IF(J220=" ",0,IF((J220-L220)&lt;0,(st_3*-1)*(J220-L220)/J220,(st_3*-1)*(J220-L220)/J220)))</f>
        <v>0</v>
      </c>
      <c r="K219" s="191"/>
      <c r="L219" s="277">
        <f>IF(ISERROR(IF(L220=" ",0,IF((L220-N220)&lt;0,(st_4*-1)*(L220-N220)/L220,(st_4*-1)*(L220-N220)/L220))),0,IF(L220=" ",0,IF((L220-N220)&lt;0,(st_4*-1)*(L220-N220)/L220,(st_4*-1)*(L220-N220)/L220)))</f>
        <v>0</v>
      </c>
      <c r="M219" s="191"/>
      <c r="N219" s="188"/>
    </row>
    <row r="220" spans="2:15" s="86" customFormat="1" ht="20.100000000000001" customHeight="1">
      <c r="B220" s="2449" t="s">
        <v>493</v>
      </c>
      <c r="C220" s="2450"/>
      <c r="D220" s="2451"/>
      <c r="E220" s="83"/>
      <c r="F220" s="580" t="str">
        <f>IF(ca_1=0," ",st_1*du_1*30/ca_1)</f>
        <v xml:space="preserve"> </v>
      </c>
      <c r="G220" s="83"/>
      <c r="H220" s="580" t="str">
        <f>IF(ca_2=0," ",st_2*du_2*30/ca_2)</f>
        <v xml:space="preserve"> </v>
      </c>
      <c r="I220" s="83"/>
      <c r="J220" s="580" t="str">
        <f>IF(ca_3=0," ",st_3*du_3*30/ca_3)</f>
        <v xml:space="preserve"> </v>
      </c>
      <c r="K220" s="82"/>
      <c r="L220" s="580" t="str">
        <f>IF(ca_4=0," ",st_4*du_4*30/ca_4)</f>
        <v xml:space="preserve"> </v>
      </c>
      <c r="M220" s="82"/>
      <c r="N220" s="583" t="str">
        <f>IF(ca_5=0," ",st_5*du_5*30/ca_5)</f>
        <v xml:space="preserve"> </v>
      </c>
      <c r="O220" s="252"/>
    </row>
    <row r="221" spans="2:15" s="86" customFormat="1" ht="30" customHeight="1">
      <c r="B221" s="2452" t="s">
        <v>494</v>
      </c>
      <c r="C221" s="2453"/>
      <c r="D221" s="2454"/>
      <c r="E221" s="153"/>
      <c r="F221" s="581" t="str">
        <f>IF(F220=" "," ",IF(F222&gt;0,"Gain de trésorerie",IF(F222&lt;0,"Perte de trésorerie"," ")))</f>
        <v xml:space="preserve"> </v>
      </c>
      <c r="G221" s="153"/>
      <c r="H221" s="581" t="str">
        <f>IF(H220=" "," ",IF(H222&gt;0,"Gain de trésorerie",IF(H222&lt;0,"Perte de trésorerie"," ")))</f>
        <v xml:space="preserve"> </v>
      </c>
      <c r="I221" s="153"/>
      <c r="J221" s="581" t="str">
        <f>IF(J220=" "," ",IF(J222&gt;0,"Gain de trésorerie",IF(J222&lt;0,"Perte de trésorerie"," ")))</f>
        <v xml:space="preserve"> </v>
      </c>
      <c r="K221" s="152"/>
      <c r="L221" s="581" t="str">
        <f>IF(L220=" "," ",IF(L222&gt;0,"Gain de trésorerie",IF(L222&lt;0,"Perte de trésorerie"," ")))</f>
        <v xml:space="preserve"> </v>
      </c>
      <c r="M221" s="152"/>
      <c r="N221" s="2459"/>
      <c r="O221" s="82"/>
    </row>
    <row r="222" spans="2:15" s="86" customFormat="1" ht="20.100000000000001" customHeight="1">
      <c r="B222" s="2347"/>
      <c r="C222" s="2348"/>
      <c r="D222" s="2349"/>
      <c r="E222" s="83"/>
      <c r="F222" s="582" t="str">
        <f>IF(ISERROR(IF(F220=" "," ",IF(u="K€",F219,IF(u="€",F219/1000)))),0,IF(F220=" "," ",IF(u="K€",F219,IF(u="€",F219/1000))))</f>
        <v xml:space="preserve"> </v>
      </c>
      <c r="G222" s="83"/>
      <c r="H222" s="582" t="str">
        <f>IF(ISERROR(IF(H220=" "," ",IF(u="K€",H219,IF(u="€",H219/1000)))),0,IF(H220=" "," ",IF(u="K€",H219,IF(u="€",H219/1000))))</f>
        <v xml:space="preserve"> </v>
      </c>
      <c r="I222" s="83"/>
      <c r="J222" s="582" t="str">
        <f>IF(ISERROR(IF(J220=" "," ",IF(u="K€",J219,IF(u="€",J219/1000)))),0,IF(J220=" "," ",IF(u="K€",J219,IF(u="€",J219/1000))))</f>
        <v xml:space="preserve"> </v>
      </c>
      <c r="K222" s="82"/>
      <c r="L222" s="582" t="str">
        <f>IF(ISERROR(IF(L220=" "," ",IF(u="K€",L219,IF(u="€",L219/1000)))),0,IF(L220=" "," ",IF(u="K€",L219,IF(u="€",L219/1000))))</f>
        <v xml:space="preserve"> </v>
      </c>
      <c r="M222" s="82"/>
      <c r="N222" s="2460"/>
    </row>
    <row r="223" spans="2:15" s="62" customFormat="1" ht="6" customHeight="1">
      <c r="B223" s="89"/>
      <c r="C223" s="89"/>
      <c r="D223" s="227"/>
      <c r="E223" s="63"/>
      <c r="F223" s="90"/>
      <c r="G223" s="63"/>
      <c r="H223" s="90"/>
      <c r="I223" s="63"/>
      <c r="J223" s="90"/>
      <c r="L223" s="90"/>
      <c r="N223" s="90"/>
    </row>
    <row r="224" spans="2:15" ht="20.100000000000001" customHeight="1">
      <c r="D224" s="1059" t="s">
        <v>174</v>
      </c>
      <c r="F224" s="1060"/>
      <c r="H224" s="1060"/>
      <c r="J224" s="1060"/>
      <c r="L224" s="1060"/>
      <c r="N224" s="1060"/>
    </row>
    <row r="225" spans="2:16" ht="3" customHeight="1">
      <c r="D225" s="222"/>
      <c r="F225" s="75"/>
      <c r="H225" s="75"/>
      <c r="J225" s="75"/>
      <c r="L225" s="75"/>
      <c r="N225" s="75"/>
    </row>
    <row r="226" spans="2:16" ht="15" customHeight="1">
      <c r="D226" s="1061" t="s">
        <v>287</v>
      </c>
      <c r="F226" s="1058" t="str">
        <f>IF(ISBLANK(F224)," ",IF(F220&lt;(0.99*F224),"Favorable",IF(F220&gt;(F224*1.01),"Défavorable","Correct ")))</f>
        <v xml:space="preserve"> </v>
      </c>
      <c r="H226" s="1058" t="str">
        <f>IF(ISBLANK(H224)," ",IF(H220&lt;(0.99*H224),"Favorable",IF(H220&gt;(H224*1.01),"Défavorable","Correct ")))</f>
        <v xml:space="preserve"> </v>
      </c>
      <c r="J226" s="1058" t="str">
        <f>IF(ISBLANK(J224)," ",IF(J220&lt;(0.99*J224),"Favorable",IF(J220&gt;(J224*1.01),"Défavorable","Correct ")))</f>
        <v xml:space="preserve"> </v>
      </c>
      <c r="L226" s="1058" t="str">
        <f>IF(ISBLANK(L224)," ",IF(L220&lt;(0.99*L224),"Favorable",IF(L220&gt;(L224*1.01),"Défavorable","Correct ")))</f>
        <v xml:space="preserve"> </v>
      </c>
      <c r="N226" s="1058" t="str">
        <f>IF(ISBLANK(N224)," ",IF(N220&lt;(0.99*N224),"Favorable",IF(N220&gt;(N224*1.01),"Défavorable","Correct ")))</f>
        <v xml:space="preserve"> </v>
      </c>
    </row>
    <row r="227" spans="2:16" ht="15" customHeight="1">
      <c r="E227" s="253"/>
      <c r="F227" s="278" t="e">
        <f>F168+F176+F185+F194+F203+F211</f>
        <v>#VALUE!</v>
      </c>
      <c r="G227" s="279"/>
      <c r="H227" s="278" t="e">
        <f>H168+H176+H185+H194+H203+H211</f>
        <v>#VALUE!</v>
      </c>
      <c r="I227" s="279"/>
      <c r="J227" s="278" t="e">
        <f>J168+J176+J185+J194+J203+J211</f>
        <v>#VALUE!</v>
      </c>
      <c r="K227" s="280"/>
      <c r="L227" s="278" t="e">
        <f>L168+L176+L185+L194+L203+L211</f>
        <v>#VALUE!</v>
      </c>
      <c r="M227" s="191"/>
      <c r="N227" s="281"/>
    </row>
    <row r="228" spans="2:16" s="86" customFormat="1" ht="30" customHeight="1">
      <c r="B228" s="2473" t="s">
        <v>492</v>
      </c>
      <c r="C228" s="2474"/>
      <c r="D228" s="2475"/>
      <c r="E228" s="153"/>
      <c r="F228" s="589" t="str">
        <f>IF(ISERROR(IF(F227=0," ",IF(F229&gt;0,"Gain total de trésorerie",IF(F229&lt;0,"Perte totale de trésorerie"," "))))," ",IF(F227=0," ",IF(F229&gt;0,"Gain total de trésorerie",IF(F229&lt;0,"Perte totale de trésorerie"," "))))</f>
        <v xml:space="preserve"> </v>
      </c>
      <c r="G228" s="153"/>
      <c r="H228" s="589" t="str">
        <f>IF(ISERROR(IF(H227=0," ",IF(H229&gt;0,"Gain total de trésorerie",IF(H229&lt;0,"Perte totale de trésorerie"," "))))," ",IF(H227=0," ",IF(H229&gt;0,"Gain total de trésorerie",IF(H229&lt;0,"Perte totale de trésorerie"," "))))</f>
        <v xml:space="preserve"> </v>
      </c>
      <c r="I228" s="153"/>
      <c r="J228" s="589" t="str">
        <f>IF(ISERROR(IF(J227=0," ",IF(J229&gt;0,"Gain total de trésorerie",IF(J229&lt;0,"Perte totale de trésorerie"," "))))," ",IF(J227=0," ",IF(J229&gt;0,"Gain total de trésorerie",IF(J229&lt;0,"Perte totale de trésorerie"," "))))</f>
        <v xml:space="preserve"> </v>
      </c>
      <c r="K228" s="152"/>
      <c r="L228" s="589" t="str">
        <f>IF(ISERROR(IF(L227=0," ",IF(L229&gt;0,"Gain total de trésorerie",IF(L229&lt;0,"Perte totale de trésorerie"," "))))," ",IF(L227=0," ",IF(L229&gt;0,"Gain total de trésorerie",IF(L229&lt;0,"Perte totale de trésorerie"," "))))</f>
        <v xml:space="preserve"> </v>
      </c>
      <c r="M228" s="152"/>
      <c r="N228" s="2465"/>
      <c r="O228" s="82"/>
    </row>
    <row r="229" spans="2:16" s="86" customFormat="1" ht="20.100000000000001" customHeight="1">
      <c r="B229" s="2347"/>
      <c r="C229" s="2348"/>
      <c r="D229" s="2349"/>
      <c r="E229" s="83"/>
      <c r="F229" s="582" t="str">
        <f>IF(ISERROR(IF(F227=0," ",IF(u="K€",F227,IF(u="€",F227/1000))))," ",IF(F227=0," ",IF(u="K€",F227,IF(u="€",F227/1000))))</f>
        <v xml:space="preserve"> </v>
      </c>
      <c r="G229" s="83"/>
      <c r="H229" s="582" t="str">
        <f>IF(ISERROR(IF(H227=0," ",IF(u="K€",H227,IF(u="€",H227/1000))))," ",IF(H227=0," ",IF(u="K€",H227,IF(u="€",H227/1000))))</f>
        <v xml:space="preserve"> </v>
      </c>
      <c r="I229" s="83"/>
      <c r="J229" s="582" t="str">
        <f>IF(ISERROR(IF(J227=0," ",IF(u="K€",J227,IF(u="€",J227/1000))))," ",IF(J227=0," ",IF(u="K€",J227,IF(u="€",J227/1000))))</f>
        <v xml:space="preserve"> </v>
      </c>
      <c r="K229" s="82"/>
      <c r="L229" s="582" t="str">
        <f>IF(ISERROR(IF(L227=0," ",IF(u="K€",L227,IF(u="€",L227/1000))))," ",IF(L227=0," ",IF(u="K€",L227,IF(u="€",L227/1000))))</f>
        <v xml:space="preserve"> </v>
      </c>
      <c r="M229" s="82"/>
      <c r="N229" s="2460"/>
    </row>
    <row r="230" spans="2:16" ht="20.100000000000001" customHeight="1"/>
    <row r="231" spans="2:16" ht="21.9" customHeight="1">
      <c r="B231" s="1918" t="s">
        <v>418</v>
      </c>
      <c r="C231" s="2381" t="s">
        <v>477</v>
      </c>
      <c r="D231" s="2382"/>
      <c r="E231" s="93"/>
      <c r="F231" s="93" t="str">
        <f>IF(b_1=" ","",bfre_1+by_1+bilan!E80+bilan!E101+dbz_1)</f>
        <v/>
      </c>
      <c r="G231" s="93"/>
      <c r="H231" s="93" t="str">
        <f>IF(b_2=" ","",bfre_2+by_2+bilan!G80+bilan!G101+dbz_2)</f>
        <v/>
      </c>
      <c r="I231" s="93"/>
      <c r="J231" s="93" t="str">
        <f>IF(b_3=" ","",bfre_3+by_3+bilan!I80+bilan!I101+dbz_3)</f>
        <v/>
      </c>
      <c r="K231" s="93"/>
      <c r="L231" s="93" t="str">
        <f>IF(b_4=" ","",bfre_4+by_4+bilan!K80+bilan!K101+dbz_4)</f>
        <v/>
      </c>
      <c r="M231" s="93"/>
      <c r="N231" s="93" t="str">
        <f>IF(b_5=" ","",bfre_5+by_5+bilan!M80+bilan!M101+dbz_5)</f>
        <v/>
      </c>
      <c r="O231" s="92"/>
    </row>
    <row r="232" spans="2:16" ht="24.9" customHeight="1">
      <c r="B232" s="2469" t="s">
        <v>445</v>
      </c>
      <c r="C232" s="2470"/>
      <c r="D232" s="1183" t="str">
        <f>IF(ISBLANK(u)," ",u)</f>
        <v xml:space="preserve"> </v>
      </c>
      <c r="E232" s="163"/>
      <c r="F232" s="1184" t="str">
        <f>IF(ISERROR(caf_1)," ",caf_1)</f>
        <v xml:space="preserve"> </v>
      </c>
      <c r="G232" s="310"/>
      <c r="H232" s="1184" t="str">
        <f>IF(ISERROR(caf_2)," ",caf_2)</f>
        <v xml:space="preserve"> </v>
      </c>
      <c r="I232" s="310"/>
      <c r="J232" s="1184" t="str">
        <f>IF(ISERROR(caf_3)," ",caf_3)</f>
        <v xml:space="preserve"> </v>
      </c>
      <c r="K232" s="67"/>
      <c r="L232" s="1184" t="str">
        <f>IF(ISERROR(caf_4)," ",caf_4)</f>
        <v xml:space="preserve"> </v>
      </c>
      <c r="M232" s="67"/>
      <c r="N232" s="2466"/>
      <c r="O232" s="62"/>
    </row>
    <row r="233" spans="2:16" ht="24.9" customHeight="1">
      <c r="B233" s="2455" t="s">
        <v>446</v>
      </c>
      <c r="C233" s="2456"/>
      <c r="D233" s="1185" t="str">
        <f>IF(ISBLANK(u)," ",u)</f>
        <v xml:space="preserve"> </v>
      </c>
      <c r="E233" s="163"/>
      <c r="F233" s="1186" t="str">
        <f>IF(b_1=" "," ",'tableau de financement'!G44-'tableau de financement'!H42)</f>
        <v xml:space="preserve"> </v>
      </c>
      <c r="G233" s="310"/>
      <c r="H233" s="1186" t="str">
        <f>IF(b_2=" "," ",'tableau de financement'!J44-'tableau de financement'!K42)</f>
        <v xml:space="preserve"> </v>
      </c>
      <c r="I233" s="310"/>
      <c r="J233" s="1186" t="str">
        <f>IF(b_3=" "," ",'tableau de financement'!M44-'tableau de financement'!N42)</f>
        <v xml:space="preserve"> </v>
      </c>
      <c r="K233" s="67"/>
      <c r="L233" s="1186" t="str">
        <f>IF(b_4=" "," ",'tableau de financement'!P44-'tableau de financement'!Q42)</f>
        <v xml:space="preserve"> </v>
      </c>
      <c r="M233" s="67"/>
      <c r="N233" s="2467"/>
      <c r="O233" s="62"/>
    </row>
    <row r="234" spans="2:16" ht="24.9" customHeight="1">
      <c r="B234" s="2471" t="s">
        <v>447</v>
      </c>
      <c r="C234" s="2472"/>
      <c r="D234" s="1187" t="str">
        <f>IF(ISBLANK(u)," ",u)</f>
        <v xml:space="preserve"> </v>
      </c>
      <c r="E234" s="163"/>
      <c r="F234" s="1188" t="str">
        <f>IF(ISERROR(F232-F233)," ",F232-F233)</f>
        <v xml:space="preserve"> </v>
      </c>
      <c r="G234" s="310"/>
      <c r="H234" s="1188" t="str">
        <f>IF(ISERROR(H232-H233)," ",H232-H233)</f>
        <v xml:space="preserve"> </v>
      </c>
      <c r="I234" s="310"/>
      <c r="J234" s="1188" t="str">
        <f>IF(ISERROR(J232-J233)," ",J232-J233)</f>
        <v xml:space="preserve"> </v>
      </c>
      <c r="K234" s="67"/>
      <c r="L234" s="1188" t="str">
        <f>IF(ISERROR(L232-L233)," ",L232-L233)</f>
        <v xml:space="preserve"> </v>
      </c>
      <c r="M234" s="67"/>
      <c r="N234" s="2468"/>
      <c r="O234" s="62"/>
    </row>
    <row r="235" spans="2:16" ht="3" customHeight="1"/>
    <row r="236" spans="2:16" ht="48" customHeight="1">
      <c r="B236" s="62"/>
      <c r="C236" s="2379" t="s">
        <v>477</v>
      </c>
      <c r="D236" s="2380"/>
      <c r="F236" s="166" t="str">
        <f>IF(b_1=0," ",IF(F232&lt;F233,"La CAF ne couvre pas l'augmentation du BFRE"," "))</f>
        <v xml:space="preserve"> </v>
      </c>
      <c r="G236" s="183"/>
      <c r="H236" s="166" t="str">
        <f>IF(H232&lt;H233,"La CAF ne couvre pas l'augmentation du BFRE"," ")</f>
        <v xml:space="preserve"> </v>
      </c>
      <c r="J236" s="166" t="str">
        <f>IF(J232&lt;J233,"La CAF ne couvre pas l'augmentation du BFRE"," ")</f>
        <v xml:space="preserve"> </v>
      </c>
      <c r="L236" s="166" t="str">
        <f>IF(L232&lt;L233,"La CAF ne couvre pas l'augmentation du BFRE"," ")</f>
        <v xml:space="preserve"> </v>
      </c>
      <c r="N236" s="183"/>
      <c r="O236" s="183"/>
    </row>
    <row r="237" spans="2:16" ht="6" customHeight="1"/>
    <row r="238" spans="2:16" ht="24.9" customHeight="1">
      <c r="B238" s="592" t="s">
        <v>281</v>
      </c>
      <c r="C238" s="593"/>
      <c r="D238" s="594">
        <f>u</f>
        <v>0</v>
      </c>
      <c r="E238" s="163"/>
      <c r="F238" s="596" t="str">
        <f>IF(ca_1=0," ",immo_1-cession_1+'tableau de financement'!G51-'tableau de financement'!H51)</f>
        <v xml:space="preserve"> </v>
      </c>
      <c r="G238" s="310"/>
      <c r="H238" s="596" t="str">
        <f>IF(ca_2=0," ",immo_2-cession_2+'tableau de financement'!J51-'tableau de financement'!K51)</f>
        <v xml:space="preserve"> </v>
      </c>
      <c r="I238" s="310"/>
      <c r="J238" s="596" t="str">
        <f>IF(ca_3=0," ",immo_3-cession_3+'tableau de financement'!M51-'tableau de financement'!N51)</f>
        <v xml:space="preserve"> </v>
      </c>
      <c r="K238" s="67"/>
      <c r="L238" s="596" t="str">
        <f>IF(ca_4=0," ",immo_4-cession_4+'tableau de financement'!P51-'tableau de financement'!Q51)</f>
        <v xml:space="preserve"> </v>
      </c>
      <c r="M238" s="67"/>
      <c r="N238" s="2461"/>
      <c r="O238" s="62"/>
      <c r="P238" s="115"/>
    </row>
    <row r="239" spans="2:16" ht="24.9" customHeight="1">
      <c r="B239" s="2350" t="s">
        <v>282</v>
      </c>
      <c r="C239" s="2351"/>
      <c r="D239" s="595">
        <f>u</f>
        <v>0</v>
      </c>
      <c r="E239" s="590"/>
      <c r="F239" s="597" t="str">
        <f>IF(b_1=0," ",IF(ca_1=0," ",(tr_1-tr_2)-F234+F238))</f>
        <v xml:space="preserve"> </v>
      </c>
      <c r="G239" s="591"/>
      <c r="H239" s="597" t="str">
        <f>IF(ca_2=0," ",(tr_2-tr_3)-H234+H238)</f>
        <v xml:space="preserve"> </v>
      </c>
      <c r="I239" s="591"/>
      <c r="J239" s="597" t="str">
        <f>IF(ca_3=0," ",(tr_3-tr_4)-J234+J238)</f>
        <v xml:space="preserve"> </v>
      </c>
      <c r="K239" s="303"/>
      <c r="L239" s="597" t="str">
        <f>IF(ca_4=0," ",(tr_4-tr_5)-L234+L238)</f>
        <v xml:space="preserve"> </v>
      </c>
      <c r="M239" s="67"/>
      <c r="N239" s="2462"/>
      <c r="O239" s="62"/>
    </row>
    <row r="240" spans="2:16" ht="9" customHeight="1"/>
    <row r="241" spans="1:15" ht="18" customHeight="1">
      <c r="B241" s="2457" t="s">
        <v>504</v>
      </c>
      <c r="C241" s="1189" t="s">
        <v>219</v>
      </c>
      <c r="D241" s="1191">
        <f>u</f>
        <v>0</v>
      </c>
      <c r="E241" s="598"/>
      <c r="F241" s="1193" t="str">
        <f>IF(ISERROR(F234-F238+F239)," ",F234-F238+F239)</f>
        <v xml:space="preserve"> </v>
      </c>
      <c r="G241" s="153"/>
      <c r="H241" s="1193" t="str">
        <f>IF(ISERROR(H234-H238+H239)," ",H234-H238+H239)</f>
        <v xml:space="preserve"> </v>
      </c>
      <c r="I241" s="153"/>
      <c r="J241" s="1193" t="str">
        <f>IF(ISERROR(J234-J238+J239)," ",J234-J238+J239)</f>
        <v xml:space="preserve"> </v>
      </c>
      <c r="K241" s="71"/>
      <c r="L241" s="1193" t="str">
        <f>IF(ISERROR(L234-L238+L239)," ",L234-L238+L239)</f>
        <v xml:space="preserve"> </v>
      </c>
      <c r="M241" s="67"/>
      <c r="N241" s="1194"/>
      <c r="O241" s="186"/>
    </row>
    <row r="242" spans="1:15" ht="18" customHeight="1">
      <c r="B242" s="2458"/>
      <c r="C242" s="2342" t="s">
        <v>221</v>
      </c>
      <c r="D242" s="2343"/>
      <c r="E242" s="599"/>
      <c r="F242" s="600" t="str">
        <f>IF(ca_1=0," ",IF(b_1=0," ",F241*(du_1*30)/ca_1))</f>
        <v xml:space="preserve"> </v>
      </c>
      <c r="G242" s="378"/>
      <c r="H242" s="600" t="str">
        <f>IF(ca_2=0," ",H241*(du_2*30)/ca_2)</f>
        <v xml:space="preserve"> </v>
      </c>
      <c r="I242" s="378"/>
      <c r="J242" s="600" t="str">
        <f>IF(ca_3=0," ",J241*(du_3*30)/ca_3)</f>
        <v xml:space="preserve"> </v>
      </c>
      <c r="K242" s="378"/>
      <c r="L242" s="600" t="str">
        <f>IF(ca_4=0," ",L241*(du_4*30)/ca_4)</f>
        <v xml:space="preserve"> </v>
      </c>
      <c r="M242" s="69"/>
      <c r="N242" s="602"/>
      <c r="O242" s="62"/>
    </row>
    <row r="243" spans="1:15" ht="18" customHeight="1">
      <c r="B243" s="2436" t="s">
        <v>209</v>
      </c>
      <c r="C243" s="1190" t="s">
        <v>219</v>
      </c>
      <c r="D243" s="1192">
        <f>u</f>
        <v>0</v>
      </c>
      <c r="E243" s="163"/>
      <c r="F243" s="1195" t="str">
        <f>IF(ca_1=0," ",IF(b_1=0," ",H243+F241))</f>
        <v xml:space="preserve"> </v>
      </c>
      <c r="G243" s="310"/>
      <c r="H243" s="1195" t="str">
        <f>IF(ca_2=0," ",J243+H241)</f>
        <v xml:space="preserve"> </v>
      </c>
      <c r="I243" s="310"/>
      <c r="J243" s="1195" t="str">
        <f>IF(ca_3=0," ",L243+J241)</f>
        <v xml:space="preserve"> </v>
      </c>
      <c r="K243" s="67"/>
      <c r="L243" s="1195" t="str">
        <f>IF(ca_4=0," ",N243+L241)</f>
        <v xml:space="preserve"> </v>
      </c>
      <c r="M243" s="67"/>
      <c r="N243" s="1195" t="str">
        <f>IF(ca_5=0," ",tr_5)</f>
        <v xml:space="preserve"> </v>
      </c>
      <c r="O243" s="62"/>
    </row>
    <row r="244" spans="1:15" ht="18" customHeight="1">
      <c r="B244" s="2437"/>
      <c r="C244" s="2389" t="s">
        <v>221</v>
      </c>
      <c r="D244" s="2390"/>
      <c r="E244" s="151"/>
      <c r="F244" s="601" t="str">
        <f>IF(ISERROR(tr_1*(du_1*30)/ca_1)," ",tr_1*(du_1*30)/ca_1)</f>
        <v xml:space="preserve"> </v>
      </c>
      <c r="G244" s="379"/>
      <c r="H244" s="601" t="str">
        <f>IF(ISERROR(tr_2*(du_2*30)/ca_2)," ",tr_2*(du_2*30)/ca_2)</f>
        <v xml:space="preserve"> </v>
      </c>
      <c r="I244" s="379"/>
      <c r="J244" s="601" t="str">
        <f>IF(ISERROR(tr_3*(du_3*30)/ca_3)," ",tr_3*(du_3*30)/ca_3)</f>
        <v xml:space="preserve"> </v>
      </c>
      <c r="K244" s="373"/>
      <c r="L244" s="601" t="str">
        <f>IF(ISERROR(tr_4*(du_4*30)/ca_4)," ",tr_4*(du_4*30)/ca_4)</f>
        <v xml:space="preserve"> </v>
      </c>
      <c r="M244" s="373"/>
      <c r="N244" s="601" t="str">
        <f>IF(ISERROR(tr_5*(du_5*30)/ca_5)," ",tr_5*(du_5*30)/ca_5)</f>
        <v xml:space="preserve"> </v>
      </c>
      <c r="O244" s="62"/>
    </row>
    <row r="246" spans="1:15" ht="30" customHeight="1">
      <c r="B246" s="2385" t="s">
        <v>419</v>
      </c>
      <c r="C246" s="2386"/>
      <c r="D246" s="2386"/>
      <c r="E246" s="2386"/>
      <c r="F246" s="2386"/>
      <c r="G246" s="2387"/>
      <c r="H246" s="2387"/>
      <c r="I246" s="2387"/>
      <c r="J246" s="2387"/>
      <c r="K246" s="2387"/>
      <c r="L246" s="2387"/>
      <c r="M246" s="2387"/>
      <c r="N246" s="2388"/>
      <c r="O246" s="92"/>
    </row>
    <row r="248" spans="1:15" s="182" customFormat="1" ht="20.100000000000001" customHeight="1">
      <c r="A248" s="56"/>
      <c r="B248" s="56"/>
      <c r="C248" s="56"/>
      <c r="D248" s="73"/>
      <c r="E248" s="63"/>
      <c r="F248" s="1209" t="str">
        <f>IF(ISERROR(IF(ISBLANK(Score!J14)," ",Score!J14))," ",IF(ISBLANK(Score!J14)," ",Score!J14))</f>
        <v xml:space="preserve"> </v>
      </c>
      <c r="G248" s="180"/>
      <c r="H248" s="1208" t="str">
        <f>IF(ISERROR(IF(ISBLANK(Score!N14)," ",Score!N14))," ",IF(ISBLANK(Score!N14)," ",Score!N14))</f>
        <v xml:space="preserve"> </v>
      </c>
      <c r="I248" s="63"/>
      <c r="J248" s="1209" t="str">
        <f>IF(ISERROR(IF(ISBLANK(Score!R14)," ",Score!R14))," ",IF(ISBLANK(Score!R14)," ",Score!R14))</f>
        <v xml:space="preserve"> </v>
      </c>
      <c r="K248" s="181"/>
      <c r="L248" s="1208" t="str">
        <f>IF(ISERROR(IF(ISBLANK(Score!V14)," ",Score!V14))," ",IF(ISBLANK(Score!V14)," ",Score!V14))</f>
        <v xml:space="preserve"> </v>
      </c>
      <c r="M248" s="62"/>
      <c r="N248" s="1209" t="str">
        <f>IF(ISERROR(IF(ISBLANK(Score!Z14)," ",Score!Z14))," ",IF(ISBLANK(Score!Z14)," ",Score!Z14))</f>
        <v xml:space="preserve"> </v>
      </c>
    </row>
    <row r="249" spans="1:15" ht="6" customHeight="1"/>
    <row r="250" spans="1:15" ht="45" customHeight="1">
      <c r="F250" s="1210" t="str">
        <f>IF(ISBLANK(Score!H16)," ",Score!H16)</f>
        <v xml:space="preserve"> </v>
      </c>
      <c r="G250" s="228"/>
      <c r="H250" s="1210" t="str">
        <f>IF(ISBLANK(Score!L16)," ",Score!L16)</f>
        <v xml:space="preserve"> </v>
      </c>
      <c r="I250" s="228"/>
      <c r="J250" s="1210" t="str">
        <f>IF(ISBLANK(Score!P16)," ",Score!P16)</f>
        <v xml:space="preserve"> </v>
      </c>
      <c r="K250" s="229"/>
      <c r="L250" s="1210" t="str">
        <f>IF(ISBLANK(Score!T16)," ",Score!T16)</f>
        <v xml:space="preserve"> </v>
      </c>
      <c r="M250" s="229"/>
      <c r="N250" s="1211" t="str">
        <f>IF(ISBLANK(Score!X16)," ",Score!X16)</f>
        <v xml:space="preserve"> </v>
      </c>
    </row>
  </sheetData>
  <sheetProtection algorithmName="SHA-512" hashValue="WWScMX8xdq0Mp4U5H/D+zEEHRkkWX5jgPe2n+jmokKtGdYvgiimsmIWDSBALsZSuXfP27HpRTL27Dagb/d60Aw==" saltValue="BklL7bpA/JJCkq2gLeUu5g==" spinCount="100000" sheet="1" formatCells="0" formatColumns="0" formatRows="0" insertColumns="0" insertRows="0" insertHyperlinks="0" deleteColumns="0" deleteRows="0" sort="0" autoFilter="0" pivotTables="0"/>
  <mergeCells count="137">
    <mergeCell ref="N170:N171"/>
    <mergeCell ref="B195:B196"/>
    <mergeCell ref="C195:D195"/>
    <mergeCell ref="B96:C96"/>
    <mergeCell ref="N100:N101"/>
    <mergeCell ref="F100:F101"/>
    <mergeCell ref="J100:J101"/>
    <mergeCell ref="C100:D101"/>
    <mergeCell ref="C99:D99"/>
    <mergeCell ref="C104:D104"/>
    <mergeCell ref="C105:D105"/>
    <mergeCell ref="B134:B135"/>
    <mergeCell ref="C164:D164"/>
    <mergeCell ref="B178:D179"/>
    <mergeCell ref="B177:D177"/>
    <mergeCell ref="C165:D165"/>
    <mergeCell ref="B169:D169"/>
    <mergeCell ref="N188:N189"/>
    <mergeCell ref="C158:D158"/>
    <mergeCell ref="C150:D150"/>
    <mergeCell ref="L100:L101"/>
    <mergeCell ref="B186:B187"/>
    <mergeCell ref="J147"/>
    <mergeCell ref="B170:D171"/>
    <mergeCell ref="N197:N198"/>
    <mergeCell ref="B232:C232"/>
    <mergeCell ref="B205:D206"/>
    <mergeCell ref="B234:C234"/>
    <mergeCell ref="C231:D231"/>
    <mergeCell ref="C203:D203"/>
    <mergeCell ref="B228:D229"/>
    <mergeCell ref="B204:D204"/>
    <mergeCell ref="B212:D212"/>
    <mergeCell ref="B197:D198"/>
    <mergeCell ref="B213:D214"/>
    <mergeCell ref="B243:B244"/>
    <mergeCell ref="L147"/>
    <mergeCell ref="C117:D117"/>
    <mergeCell ref="C159:D159"/>
    <mergeCell ref="B133:N133"/>
    <mergeCell ref="C142:D142"/>
    <mergeCell ref="C161:D161"/>
    <mergeCell ref="C135:D135"/>
    <mergeCell ref="C236:D236"/>
    <mergeCell ref="C194:D194"/>
    <mergeCell ref="C185:D185"/>
    <mergeCell ref="B220:D220"/>
    <mergeCell ref="B221:D222"/>
    <mergeCell ref="B233:C233"/>
    <mergeCell ref="B241:B242"/>
    <mergeCell ref="N178:N179"/>
    <mergeCell ref="N238:N239"/>
    <mergeCell ref="C196:D196"/>
    <mergeCell ref="C187:D187"/>
    <mergeCell ref="N228:N229"/>
    <mergeCell ref="N232:N234"/>
    <mergeCell ref="N221:N222"/>
    <mergeCell ref="N205:N206"/>
    <mergeCell ref="N213:N214"/>
    <mergeCell ref="B149:B150"/>
    <mergeCell ref="C186:D186"/>
    <mergeCell ref="C18:D18"/>
    <mergeCell ref="C139:D139"/>
    <mergeCell ref="H100:H101"/>
    <mergeCell ref="C71:D71"/>
    <mergeCell ref="C84:D84"/>
    <mergeCell ref="C40:D40"/>
    <mergeCell ref="C45:D45"/>
    <mergeCell ref="C98:D98"/>
    <mergeCell ref="B94:D94"/>
    <mergeCell ref="C5:D5"/>
    <mergeCell ref="C48:D48"/>
    <mergeCell ref="C9:D9"/>
    <mergeCell ref="C13:D13"/>
    <mergeCell ref="C26:D26"/>
    <mergeCell ref="C67:D67"/>
    <mergeCell ref="C29:D29"/>
    <mergeCell ref="C92:D92"/>
    <mergeCell ref="B44:B45"/>
    <mergeCell ref="C15:D15"/>
    <mergeCell ref="C21:D21"/>
    <mergeCell ref="B30:B31"/>
    <mergeCell ref="B73:B74"/>
    <mergeCell ref="B86:B87"/>
    <mergeCell ref="C85:D85"/>
    <mergeCell ref="B91:B92"/>
    <mergeCell ref="C87:D87"/>
    <mergeCell ref="B6:B7"/>
    <mergeCell ref="C31:D31"/>
    <mergeCell ref="B246:N246"/>
    <mergeCell ref="C50:D50"/>
    <mergeCell ref="C244:D244"/>
    <mergeCell ref="C153:D153"/>
    <mergeCell ref="C151:D151"/>
    <mergeCell ref="B157:B158"/>
    <mergeCell ref="C168:D168"/>
    <mergeCell ref="C176:D176"/>
    <mergeCell ref="B140:B141"/>
    <mergeCell ref="B123:B124"/>
    <mergeCell ref="B125:B126"/>
    <mergeCell ref="B128:D128"/>
    <mergeCell ref="B62:B63"/>
    <mergeCell ref="C69:D69"/>
    <mergeCell ref="B49:B50"/>
    <mergeCell ref="C108:D108"/>
    <mergeCell ref="B119:B120"/>
    <mergeCell ref="B121:B122"/>
    <mergeCell ref="C79:D79"/>
    <mergeCell ref="C60:D60"/>
    <mergeCell ref="C56:D56"/>
    <mergeCell ref="B78:B79"/>
    <mergeCell ref="C63:D63"/>
    <mergeCell ref="B100:B101"/>
    <mergeCell ref="B2:D3"/>
    <mergeCell ref="C242:D242"/>
    <mergeCell ref="B188:D189"/>
    <mergeCell ref="B239:C239"/>
    <mergeCell ref="C17:D17"/>
    <mergeCell ref="C136:D136"/>
    <mergeCell ref="B109:D109"/>
    <mergeCell ref="B113:D113"/>
    <mergeCell ref="B27:B28"/>
    <mergeCell ref="B39:B40"/>
    <mergeCell ref="C74:D74"/>
    <mergeCell ref="C141:D141"/>
    <mergeCell ref="C19:D19"/>
    <mergeCell ref="C23:D23"/>
    <mergeCell ref="C52:D52"/>
    <mergeCell ref="C55:D55"/>
    <mergeCell ref="C61:D61"/>
    <mergeCell ref="B83:B84"/>
    <mergeCell ref="B127:D127"/>
    <mergeCell ref="C130:D130"/>
    <mergeCell ref="C112:D112"/>
    <mergeCell ref="C155:D155"/>
    <mergeCell ref="C152:D152"/>
    <mergeCell ref="C160:D160"/>
  </mergeCells>
  <phoneticPr fontId="0" type="noConversion"/>
  <conditionalFormatting sqref="N37">
    <cfRule type="expression" dxfId="600" priority="511" stopIfTrue="1">
      <formula>N$35=0</formula>
    </cfRule>
    <cfRule type="expression" dxfId="599" priority="512" stopIfTrue="1">
      <formula>$N$31&gt;($N$35*1.01)</formula>
    </cfRule>
    <cfRule type="expression" dxfId="598" priority="513" stopIfTrue="1">
      <formula>$N$31&lt;($N$35*0.99)</formula>
    </cfRule>
  </conditionalFormatting>
  <conditionalFormatting sqref="M244 K244 I244 G244 E244 M242 K242 I242 G242 E242 M158:M159 K158:K159 I158:I159 G158:G159 E158:E159 M150:M151 K150:K151 I150:I151 G150:G151 E150:E151 M141:M142 K141:K142 I141:I142 G141:G142 E141:E142 M135:M136 K135:K136 I135:I136 G135:G136 E135:E136 M101 K101 I101 G101 E101 M87 K87 I87 G87 E87 N86 L86 J86 H86 M84 K84 I84 G84 E84 N83 L83 J83 H83 M79 K79 I79 G79 E79 N78 L78 J78 H78 M74 K74 I74 G74 E74 N73 L73 J73 H73 F73 F78 F83 F86 M63 K63 I63 G63 E63 N62 L62 J62 H62 M45 K45 I45 G45 E45 M40 K40 I40 G40 E40 M28 K28 I28 G28 E28 F62 M7 K7 I7 G7 E7">
    <cfRule type="cellIs" dxfId="597" priority="516" stopIfTrue="1" operator="lessThan">
      <formula>0</formula>
    </cfRule>
  </conditionalFormatting>
  <conditionalFormatting sqref="L241 J241 H241 F241">
    <cfRule type="cellIs" dxfId="596" priority="518" stopIfTrue="1" operator="lessThan">
      <formula>0</formula>
    </cfRule>
  </conditionalFormatting>
  <conditionalFormatting sqref="N241 N232 N238:N239 N228 N221 N205 N213 N197 N170 N178 N188 C87:D87">
    <cfRule type="cellIs" dxfId="595" priority="517" stopIfTrue="1" operator="lessThan">
      <formula>0</formula>
    </cfRule>
  </conditionalFormatting>
  <conditionalFormatting sqref="L238 J238 H238 F238">
    <cfRule type="cellIs" dxfId="594" priority="550" stopIfTrue="1" operator="lessThan">
      <formula>0</formula>
    </cfRule>
  </conditionalFormatting>
  <conditionalFormatting sqref="L229 J229 H229 F229 L214 J214 H214 F214 L206 J206 H206 F206 J198 H198 F198 L198 L189 J189 H189 F189 J179 H179 F179 L179 L222 J222 H222 F222 J171 H171 F171">
    <cfRule type="cellIs" dxfId="593" priority="528" stopIfTrue="1" operator="lessThan">
      <formula>0</formula>
    </cfRule>
  </conditionalFormatting>
  <conditionalFormatting sqref="L228">
    <cfRule type="expression" dxfId="592" priority="1765" stopIfTrue="1">
      <formula>$L$229&lt;0</formula>
    </cfRule>
  </conditionalFormatting>
  <conditionalFormatting sqref="J228">
    <cfRule type="expression" dxfId="591" priority="1767" stopIfTrue="1">
      <formula>$J$229&lt;0</formula>
    </cfRule>
  </conditionalFormatting>
  <conditionalFormatting sqref="H228">
    <cfRule type="expression" dxfId="590" priority="1433" stopIfTrue="1">
      <formula>$H$229&lt;0</formula>
    </cfRule>
  </conditionalFormatting>
  <conditionalFormatting sqref="F228">
    <cfRule type="expression" dxfId="589" priority="1434" stopIfTrue="1">
      <formula>$F$229&lt;0</formula>
    </cfRule>
  </conditionalFormatting>
  <conditionalFormatting sqref="N222 N206 N214 N198 N171 N179 N189">
    <cfRule type="expression" dxfId="588" priority="710" stopIfTrue="1">
      <formula>$N$216=0</formula>
    </cfRule>
    <cfRule type="expression" dxfId="587" priority="711" stopIfTrue="1">
      <formula>$N$212&gt;($N$216*1.01)</formula>
    </cfRule>
    <cfRule type="expression" dxfId="586" priority="712" stopIfTrue="1">
      <formula>$N$212&lt;($N$216*0.99)</formula>
    </cfRule>
  </conditionalFormatting>
  <conditionalFormatting sqref="L213">
    <cfRule type="expression" dxfId="585" priority="530" stopIfTrue="1">
      <formula>$L$214&lt;0</formula>
    </cfRule>
  </conditionalFormatting>
  <conditionalFormatting sqref="J213">
    <cfRule type="expression" dxfId="584" priority="545" stopIfTrue="1">
      <formula>$J$214&lt;0</formula>
    </cfRule>
  </conditionalFormatting>
  <conditionalFormatting sqref="H213">
    <cfRule type="expression" dxfId="583" priority="544" stopIfTrue="1">
      <formula>$H$214&lt;0</formula>
    </cfRule>
  </conditionalFormatting>
  <conditionalFormatting sqref="F213">
    <cfRule type="expression" dxfId="582" priority="543" stopIfTrue="1">
      <formula>$F$214&lt;0</formula>
    </cfRule>
  </conditionalFormatting>
  <conditionalFormatting sqref="N210">
    <cfRule type="expression" dxfId="581" priority="698" stopIfTrue="1">
      <formula>$N$208=0</formula>
    </cfRule>
    <cfRule type="expression" dxfId="580" priority="699" stopIfTrue="1">
      <formula>$N$204&gt;($N$208*1.01)</formula>
    </cfRule>
    <cfRule type="expression" dxfId="579" priority="700" stopIfTrue="1">
      <formula>$N$204&lt;($N$208*0.99)</formula>
    </cfRule>
  </conditionalFormatting>
  <conditionalFormatting sqref="L210">
    <cfRule type="expression" dxfId="578" priority="695" stopIfTrue="1">
      <formula>$L$208=0</formula>
    </cfRule>
    <cfRule type="expression" dxfId="577" priority="696" stopIfTrue="1">
      <formula>$L$204&gt;($L$208*1.01)</formula>
    </cfRule>
    <cfRule type="expression" dxfId="576" priority="697" stopIfTrue="1">
      <formula>$L$204&lt;($L$208*0.99)</formula>
    </cfRule>
  </conditionalFormatting>
  <conditionalFormatting sqref="J210">
    <cfRule type="expression" dxfId="575" priority="692" stopIfTrue="1">
      <formula>$J$208=0</formula>
    </cfRule>
    <cfRule type="expression" dxfId="574" priority="693" stopIfTrue="1">
      <formula>$J$204&gt;($J$208*1.01)</formula>
    </cfRule>
    <cfRule type="expression" dxfId="573" priority="694" stopIfTrue="1">
      <formula>$J$204&lt;($J$208*0.99)</formula>
    </cfRule>
  </conditionalFormatting>
  <conditionalFormatting sqref="H210">
    <cfRule type="expression" dxfId="572" priority="689" stopIfTrue="1">
      <formula>$H$208=0</formula>
    </cfRule>
    <cfRule type="expression" dxfId="571" priority="690" stopIfTrue="1">
      <formula>$H$204&gt;($H$208*1.01)</formula>
    </cfRule>
    <cfRule type="expression" dxfId="570" priority="691" stopIfTrue="1">
      <formula>$H$204&lt;($H$208*0.99)</formula>
    </cfRule>
  </conditionalFormatting>
  <conditionalFormatting sqref="F210">
    <cfRule type="expression" dxfId="569" priority="686" stopIfTrue="1">
      <formula>$F$208=0</formula>
    </cfRule>
    <cfRule type="expression" dxfId="568" priority="687" stopIfTrue="1">
      <formula>$F$204&gt;($F$208*1.01)</formula>
    </cfRule>
    <cfRule type="expression" dxfId="567" priority="688" stopIfTrue="1">
      <formula>$F$204&lt;($F$208*0.99)</formula>
    </cfRule>
  </conditionalFormatting>
  <conditionalFormatting sqref="L205">
    <cfRule type="expression" dxfId="566" priority="529" stopIfTrue="1">
      <formula>$L$206&lt;0</formula>
    </cfRule>
  </conditionalFormatting>
  <conditionalFormatting sqref="J205">
    <cfRule type="expression" dxfId="565" priority="542" stopIfTrue="1">
      <formula>$J$206&lt;0</formula>
    </cfRule>
  </conditionalFormatting>
  <conditionalFormatting sqref="H205">
    <cfRule type="expression" dxfId="564" priority="541" stopIfTrue="1">
      <formula>$H$206&lt;0</formula>
    </cfRule>
  </conditionalFormatting>
  <conditionalFormatting sqref="F205">
    <cfRule type="expression" dxfId="563" priority="540" stopIfTrue="1">
      <formula>$F$206&lt;0</formula>
    </cfRule>
  </conditionalFormatting>
  <conditionalFormatting sqref="N202">
    <cfRule type="expression" dxfId="562" priority="683" stopIfTrue="1">
      <formula>$N$200=0</formula>
    </cfRule>
    <cfRule type="expression" dxfId="561" priority="684" stopIfTrue="1">
      <formula>$N$195&gt;($N$200*1.01)</formula>
    </cfRule>
    <cfRule type="expression" dxfId="560" priority="685" stopIfTrue="1">
      <formula>$N$195&lt;($N$200*0.99)</formula>
    </cfRule>
  </conditionalFormatting>
  <conditionalFormatting sqref="L203 J203 H203 F203 L194 J194 H194 F194 L185 J185 H185 F185">
    <cfRule type="expression" dxfId="559" priority="524" stopIfTrue="1">
      <formula>#REF!&gt;$M$170</formula>
    </cfRule>
    <cfRule type="expression" dxfId="558" priority="525" stopIfTrue="1">
      <formula>#REF!&lt;$M$170</formula>
    </cfRule>
  </conditionalFormatting>
  <conditionalFormatting sqref="L202">
    <cfRule type="expression" dxfId="557" priority="680" stopIfTrue="1">
      <formula>$L$200=0</formula>
    </cfRule>
    <cfRule type="expression" dxfId="556" priority="681" stopIfTrue="1">
      <formula>$L$195&gt;($L$200*1.01)</formula>
    </cfRule>
    <cfRule type="expression" dxfId="555" priority="682" stopIfTrue="1">
      <formula>$L$195&lt;($L$200*0.99)</formula>
    </cfRule>
  </conditionalFormatting>
  <conditionalFormatting sqref="J202">
    <cfRule type="expression" dxfId="554" priority="677" stopIfTrue="1">
      <formula>$J$200=0</formula>
    </cfRule>
    <cfRule type="expression" dxfId="553" priority="678" stopIfTrue="1">
      <formula>$J$195&gt;($J$200*1.01)</formula>
    </cfRule>
    <cfRule type="expression" dxfId="552" priority="679" stopIfTrue="1">
      <formula>$J$195&lt;($J$200*0.99)</formula>
    </cfRule>
  </conditionalFormatting>
  <conditionalFormatting sqref="H202">
    <cfRule type="expression" dxfId="551" priority="674" stopIfTrue="1">
      <formula>$H$200=0</formula>
    </cfRule>
    <cfRule type="expression" dxfId="550" priority="675" stopIfTrue="1">
      <formula>$H$195&gt;($H$200*1.01)</formula>
    </cfRule>
    <cfRule type="expression" dxfId="549" priority="676" stopIfTrue="1">
      <formula>$H$195&lt;($H$200*0.99)</formula>
    </cfRule>
  </conditionalFormatting>
  <conditionalFormatting sqref="F202">
    <cfRule type="expression" dxfId="548" priority="671" stopIfTrue="1">
      <formula>$F$200=0</formula>
    </cfRule>
    <cfRule type="expression" dxfId="547" priority="672" stopIfTrue="1">
      <formula>$F$195&gt;($F$200*1.01)</formula>
    </cfRule>
    <cfRule type="expression" dxfId="546" priority="673" stopIfTrue="1">
      <formula>$F$195&lt;($F$200*0.99)</formula>
    </cfRule>
  </conditionalFormatting>
  <conditionalFormatting sqref="L197">
    <cfRule type="expression" dxfId="545" priority="526" stopIfTrue="1">
      <formula>$L$198&lt;0</formula>
    </cfRule>
  </conditionalFormatting>
  <conditionalFormatting sqref="J197">
    <cfRule type="expression" dxfId="544" priority="539" stopIfTrue="1">
      <formula>$J$198&lt;0</formula>
    </cfRule>
  </conditionalFormatting>
  <conditionalFormatting sqref="H197">
    <cfRule type="expression" dxfId="543" priority="538" stopIfTrue="1">
      <formula>$H$198&lt;0</formula>
    </cfRule>
  </conditionalFormatting>
  <conditionalFormatting sqref="F197">
    <cfRule type="expression" dxfId="542" priority="537" stopIfTrue="1">
      <formula>$F$198&lt;0</formula>
    </cfRule>
  </conditionalFormatting>
  <conditionalFormatting sqref="N193">
    <cfRule type="expression" dxfId="541" priority="668" stopIfTrue="1">
      <formula>$N$191=0</formula>
    </cfRule>
    <cfRule type="expression" dxfId="540" priority="669" stopIfTrue="1">
      <formula>$N$186&gt;($N$191*1.01)</formula>
    </cfRule>
    <cfRule type="expression" dxfId="539" priority="670" stopIfTrue="1">
      <formula>$N$186&lt;($N$191*0.99)</formula>
    </cfRule>
  </conditionalFormatting>
  <conditionalFormatting sqref="L193">
    <cfRule type="expression" dxfId="538" priority="665" stopIfTrue="1">
      <formula>$L$191=0</formula>
    </cfRule>
    <cfRule type="expression" dxfId="537" priority="666" stopIfTrue="1">
      <formula>$L$186&gt;($L$191*1.01)</formula>
    </cfRule>
    <cfRule type="expression" dxfId="536" priority="667" stopIfTrue="1">
      <formula>$L$186&lt;($L$191*0.99)</formula>
    </cfRule>
  </conditionalFormatting>
  <conditionalFormatting sqref="J193">
    <cfRule type="expression" dxfId="535" priority="662" stopIfTrue="1">
      <formula>$J$191=0</formula>
    </cfRule>
    <cfRule type="expression" dxfId="534" priority="663" stopIfTrue="1">
      <formula>$J$186&gt;($J$191*1.01)</formula>
    </cfRule>
    <cfRule type="expression" dxfId="533" priority="664" stopIfTrue="1">
      <formula>$J$186&lt;($J$191*0.99)</formula>
    </cfRule>
  </conditionalFormatting>
  <conditionalFormatting sqref="H193">
    <cfRule type="expression" dxfId="532" priority="659" stopIfTrue="1">
      <formula>$H$191=0</formula>
    </cfRule>
    <cfRule type="expression" dxfId="531" priority="660" stopIfTrue="1">
      <formula>$H$186&gt;($H$191*1.01)</formula>
    </cfRule>
    <cfRule type="expression" dxfId="530" priority="661" stopIfTrue="1">
      <formula>$H$186&lt;($H$191*0.99)</formula>
    </cfRule>
  </conditionalFormatting>
  <conditionalFormatting sqref="F193">
    <cfRule type="expression" dxfId="529" priority="656" stopIfTrue="1">
      <formula>$F$191=0</formula>
    </cfRule>
    <cfRule type="expression" dxfId="528" priority="657" stopIfTrue="1">
      <formula>$F$186&gt;($F$191*1.01)</formula>
    </cfRule>
    <cfRule type="expression" dxfId="527" priority="658" stopIfTrue="1">
      <formula>$F$186&lt;($F$191*0.99)</formula>
    </cfRule>
  </conditionalFormatting>
  <conditionalFormatting sqref="L188">
    <cfRule type="expression" dxfId="526" priority="527" stopIfTrue="1">
      <formula>$L$189&lt;0</formula>
    </cfRule>
  </conditionalFormatting>
  <conditionalFormatting sqref="J188">
    <cfRule type="expression" dxfId="525" priority="536" stopIfTrue="1">
      <formula>$J$189&lt;0</formula>
    </cfRule>
  </conditionalFormatting>
  <conditionalFormatting sqref="H188">
    <cfRule type="expression" dxfId="524" priority="535" stopIfTrue="1">
      <formula>$H$189&lt;0</formula>
    </cfRule>
  </conditionalFormatting>
  <conditionalFormatting sqref="F188">
    <cfRule type="expression" dxfId="523" priority="534" stopIfTrue="1">
      <formula>$F$189&lt;0</formula>
    </cfRule>
  </conditionalFormatting>
  <conditionalFormatting sqref="N186:N187 L186:L187 J186:J187 H186:H187">
    <cfRule type="cellIs" dxfId="522" priority="1766" stopIfTrue="1" operator="equal">
      <formula>0</formula>
    </cfRule>
  </conditionalFormatting>
  <conditionalFormatting sqref="N183">
    <cfRule type="expression" dxfId="521" priority="642" stopIfTrue="1">
      <formula>$N$181=0</formula>
    </cfRule>
    <cfRule type="expression" dxfId="520" priority="643" stopIfTrue="1">
      <formula>$N$177&gt;($N$181*1.01)</formula>
    </cfRule>
    <cfRule type="expression" dxfId="519" priority="644" stopIfTrue="1">
      <formula>$N$177&lt;($N$181*0.99)</formula>
    </cfRule>
  </conditionalFormatting>
  <conditionalFormatting sqref="L183">
    <cfRule type="expression" dxfId="518" priority="551" stopIfTrue="1">
      <formula>$L$181=0</formula>
    </cfRule>
    <cfRule type="expression" dxfId="517" priority="552" stopIfTrue="1">
      <formula>$L$177&gt;($L$181*1.01)</formula>
    </cfRule>
    <cfRule type="expression" dxfId="516" priority="553" stopIfTrue="1">
      <formula>$L$177&lt;($L$181*0.99)</formula>
    </cfRule>
  </conditionalFormatting>
  <conditionalFormatting sqref="J183">
    <cfRule type="expression" dxfId="515" priority="639" stopIfTrue="1">
      <formula>$J$181=0</formula>
    </cfRule>
    <cfRule type="expression" dxfId="514" priority="640" stopIfTrue="1">
      <formula>$J$177&gt;($J$181*1.01)</formula>
    </cfRule>
    <cfRule type="expression" dxfId="513" priority="641" stopIfTrue="1">
      <formula>$J$177&lt;($J$181*0.99)</formula>
    </cfRule>
  </conditionalFormatting>
  <conditionalFormatting sqref="H183">
    <cfRule type="expression" dxfId="512" priority="636" stopIfTrue="1">
      <formula>$H$181=0</formula>
    </cfRule>
    <cfRule type="expression" dxfId="511" priority="637" stopIfTrue="1">
      <formula>$H$177&gt;($H$181*1.01)</formula>
    </cfRule>
    <cfRule type="expression" dxfId="510" priority="638" stopIfTrue="1">
      <formula>$H$177&lt;($H$181*0.99)</formula>
    </cfRule>
  </conditionalFormatting>
  <conditionalFormatting sqref="F183">
    <cfRule type="expression" dxfId="509" priority="633" stopIfTrue="1">
      <formula>$F$181=0</formula>
    </cfRule>
    <cfRule type="expression" dxfId="508" priority="634" stopIfTrue="1">
      <formula>$F$177&gt;($F$181*1.01)</formula>
    </cfRule>
    <cfRule type="expression" dxfId="507" priority="635" stopIfTrue="1">
      <formula>$F$177&lt;($F$181*0.99)</formula>
    </cfRule>
  </conditionalFormatting>
  <conditionalFormatting sqref="L178">
    <cfRule type="expression" dxfId="506" priority="523" stopIfTrue="1">
      <formula>$L$179&lt;0</formula>
    </cfRule>
  </conditionalFormatting>
  <conditionalFormatting sqref="J178">
    <cfRule type="expression" dxfId="505" priority="531" stopIfTrue="1">
      <formula>$J$179&lt;0</formula>
    </cfRule>
  </conditionalFormatting>
  <conditionalFormatting sqref="H178">
    <cfRule type="expression" dxfId="504" priority="532" stopIfTrue="1">
      <formula>$H$179&lt;0</formula>
    </cfRule>
  </conditionalFormatting>
  <conditionalFormatting sqref="F178">
    <cfRule type="expression" dxfId="503" priority="533" stopIfTrue="1">
      <formula>$F$179&lt;0</formula>
    </cfRule>
  </conditionalFormatting>
  <conditionalFormatting sqref="N175">
    <cfRule type="expression" dxfId="502" priority="619" stopIfTrue="1">
      <formula>$N$173=0</formula>
    </cfRule>
    <cfRule type="expression" dxfId="501" priority="620" stopIfTrue="1">
      <formula>$N$169&gt;($N$173*1.01)</formula>
    </cfRule>
    <cfRule type="expression" dxfId="500" priority="621" stopIfTrue="1">
      <formula>$N$169&lt;($N$173*0.99)</formula>
    </cfRule>
  </conditionalFormatting>
  <conditionalFormatting sqref="L175">
    <cfRule type="expression" dxfId="499" priority="628" stopIfTrue="1">
      <formula>$L$173=0</formula>
    </cfRule>
    <cfRule type="expression" dxfId="498" priority="629" stopIfTrue="1">
      <formula>$L$169&gt;($L$173*1.01)</formula>
    </cfRule>
    <cfRule type="expression" dxfId="497" priority="630" stopIfTrue="1">
      <formula>$L$169&lt;($L$173*0.99)</formula>
    </cfRule>
  </conditionalFormatting>
  <conditionalFormatting sqref="J175">
    <cfRule type="expression" dxfId="496" priority="625" stopIfTrue="1">
      <formula>$J$173=0</formula>
    </cfRule>
    <cfRule type="expression" dxfId="495" priority="626" stopIfTrue="1">
      <formula>$J$169&gt;($J$173*1.01)</formula>
    </cfRule>
    <cfRule type="expression" dxfId="494" priority="627" stopIfTrue="1">
      <formula>$J$169&lt;($J$173*0.99)</formula>
    </cfRule>
  </conditionalFormatting>
  <conditionalFormatting sqref="H175">
    <cfRule type="expression" dxfId="493" priority="622" stopIfTrue="1">
      <formula>$H$173=0</formula>
    </cfRule>
    <cfRule type="expression" dxfId="492" priority="623" stopIfTrue="1">
      <formula>$H$169&gt;($H$173*1.01)</formula>
    </cfRule>
    <cfRule type="expression" dxfId="491" priority="624" stopIfTrue="1">
      <formula>$H$169&lt;($H$173*0.99)</formula>
    </cfRule>
  </conditionalFormatting>
  <conditionalFormatting sqref="F175">
    <cfRule type="expression" dxfId="490" priority="653" stopIfTrue="1">
      <formula>$F$173=0</formula>
    </cfRule>
    <cfRule type="expression" dxfId="489" priority="654" stopIfTrue="1">
      <formula>$F$169&gt;($F$173*1.01)</formula>
    </cfRule>
    <cfRule type="expression" dxfId="488" priority="655" stopIfTrue="1">
      <formula>$F$169&lt;($F$173*0.99)</formula>
    </cfRule>
  </conditionalFormatting>
  <conditionalFormatting sqref="L170">
    <cfRule type="expression" dxfId="487" priority="1340" stopIfTrue="1">
      <formula>$L$171&lt;0</formula>
    </cfRule>
  </conditionalFormatting>
  <conditionalFormatting sqref="J170">
    <cfRule type="expression" dxfId="486" priority="571" stopIfTrue="1">
      <formula>$J$171&lt;0</formula>
    </cfRule>
  </conditionalFormatting>
  <conditionalFormatting sqref="H170">
    <cfRule type="expression" dxfId="485" priority="1339" stopIfTrue="1">
      <formula>$H$171&lt;0</formula>
    </cfRule>
  </conditionalFormatting>
  <conditionalFormatting sqref="F170">
    <cfRule type="expression" dxfId="484" priority="1338" stopIfTrue="1">
      <formula>$F$171&lt;0</formula>
    </cfRule>
  </conditionalFormatting>
  <conditionalFormatting sqref="N165 L165 J165 H165 F165">
    <cfRule type="cellIs" dxfId="483" priority="583" stopIfTrue="1" operator="equal">
      <formula>0</formula>
    </cfRule>
    <cfRule type="cellIs" dxfId="482" priority="584" stopIfTrue="1" operator="greaterThan">
      <formula>0.6</formula>
    </cfRule>
  </conditionalFormatting>
  <conditionalFormatting sqref="N167">
    <cfRule type="expression" dxfId="481" priority="599" stopIfTrue="1">
      <formula>$N$165=0</formula>
    </cfRule>
    <cfRule type="expression" dxfId="480" priority="600" stopIfTrue="1">
      <formula>$N$165&gt;60%</formula>
    </cfRule>
  </conditionalFormatting>
  <conditionalFormatting sqref="N161 L161 J161 H161 F161">
    <cfRule type="cellIs" dxfId="479" priority="1920" stopIfTrue="1" operator="between">
      <formula>0.5</formula>
      <formula>0.6699999</formula>
    </cfRule>
    <cfRule type="cellIs" dxfId="478" priority="1921" stopIfTrue="1" operator="equal">
      <formula>0</formula>
    </cfRule>
    <cfRule type="cellIs" dxfId="477" priority="1922" stopIfTrue="1" operator="greaterThanOrEqual">
      <formula>0.67</formula>
    </cfRule>
  </conditionalFormatting>
  <conditionalFormatting sqref="L167">
    <cfRule type="expression" dxfId="476" priority="607" stopIfTrue="1">
      <formula>$L$165=0</formula>
    </cfRule>
    <cfRule type="expression" dxfId="475" priority="608" stopIfTrue="1">
      <formula>$L$165&gt;60%</formula>
    </cfRule>
  </conditionalFormatting>
  <conditionalFormatting sqref="J167">
    <cfRule type="expression" dxfId="474" priority="605" stopIfTrue="1">
      <formula>$J$165=0</formula>
    </cfRule>
    <cfRule type="expression" dxfId="473" priority="606" stopIfTrue="1">
      <formula>$J$165&gt;60%</formula>
    </cfRule>
  </conditionalFormatting>
  <conditionalFormatting sqref="H167">
    <cfRule type="expression" dxfId="472" priority="603" stopIfTrue="1">
      <formula>$H$165=0</formula>
    </cfRule>
    <cfRule type="expression" dxfId="471" priority="604" stopIfTrue="1">
      <formula>$H$165&gt;60%</formula>
    </cfRule>
  </conditionalFormatting>
  <conditionalFormatting sqref="F167">
    <cfRule type="expression" dxfId="470" priority="601" stopIfTrue="1">
      <formula>F165=0</formula>
    </cfRule>
    <cfRule type="expression" dxfId="469" priority="602" stopIfTrue="1">
      <formula>F165&gt;60%</formula>
    </cfRule>
  </conditionalFormatting>
  <conditionalFormatting sqref="N153">
    <cfRule type="expression" dxfId="468" priority="617" stopIfTrue="1">
      <formula>$N$6=" "</formula>
    </cfRule>
    <cfRule type="cellIs" dxfId="467" priority="618" stopIfTrue="1" operator="lessThan">
      <formula>0.5</formula>
    </cfRule>
  </conditionalFormatting>
  <conditionalFormatting sqref="L153">
    <cfRule type="expression" dxfId="466" priority="615" stopIfTrue="1">
      <formula>L6=" "</formula>
    </cfRule>
    <cfRule type="cellIs" dxfId="465" priority="616" stopIfTrue="1" operator="lessThan">
      <formula>0.5</formula>
    </cfRule>
  </conditionalFormatting>
  <conditionalFormatting sqref="N138 L138 J138 H138 F138 N87 L87 J87 H87 N84 L84 J84 H84 N79 L79 J79 H79 N74 L74 J74 H74 F74 F79 F84 F87 N63 L63 J63 H63 F63">
    <cfRule type="cellIs" dxfId="464" priority="1757" stopIfTrue="1" operator="lessThanOrEqual">
      <formula>0</formula>
    </cfRule>
  </conditionalFormatting>
  <conditionalFormatting sqref="H113">
    <cfRule type="cellIs" dxfId="463" priority="1964" stopIfTrue="1" operator="equal">
      <formula>"CAF nulle !"</formula>
    </cfRule>
    <cfRule type="cellIs" dxfId="462" priority="1965" stopIfTrue="1" operator="greaterThan">
      <formula>0.6</formula>
    </cfRule>
    <cfRule type="cellIs" dxfId="461" priority="1966" stopIfTrue="1" operator="equal">
      <formula>0</formula>
    </cfRule>
  </conditionalFormatting>
  <conditionalFormatting sqref="N100">
    <cfRule type="expression" dxfId="460" priority="399" stopIfTrue="1">
      <formula>#REF!&lt;0</formula>
    </cfRule>
    <cfRule type="cellIs" dxfId="459" priority="1988" stopIfTrue="1" operator="lessThanOrEqual">
      <formula>0.2</formula>
    </cfRule>
  </conditionalFormatting>
  <conditionalFormatting sqref="N70 L70 J70 H70 F70">
    <cfRule type="cellIs" dxfId="458" priority="737" stopIfTrue="1" operator="greaterThanOrEqual">
      <formula>0.5</formula>
    </cfRule>
    <cfRule type="cellIs" dxfId="457" priority="738" stopIfTrue="1" operator="equal">
      <formula>0</formula>
    </cfRule>
  </conditionalFormatting>
  <conditionalFormatting sqref="F69">
    <cfRule type="cellIs" dxfId="456" priority="2060" stopIfTrue="1" operator="greaterThanOrEqual">
      <formula>0.5</formula>
    </cfRule>
    <cfRule type="cellIs" dxfId="455" priority="2061" stopIfTrue="1" operator="equal">
      <formula>0</formula>
    </cfRule>
  </conditionalFormatting>
  <conditionalFormatting sqref="N58">
    <cfRule type="expression" dxfId="454" priority="481" stopIfTrue="1">
      <formula>N56=0</formula>
    </cfRule>
    <cfRule type="expression" dxfId="453" priority="499" stopIfTrue="1">
      <formula>N56&gt;75%</formula>
    </cfRule>
  </conditionalFormatting>
  <conditionalFormatting sqref="N60">
    <cfRule type="expression" dxfId="452" priority="879" stopIfTrue="1">
      <formula>$N$6=" "</formula>
    </cfRule>
  </conditionalFormatting>
  <conditionalFormatting sqref="N52">
    <cfRule type="expression" dxfId="451" priority="884" stopIfTrue="1">
      <formula>$N$49=" "</formula>
    </cfRule>
  </conditionalFormatting>
  <conditionalFormatting sqref="N56 L56 J56 H56 F56">
    <cfRule type="cellIs" dxfId="450" priority="2069" stopIfTrue="1" operator="greaterThan">
      <formula>1</formula>
    </cfRule>
    <cfRule type="cellIs" dxfId="449" priority="2070" stopIfTrue="1" operator="greaterThan">
      <formula>0.75</formula>
    </cfRule>
    <cfRule type="cellIs" dxfId="448" priority="2071" stopIfTrue="1" operator="equal">
      <formula>0</formula>
    </cfRule>
  </conditionalFormatting>
  <conditionalFormatting sqref="L60">
    <cfRule type="expression" dxfId="447" priority="878" stopIfTrue="1">
      <formula>$L$6=" "</formula>
    </cfRule>
  </conditionalFormatting>
  <conditionalFormatting sqref="L52">
    <cfRule type="expression" dxfId="446" priority="883" stopIfTrue="1">
      <formula>$L$49=" "</formula>
    </cfRule>
  </conditionalFormatting>
  <conditionalFormatting sqref="J60">
    <cfRule type="expression" dxfId="445" priority="877" stopIfTrue="1">
      <formula>$J$6=" "</formula>
    </cfRule>
  </conditionalFormatting>
  <conditionalFormatting sqref="J52">
    <cfRule type="expression" dxfId="444" priority="882" stopIfTrue="1">
      <formula>$J$49=" "</formula>
    </cfRule>
  </conditionalFormatting>
  <conditionalFormatting sqref="H60">
    <cfRule type="expression" dxfId="443" priority="875" stopIfTrue="1">
      <formula>$H$6=" "</formula>
    </cfRule>
  </conditionalFormatting>
  <conditionalFormatting sqref="H52">
    <cfRule type="expression" dxfId="442" priority="881" stopIfTrue="1">
      <formula>$H$49=" "</formula>
    </cfRule>
  </conditionalFormatting>
  <conditionalFormatting sqref="F60">
    <cfRule type="expression" dxfId="441" priority="876" stopIfTrue="1">
      <formula>$F$6=" "</formula>
    </cfRule>
  </conditionalFormatting>
  <conditionalFormatting sqref="F52">
    <cfRule type="expression" dxfId="440" priority="880" stopIfTrue="1">
      <formula>$F$49=" "</formula>
    </cfRule>
  </conditionalFormatting>
  <conditionalFormatting sqref="F42">
    <cfRule type="expression" dxfId="439" priority="361" stopIfTrue="1">
      <formula>($F$40-$H$40)&lt;0.1%</formula>
    </cfRule>
    <cfRule type="expression" dxfId="438" priority="362" stopIfTrue="1">
      <formula>($F$40-$H$40)&gt;0.1%</formula>
    </cfRule>
    <cfRule type="expression" dxfId="437" priority="363" stopIfTrue="1">
      <formula>$F$40=" "</formula>
    </cfRule>
  </conditionalFormatting>
  <conditionalFormatting sqref="L37">
    <cfRule type="expression" dxfId="436" priority="908" stopIfTrue="1">
      <formula>$L$35=0</formula>
    </cfRule>
    <cfRule type="expression" dxfId="435" priority="909" stopIfTrue="1">
      <formula>$L$31&gt;($L$35*1.01)</formula>
    </cfRule>
    <cfRule type="expression" dxfId="434" priority="910" stopIfTrue="1">
      <formula>$L$31&lt;($L$35*0.99)</formula>
    </cfRule>
  </conditionalFormatting>
  <conditionalFormatting sqref="J37">
    <cfRule type="expression" dxfId="433" priority="917" stopIfTrue="1">
      <formula>$J$35=0</formula>
    </cfRule>
    <cfRule type="expression" dxfId="432" priority="918" stopIfTrue="1">
      <formula>$J$31&gt;($J$35*1.01)</formula>
    </cfRule>
    <cfRule type="expression" dxfId="431" priority="919" stopIfTrue="1">
      <formula>$J$31&lt;($J$35*0.99)</formula>
    </cfRule>
  </conditionalFormatting>
  <conditionalFormatting sqref="H37">
    <cfRule type="expression" dxfId="430" priority="914" stopIfTrue="1">
      <formula>$H$35=0</formula>
    </cfRule>
    <cfRule type="expression" dxfId="429" priority="915" stopIfTrue="1">
      <formula>$H$31&gt;($H$35*1.01)</formula>
    </cfRule>
    <cfRule type="expression" dxfId="428" priority="916" stopIfTrue="1">
      <formula>$H$31&lt;($H$35*0.99)</formula>
    </cfRule>
  </conditionalFormatting>
  <conditionalFormatting sqref="F33">
    <cfRule type="expression" dxfId="427" priority="859" stopIfTrue="1">
      <formula>$F$31=" "</formula>
    </cfRule>
  </conditionalFormatting>
  <conditionalFormatting sqref="F37">
    <cfRule type="expression" dxfId="426" priority="911" stopIfTrue="1">
      <formula>$F$35=0</formula>
    </cfRule>
    <cfRule type="expression" dxfId="425" priority="912" stopIfTrue="1">
      <formula>$F$31&gt;($F$35*1.01)</formula>
    </cfRule>
    <cfRule type="expression" dxfId="424" priority="913" stopIfTrue="1">
      <formula>$F$31&lt;($F$35*0.99)</formula>
    </cfRule>
  </conditionalFormatting>
  <conditionalFormatting sqref="L28 J28 H28 F28 J7 H7 F7 N28">
    <cfRule type="cellIs" dxfId="423" priority="736" stopIfTrue="1" operator="lessThan">
      <formula>0</formula>
    </cfRule>
  </conditionalFormatting>
  <conditionalFormatting sqref="H25">
    <cfRule type="expression" dxfId="422" priority="366" stopIfTrue="1">
      <formula>$H$23=" "</formula>
    </cfRule>
    <cfRule type="expression" dxfId="421" priority="377" stopIfTrue="1">
      <formula>$H$23&lt;($J$23/1.01)</formula>
    </cfRule>
    <cfRule type="expression" dxfId="420" priority="378" stopIfTrue="1">
      <formula>$H$23&gt;($J$23*1.01)</formula>
    </cfRule>
  </conditionalFormatting>
  <conditionalFormatting sqref="J98">
    <cfRule type="expression" dxfId="419" priority="2171" stopIfTrue="1">
      <formula>$J$97&lt;0</formula>
    </cfRule>
  </conditionalFormatting>
  <conditionalFormatting sqref="L98">
    <cfRule type="expression" dxfId="418" priority="2172" stopIfTrue="1">
      <formula>$L$97&lt;0</formula>
    </cfRule>
  </conditionalFormatting>
  <conditionalFormatting sqref="N98">
    <cfRule type="expression" dxfId="417" priority="2173" stopIfTrue="1">
      <formula>$N$97&lt;0</formula>
    </cfRule>
  </conditionalFormatting>
  <conditionalFormatting sqref="F103">
    <cfRule type="expression" dxfId="416" priority="2174" stopIfTrue="1">
      <formula>F100&lt;20%</formula>
    </cfRule>
  </conditionalFormatting>
  <conditionalFormatting sqref="F98">
    <cfRule type="expression" dxfId="415" priority="2178" stopIfTrue="1">
      <formula>$F$97&lt;0</formula>
    </cfRule>
  </conditionalFormatting>
  <conditionalFormatting sqref="H98">
    <cfRule type="expression" dxfId="414" priority="2179" stopIfTrue="1">
      <formula>$H$97&lt;0</formula>
    </cfRule>
  </conditionalFormatting>
  <conditionalFormatting sqref="F107">
    <cfRule type="expression" dxfId="413" priority="440" stopIfTrue="1">
      <formula>F105&gt;1</formula>
    </cfRule>
    <cfRule type="expression" dxfId="412" priority="2185" stopIfTrue="1">
      <formula>F105=1</formula>
    </cfRule>
  </conditionalFormatting>
  <conditionalFormatting sqref="F111">
    <cfRule type="expression" dxfId="411" priority="2187" stopIfTrue="1">
      <formula>F109&gt;4</formula>
    </cfRule>
  </conditionalFormatting>
  <conditionalFormatting sqref="F115">
    <cfRule type="expression" dxfId="410" priority="2193" stopIfTrue="1">
      <formula>F113&gt;60%</formula>
    </cfRule>
  </conditionalFormatting>
  <conditionalFormatting sqref="F142 H142 J142 L142 N142 N151 L151 J151 H151 F151">
    <cfRule type="cellIs" dxfId="409" priority="2202" stopIfTrue="1" operator="lessThanOrEqual">
      <formula>0</formula>
    </cfRule>
  </conditionalFormatting>
  <conditionalFormatting sqref="L147">
    <cfRule type="expression" dxfId="408" priority="2221" stopIfTrue="1">
      <formula>$L$144&gt;$L$145</formula>
    </cfRule>
  </conditionalFormatting>
  <conditionalFormatting sqref="J147">
    <cfRule type="expression" dxfId="407" priority="2222" stopIfTrue="1">
      <formula>$J$144&gt;$J$145</formula>
    </cfRule>
  </conditionalFormatting>
  <conditionalFormatting sqref="H147">
    <cfRule type="expression" dxfId="406" priority="2223" stopIfTrue="1">
      <formula>$H$144&gt;$H$145</formula>
    </cfRule>
  </conditionalFormatting>
  <conditionalFormatting sqref="F155">
    <cfRule type="expression" dxfId="405" priority="2224" stopIfTrue="1">
      <formula>$F$153&lt;50%</formula>
    </cfRule>
  </conditionalFormatting>
  <conditionalFormatting sqref="H155">
    <cfRule type="expression" dxfId="404" priority="2225" stopIfTrue="1">
      <formula>$H$153&lt;50%</formula>
    </cfRule>
  </conditionalFormatting>
  <conditionalFormatting sqref="J155">
    <cfRule type="expression" dxfId="403" priority="2226" stopIfTrue="1">
      <formula>$J$153&lt;50%</formula>
    </cfRule>
  </conditionalFormatting>
  <conditionalFormatting sqref="L155">
    <cfRule type="expression" dxfId="402" priority="2227" stopIfTrue="1">
      <formula>$L$153&lt;50%</formula>
    </cfRule>
  </conditionalFormatting>
  <conditionalFormatting sqref="N155">
    <cfRule type="expression" dxfId="401" priority="2228" stopIfTrue="1">
      <formula>$N$153&lt;50%</formula>
    </cfRule>
  </conditionalFormatting>
  <conditionalFormatting sqref="F163">
    <cfRule type="expression" dxfId="400" priority="2229" stopIfTrue="1">
      <formula>F161&gt;67%</formula>
    </cfRule>
    <cfRule type="expression" dxfId="399" priority="2230" stopIfTrue="1">
      <formula>F161&gt;0.5</formula>
    </cfRule>
  </conditionalFormatting>
  <conditionalFormatting sqref="F212 F204 F195:F196 F186:F187 F177 H204 J204 L204 N204 F169">
    <cfRule type="cellIs" dxfId="398" priority="2239" stopIfTrue="1" operator="equal">
      <formula>0</formula>
    </cfRule>
  </conditionalFormatting>
  <conditionalFormatting sqref="L7">
    <cfRule type="cellIs" dxfId="397" priority="795" stopIfTrue="1" operator="lessThan">
      <formula>0</formula>
    </cfRule>
  </conditionalFormatting>
  <conditionalFormatting sqref="F3 H3 J3 L3 N3">
    <cfRule type="cellIs" dxfId="396" priority="2674" stopIfTrue="1" operator="notEqual">
      <formula>12</formula>
    </cfRule>
  </conditionalFormatting>
  <conditionalFormatting sqref="F248">
    <cfRule type="cellIs" dxfId="395" priority="2676" stopIfTrue="1" operator="lessThanOrEqual">
      <formula>-2.57</formula>
    </cfRule>
    <cfRule type="cellIs" dxfId="394" priority="2677" stopIfTrue="1" operator="lessThanOrEqual">
      <formula>1.26</formula>
    </cfRule>
    <cfRule type="expression" dxfId="393" priority="2678" stopIfTrue="1">
      <formula>$F$248=" "</formula>
    </cfRule>
  </conditionalFormatting>
  <conditionalFormatting sqref="H248">
    <cfRule type="cellIs" dxfId="392" priority="2679" stopIfTrue="1" operator="lessThanOrEqual">
      <formula>-2.57</formula>
    </cfRule>
    <cfRule type="cellIs" dxfId="391" priority="2680" stopIfTrue="1" operator="lessThanOrEqual">
      <formula>1.26</formula>
    </cfRule>
    <cfRule type="expression" dxfId="390" priority="2681" stopIfTrue="1">
      <formula>$H$248=" "</formula>
    </cfRule>
  </conditionalFormatting>
  <conditionalFormatting sqref="J248">
    <cfRule type="cellIs" dxfId="389" priority="2682" stopIfTrue="1" operator="lessThanOrEqual">
      <formula>-2.57</formula>
    </cfRule>
    <cfRule type="cellIs" dxfId="388" priority="2683" stopIfTrue="1" operator="lessThanOrEqual">
      <formula>1.26</formula>
    </cfRule>
    <cfRule type="expression" dxfId="387" priority="2684" stopIfTrue="1">
      <formula>$J$248=" "</formula>
    </cfRule>
  </conditionalFormatting>
  <conditionalFormatting sqref="L248">
    <cfRule type="cellIs" dxfId="386" priority="2685" stopIfTrue="1" operator="lessThanOrEqual">
      <formula>-2.57</formula>
    </cfRule>
    <cfRule type="cellIs" dxfId="385" priority="2686" stopIfTrue="1" operator="lessThanOrEqual">
      <formula>1.26</formula>
    </cfRule>
    <cfRule type="expression" dxfId="384" priority="2687" stopIfTrue="1">
      <formula>$L$248=" "</formula>
    </cfRule>
  </conditionalFormatting>
  <conditionalFormatting sqref="N248">
    <cfRule type="cellIs" dxfId="383" priority="2688" stopIfTrue="1" operator="lessThanOrEqual">
      <formula>-2.57</formula>
    </cfRule>
    <cfRule type="cellIs" dxfId="382" priority="2689" stopIfTrue="1" operator="lessThanOrEqual">
      <formula>1.26</formula>
    </cfRule>
    <cfRule type="expression" dxfId="381" priority="2690" stopIfTrue="1">
      <formula>$N$248=" "</formula>
    </cfRule>
  </conditionalFormatting>
  <conditionalFormatting sqref="F250">
    <cfRule type="expression" dxfId="380" priority="2691" stopIfTrue="1">
      <formula>$F$248&lt;=-2.57</formula>
    </cfRule>
    <cfRule type="expression" dxfId="379" priority="2692" stopIfTrue="1">
      <formula>$F$248&lt;=1.26</formula>
    </cfRule>
    <cfRule type="expression" dxfId="378" priority="2693" stopIfTrue="1">
      <formula>$F$248=" "</formula>
    </cfRule>
  </conditionalFormatting>
  <conditionalFormatting sqref="H250">
    <cfRule type="expression" dxfId="377" priority="2694" stopIfTrue="1">
      <formula>$H$248&lt;=-2.57</formula>
    </cfRule>
    <cfRule type="expression" dxfId="376" priority="2695" stopIfTrue="1">
      <formula>$H$248&lt;=1.26</formula>
    </cfRule>
    <cfRule type="expression" dxfId="375" priority="2696" stopIfTrue="1">
      <formula>$H$248=" "</formula>
    </cfRule>
  </conditionalFormatting>
  <conditionalFormatting sqref="J250">
    <cfRule type="expression" dxfId="374" priority="2697" stopIfTrue="1">
      <formula>$J$248&lt;=-2.57</formula>
    </cfRule>
    <cfRule type="expression" dxfId="373" priority="2698" stopIfTrue="1">
      <formula>$J$248&lt;=1.26</formula>
    </cfRule>
    <cfRule type="expression" dxfId="372" priority="2699" stopIfTrue="1">
      <formula>$J$248=" "</formula>
    </cfRule>
  </conditionalFormatting>
  <conditionalFormatting sqref="L250">
    <cfRule type="expression" dxfId="371" priority="2700" stopIfTrue="1">
      <formula>$L$248&lt;=-2.57</formula>
    </cfRule>
    <cfRule type="expression" dxfId="370" priority="2701" stopIfTrue="1">
      <formula>$L$248&lt;=1.26</formula>
    </cfRule>
    <cfRule type="expression" dxfId="369" priority="2702" stopIfTrue="1">
      <formula>$L$248=" "</formula>
    </cfRule>
  </conditionalFormatting>
  <conditionalFormatting sqref="N250">
    <cfRule type="expression" dxfId="368" priority="2703" stopIfTrue="1">
      <formula>$N$248&lt;=-2.57</formula>
    </cfRule>
    <cfRule type="expression" dxfId="367" priority="2704" stopIfTrue="1">
      <formula>$N$248&lt;=1.26</formula>
    </cfRule>
    <cfRule type="expression" dxfId="366" priority="2705" stopIfTrue="1">
      <formula>$N$248=" "</formula>
    </cfRule>
  </conditionalFormatting>
  <conditionalFormatting sqref="F9 J9 L9 H9">
    <cfRule type="cellIs" dxfId="365" priority="2706" stopIfTrue="1" operator="lessThan">
      <formula>0</formula>
    </cfRule>
  </conditionalFormatting>
  <conditionalFormatting sqref="F11">
    <cfRule type="expression" dxfId="364" priority="2707" stopIfTrue="1">
      <formula>$F$9=" "</formula>
    </cfRule>
    <cfRule type="expression" dxfId="363" priority="2708" stopIfTrue="1">
      <formula>$F$9&lt;-1%</formula>
    </cfRule>
    <cfRule type="expression" dxfId="362" priority="2709" stopIfTrue="1">
      <formula>$F$9&lt;1%</formula>
    </cfRule>
  </conditionalFormatting>
  <conditionalFormatting sqref="H11">
    <cfRule type="expression" dxfId="361" priority="2710" stopIfTrue="1">
      <formula>$H$9=" "</formula>
    </cfRule>
    <cfRule type="expression" dxfId="360" priority="2711" stopIfTrue="1">
      <formula>$H$9&lt;-1%</formula>
    </cfRule>
    <cfRule type="expression" dxfId="359" priority="2712" stopIfTrue="1">
      <formula>$H$9&lt;1%</formula>
    </cfRule>
  </conditionalFormatting>
  <conditionalFormatting sqref="J11">
    <cfRule type="expression" dxfId="358" priority="2713" stopIfTrue="1">
      <formula>$J$9=" "</formula>
    </cfRule>
    <cfRule type="expression" dxfId="357" priority="2714" stopIfTrue="1">
      <formula>$J$9&lt;-1%</formula>
    </cfRule>
    <cfRule type="expression" dxfId="356" priority="2715" stopIfTrue="1">
      <formula>$J$9&lt;1%</formula>
    </cfRule>
  </conditionalFormatting>
  <conditionalFormatting sqref="L11">
    <cfRule type="expression" dxfId="355" priority="2716" stopIfTrue="1">
      <formula>L9=" "</formula>
    </cfRule>
    <cfRule type="expression" dxfId="354" priority="2717" stopIfTrue="1">
      <formula>L9&lt;-1%</formula>
    </cfRule>
    <cfRule type="expression" dxfId="353" priority="2718" stopIfTrue="1">
      <formula>L9&lt;1%</formula>
    </cfRule>
  </conditionalFormatting>
  <conditionalFormatting sqref="F236">
    <cfRule type="expression" dxfId="352" priority="2722" stopIfTrue="1">
      <formula>$F$232&lt;$F$233</formula>
    </cfRule>
  </conditionalFormatting>
  <conditionalFormatting sqref="H236">
    <cfRule type="expression" dxfId="351" priority="2723" stopIfTrue="1">
      <formula>$H$232&lt;$H$233</formula>
    </cfRule>
  </conditionalFormatting>
  <conditionalFormatting sqref="J236">
    <cfRule type="expression" dxfId="350" priority="2724" stopIfTrue="1">
      <formula>$J$232&lt;$J$233</formula>
    </cfRule>
  </conditionalFormatting>
  <conditionalFormatting sqref="L236">
    <cfRule type="expression" dxfId="349" priority="2725" stopIfTrue="1">
      <formula>$L$232&lt;$L$233</formula>
    </cfRule>
  </conditionalFormatting>
  <conditionalFormatting sqref="J89">
    <cfRule type="cellIs" dxfId="348" priority="2729" stopIfTrue="1" operator="equal">
      <formula>"CAF insuffisante"</formula>
    </cfRule>
    <cfRule type="expression" dxfId="347" priority="2730" stopIfTrue="1">
      <formula>$J$86&lt;0</formula>
    </cfRule>
  </conditionalFormatting>
  <conditionalFormatting sqref="F89">
    <cfRule type="cellIs" dxfId="346" priority="2731" stopIfTrue="1" operator="equal">
      <formula>"CAF insuffisante"</formula>
    </cfRule>
    <cfRule type="expression" dxfId="345" priority="2732" stopIfTrue="1">
      <formula>$F$86&lt;0</formula>
    </cfRule>
  </conditionalFormatting>
  <conditionalFormatting sqref="H89">
    <cfRule type="cellIs" dxfId="344" priority="2733" stopIfTrue="1" operator="equal">
      <formula>"CAF insuffisante"</formula>
    </cfRule>
    <cfRule type="expression" dxfId="343" priority="2734" stopIfTrue="1">
      <formula>$H$86&lt;0</formula>
    </cfRule>
  </conditionalFormatting>
  <conditionalFormatting sqref="L89">
    <cfRule type="cellIs" dxfId="342" priority="2735" stopIfTrue="1" operator="equal">
      <formula>"CAF insuffisante"</formula>
    </cfRule>
    <cfRule type="expression" dxfId="341" priority="2736" stopIfTrue="1">
      <formula>$L$86&lt;0</formula>
    </cfRule>
  </conditionalFormatting>
  <conditionalFormatting sqref="N89">
    <cfRule type="cellIs" dxfId="340" priority="2737" stopIfTrue="1" operator="equal">
      <formula>"CAF insuffisante"</formula>
    </cfRule>
    <cfRule type="expression" dxfId="339" priority="2738" stopIfTrue="1">
      <formula>$N$86&lt;0</formula>
    </cfRule>
  </conditionalFormatting>
  <conditionalFormatting sqref="N149">
    <cfRule type="expression" dxfId="338" priority="2741" stopIfTrue="1">
      <formula>N149="Pas de besoin"</formula>
    </cfRule>
    <cfRule type="cellIs" dxfId="337" priority="2742" stopIfTrue="1" operator="greaterThan">
      <formula>0</formula>
    </cfRule>
  </conditionalFormatting>
  <conditionalFormatting sqref="N150">
    <cfRule type="expression" dxfId="336" priority="2743" stopIfTrue="1">
      <formula>N149="Pas de besoin"</formula>
    </cfRule>
    <cfRule type="cellIs" dxfId="335" priority="2744" stopIfTrue="1" operator="greaterThan">
      <formula>0</formula>
    </cfRule>
  </conditionalFormatting>
  <conditionalFormatting sqref="N140">
    <cfRule type="expression" dxfId="334" priority="3257" stopIfTrue="1">
      <formula>N140="Pas de besoin"</formula>
    </cfRule>
  </conditionalFormatting>
  <conditionalFormatting sqref="F109">
    <cfRule type="cellIs" dxfId="333" priority="3262" stopIfTrue="1" operator="equal">
      <formula>"Nulle !"</formula>
    </cfRule>
    <cfRule type="cellIs" dxfId="332" priority="3263" stopIfTrue="1" operator="greaterThan">
      <formula>4</formula>
    </cfRule>
    <cfRule type="cellIs" dxfId="331" priority="3264" stopIfTrue="1" operator="equal">
      <formula>0</formula>
    </cfRule>
  </conditionalFormatting>
  <conditionalFormatting sqref="N130">
    <cfRule type="expression" dxfId="330" priority="439" stopIfTrue="1">
      <formula>$N$128&gt;70%</formula>
    </cfRule>
  </conditionalFormatting>
  <conditionalFormatting sqref="H130">
    <cfRule type="expression" dxfId="329" priority="438" stopIfTrue="1">
      <formula>$H$128&gt;70%</formula>
    </cfRule>
  </conditionalFormatting>
  <conditionalFormatting sqref="J130">
    <cfRule type="expression" dxfId="328" priority="437" stopIfTrue="1">
      <formula>$J$128&gt;70%</formula>
    </cfRule>
  </conditionalFormatting>
  <conditionalFormatting sqref="L130">
    <cfRule type="expression" dxfId="327" priority="436" stopIfTrue="1">
      <formula>$L$128&gt;70%</formula>
    </cfRule>
  </conditionalFormatting>
  <conditionalFormatting sqref="F130">
    <cfRule type="expression" dxfId="326" priority="435" stopIfTrue="1">
      <formula>$F$128&gt;70%</formula>
    </cfRule>
  </conditionalFormatting>
  <conditionalFormatting sqref="N128 L128 J128 H128 F128">
    <cfRule type="cellIs" dxfId="325" priority="434" stopIfTrue="1" operator="equal">
      <formula>0</formula>
    </cfRule>
  </conditionalFormatting>
  <conditionalFormatting sqref="J100">
    <cfRule type="expression" dxfId="324" priority="397" stopIfTrue="1">
      <formula>#REF!&lt;0</formula>
    </cfRule>
  </conditionalFormatting>
  <conditionalFormatting sqref="F239 H239 J239 L239 F232 H232 J232 L232 F234 H234 J234 L234 F95 H95 J95 L95 N95">
    <cfRule type="cellIs" dxfId="323" priority="394" stopIfTrue="1" operator="lessThan">
      <formula>0</formula>
    </cfRule>
  </conditionalFormatting>
  <conditionalFormatting sqref="F233 H233 J233 L233">
    <cfRule type="cellIs" dxfId="322" priority="392" stopIfTrue="1" operator="lessThan">
      <formula>0</formula>
    </cfRule>
  </conditionalFormatting>
  <conditionalFormatting sqref="J105 F105 N105 L105 H105">
    <cfRule type="cellIs" dxfId="321" priority="444" stopIfTrue="1" operator="greaterThan">
      <formula>1.5</formula>
    </cfRule>
    <cfRule type="cellIs" dxfId="320" priority="445" stopIfTrue="1" operator="greaterThan">
      <formula>1</formula>
    </cfRule>
    <cfRule type="cellIs" dxfId="319" priority="1986" stopIfTrue="1" operator="equal">
      <formula>0</formula>
    </cfRule>
  </conditionalFormatting>
  <conditionalFormatting sqref="L100">
    <cfRule type="expression" dxfId="318" priority="385" stopIfTrue="1">
      <formula>#REF!&lt;0</formula>
    </cfRule>
    <cfRule type="cellIs" dxfId="317" priority="386" stopIfTrue="1" operator="lessThanOrEqual">
      <formula>0.2</formula>
    </cfRule>
  </conditionalFormatting>
  <conditionalFormatting sqref="J100">
    <cfRule type="cellIs" dxfId="316" priority="384" stopIfTrue="1" operator="lessThanOrEqual">
      <formula>0.2</formula>
    </cfRule>
  </conditionalFormatting>
  <conditionalFormatting sqref="H100">
    <cfRule type="cellIs" dxfId="315" priority="381" stopIfTrue="1" operator="lessThanOrEqual">
      <formula>0.2</formula>
    </cfRule>
    <cfRule type="expression" dxfId="314" priority="396" stopIfTrue="1">
      <formula>#REF!&lt;0</formula>
    </cfRule>
  </conditionalFormatting>
  <conditionalFormatting sqref="F100">
    <cfRule type="cellIs" dxfId="313" priority="379" stopIfTrue="1" operator="lessThanOrEqual">
      <formula>0.2</formula>
    </cfRule>
    <cfRule type="expression" dxfId="312" priority="395" stopIfTrue="1">
      <formula>#REF!&lt;0</formula>
    </cfRule>
  </conditionalFormatting>
  <conditionalFormatting sqref="J25">
    <cfRule type="expression" dxfId="311" priority="365" stopIfTrue="1">
      <formula>$J$23=" "</formula>
    </cfRule>
    <cfRule type="expression" dxfId="310" priority="374" stopIfTrue="1">
      <formula>$J$23&lt;($L$23/1.01)</formula>
    </cfRule>
    <cfRule type="expression" dxfId="309" priority="375" stopIfTrue="1">
      <formula>$J$23&gt;($L$23*1.01)</formula>
    </cfRule>
  </conditionalFormatting>
  <conditionalFormatting sqref="L25">
    <cfRule type="expression" dxfId="308" priority="364" stopIfTrue="1">
      <formula>$L$23=" "</formula>
    </cfRule>
    <cfRule type="expression" dxfId="307" priority="371" stopIfTrue="1">
      <formula>$L$23&lt;($N$23/1.01)</formula>
    </cfRule>
    <cfRule type="expression" dxfId="306" priority="372" stopIfTrue="1">
      <formula>$L$23&gt;($N$23*1.01)</formula>
    </cfRule>
  </conditionalFormatting>
  <conditionalFormatting sqref="F25">
    <cfRule type="expression" dxfId="305" priority="367" stopIfTrue="1">
      <formula>$F$23=" "</formula>
    </cfRule>
    <cfRule type="expression" dxfId="304" priority="368" stopIfTrue="1">
      <formula>$F$23&lt;($H$23/1.01)</formula>
    </cfRule>
    <cfRule type="expression" dxfId="303" priority="369" stopIfTrue="1">
      <formula>$F$23&gt;($H$23*1.01)</formula>
    </cfRule>
  </conditionalFormatting>
  <conditionalFormatting sqref="H42">
    <cfRule type="expression" dxfId="302" priority="358" stopIfTrue="1">
      <formula>($H$40-$J$40)&lt;0.1%</formula>
    </cfRule>
    <cfRule type="expression" dxfId="301" priority="359" stopIfTrue="1">
      <formula>($H$40-$J$40)&gt;0.1%</formula>
    </cfRule>
    <cfRule type="expression" dxfId="300" priority="360" stopIfTrue="1">
      <formula>$H$40=" "</formula>
    </cfRule>
  </conditionalFormatting>
  <conditionalFormatting sqref="J42">
    <cfRule type="expression" dxfId="299" priority="355" stopIfTrue="1">
      <formula>($J$40-$L$40)&lt;0.1%</formula>
    </cfRule>
    <cfRule type="expression" dxfId="298" priority="356" stopIfTrue="1">
      <formula>($J$40-$L$40)&gt;0.1%</formula>
    </cfRule>
    <cfRule type="expression" dxfId="297" priority="357" stopIfTrue="1">
      <formula>$J$40=" "</formula>
    </cfRule>
  </conditionalFormatting>
  <conditionalFormatting sqref="L42">
    <cfRule type="expression" dxfId="296" priority="352" stopIfTrue="1">
      <formula>($L$40-$N$40)&lt;0.1%</formula>
    </cfRule>
    <cfRule type="expression" dxfId="295" priority="353" stopIfTrue="1">
      <formula>($L$40-$N$40)&gt;0.1%</formula>
    </cfRule>
    <cfRule type="expression" dxfId="294" priority="354" stopIfTrue="1">
      <formula>$L$40=" "</formula>
    </cfRule>
  </conditionalFormatting>
  <conditionalFormatting sqref="F33">
    <cfRule type="expression" dxfId="293" priority="349" stopIfTrue="1">
      <formula>($F$31-$H$31)&lt;0.1%</formula>
    </cfRule>
    <cfRule type="expression" dxfId="292" priority="350" stopIfTrue="1">
      <formula>($F$31-$H$31)&gt;0.1%</formula>
    </cfRule>
  </conditionalFormatting>
  <conditionalFormatting sqref="H33">
    <cfRule type="expression" dxfId="291" priority="348" stopIfTrue="1">
      <formula>$H$31=" "</formula>
    </cfRule>
  </conditionalFormatting>
  <conditionalFormatting sqref="H33">
    <cfRule type="expression" dxfId="290" priority="346" stopIfTrue="1">
      <formula>($H$31-$J$31)&lt;0.1%</formula>
    </cfRule>
    <cfRule type="expression" dxfId="289" priority="347" stopIfTrue="1">
      <formula>($H$31-$J$31)&gt;0.1%</formula>
    </cfRule>
  </conditionalFormatting>
  <conditionalFormatting sqref="J33">
    <cfRule type="expression" dxfId="288" priority="345" stopIfTrue="1">
      <formula>$J$31=" "</formula>
    </cfRule>
  </conditionalFormatting>
  <conditionalFormatting sqref="J33">
    <cfRule type="expression" dxfId="287" priority="343" stopIfTrue="1">
      <formula>($J$31-$L$31)&lt;0.1%</formula>
    </cfRule>
    <cfRule type="expression" dxfId="286" priority="344" stopIfTrue="1">
      <formula>($J$31-$L$31)&gt;0.1%</formula>
    </cfRule>
  </conditionalFormatting>
  <conditionalFormatting sqref="L33">
    <cfRule type="expression" dxfId="285" priority="342" stopIfTrue="1">
      <formula>$L$31=" "</formula>
    </cfRule>
  </conditionalFormatting>
  <conditionalFormatting sqref="L33">
    <cfRule type="expression" dxfId="284" priority="340" stopIfTrue="1">
      <formula>($L$31-$N$31)&lt;0.1%</formula>
    </cfRule>
    <cfRule type="expression" dxfId="283" priority="341" stopIfTrue="1">
      <formula>($L$31-$N$31)&gt;0.1%</formula>
    </cfRule>
  </conditionalFormatting>
  <conditionalFormatting sqref="F47">
    <cfRule type="expression" dxfId="282" priority="337" stopIfTrue="1">
      <formula>($F$45-$H$45)&lt;0.1%</formula>
    </cfRule>
    <cfRule type="expression" dxfId="281" priority="338" stopIfTrue="1">
      <formula>($F$45-$H$45)&gt;0.1%</formula>
    </cfRule>
    <cfRule type="expression" dxfId="280" priority="339" stopIfTrue="1">
      <formula>$F$45=" "</formula>
    </cfRule>
  </conditionalFormatting>
  <conditionalFormatting sqref="H47">
    <cfRule type="expression" dxfId="279" priority="334" stopIfTrue="1">
      <formula>($H$45-$J$45)&lt;0.1%</formula>
    </cfRule>
    <cfRule type="expression" dxfId="278" priority="335" stopIfTrue="1">
      <formula>($H$45-$J$45)&gt;0.1%</formula>
    </cfRule>
    <cfRule type="expression" dxfId="277" priority="336" stopIfTrue="1">
      <formula>$H$45=" "</formula>
    </cfRule>
  </conditionalFormatting>
  <conditionalFormatting sqref="J47">
    <cfRule type="expression" dxfId="276" priority="331" stopIfTrue="1">
      <formula>($J$45-$L$45)&lt;0.1%</formula>
    </cfRule>
    <cfRule type="expression" dxfId="275" priority="332" stopIfTrue="1">
      <formula>($J$45-$L$45)&gt;0.1%</formula>
    </cfRule>
    <cfRule type="expression" dxfId="274" priority="333" stopIfTrue="1">
      <formula>$J$45=" "</formula>
    </cfRule>
  </conditionalFormatting>
  <conditionalFormatting sqref="L47">
    <cfRule type="expression" dxfId="273" priority="328" stopIfTrue="1">
      <formula>($L$45-$N$45)&lt;0.1%</formula>
    </cfRule>
    <cfRule type="expression" dxfId="272" priority="329" stopIfTrue="1">
      <formula>($L$45-$N$45)&gt;0.1%</formula>
    </cfRule>
    <cfRule type="expression" dxfId="271" priority="330" stopIfTrue="1">
      <formula>$L$45=" "</formula>
    </cfRule>
  </conditionalFormatting>
  <conditionalFormatting sqref="F54">
    <cfRule type="expression" dxfId="270" priority="324" stopIfTrue="1">
      <formula>$F$52=" "</formula>
    </cfRule>
    <cfRule type="expression" dxfId="269" priority="326" stopIfTrue="1">
      <formula>$F$52&lt;($H$52/1.01)</formula>
    </cfRule>
    <cfRule type="expression" dxfId="268" priority="327" stopIfTrue="1">
      <formula>$F$52&gt;($H$52*1.01)</formula>
    </cfRule>
  </conditionalFormatting>
  <conditionalFormatting sqref="H54">
    <cfRule type="expression" dxfId="267" priority="321" stopIfTrue="1">
      <formula>$H$52=" "</formula>
    </cfRule>
    <cfRule type="expression" dxfId="266" priority="322" stopIfTrue="1">
      <formula>$H$52&lt;($J$52/1.01)</formula>
    </cfRule>
    <cfRule type="expression" dxfId="265" priority="323" stopIfTrue="1">
      <formula>$H$52&gt;($J$52*1.01)</formula>
    </cfRule>
  </conditionalFormatting>
  <conditionalFormatting sqref="J54">
    <cfRule type="expression" dxfId="264" priority="318" stopIfTrue="1">
      <formula>$J$52=" "</formula>
    </cfRule>
    <cfRule type="expression" dxfId="263" priority="319" stopIfTrue="1">
      <formula>$J$52&lt;($L$52/1.01)</formula>
    </cfRule>
    <cfRule type="expression" dxfId="262" priority="320" stopIfTrue="1">
      <formula>$J$52&gt;($L$52*1.01)</formula>
    </cfRule>
  </conditionalFormatting>
  <conditionalFormatting sqref="L54">
    <cfRule type="expression" dxfId="261" priority="315" stopIfTrue="1">
      <formula>$L$52=" "</formula>
    </cfRule>
    <cfRule type="expression" dxfId="260" priority="316" stopIfTrue="1">
      <formula>$L$52&lt;($N$52/1.01)</formula>
    </cfRule>
    <cfRule type="expression" dxfId="259" priority="317" stopIfTrue="1">
      <formula>$L$52&gt;($N$52*1.01)</formula>
    </cfRule>
  </conditionalFormatting>
  <conditionalFormatting sqref="N65">
    <cfRule type="expression" dxfId="258" priority="294" stopIfTrue="1">
      <formula>N63=" "</formula>
    </cfRule>
    <cfRule type="expression" dxfId="257" priority="307" stopIfTrue="1">
      <formula>N63&lt;=1.5%</formula>
    </cfRule>
    <cfRule type="expression" dxfId="256" priority="308" stopIfTrue="1">
      <formula>N63&lt;15%</formula>
    </cfRule>
    <cfRule type="expression" dxfId="255" priority="309" stopIfTrue="1">
      <formula>N63&gt;=15%</formula>
    </cfRule>
  </conditionalFormatting>
  <conditionalFormatting sqref="L65">
    <cfRule type="expression" dxfId="254" priority="290" stopIfTrue="1">
      <formula>L63=" "</formula>
    </cfRule>
    <cfRule type="expression" dxfId="253" priority="291" stopIfTrue="1">
      <formula>L63&lt;=1.5%</formula>
    </cfRule>
    <cfRule type="expression" dxfId="252" priority="292" stopIfTrue="1">
      <formula>L63&lt;15%</formula>
    </cfRule>
    <cfRule type="expression" dxfId="251" priority="293" stopIfTrue="1">
      <formula>L63&gt;=15%</formula>
    </cfRule>
  </conditionalFormatting>
  <conditionalFormatting sqref="J65">
    <cfRule type="expression" dxfId="250" priority="286" stopIfTrue="1">
      <formula>J63=" "</formula>
    </cfRule>
    <cfRule type="expression" dxfId="249" priority="287" stopIfTrue="1">
      <formula>J63&lt;=1.5%</formula>
    </cfRule>
    <cfRule type="expression" dxfId="248" priority="288" stopIfTrue="1">
      <formula>J63&lt;15%</formula>
    </cfRule>
    <cfRule type="expression" dxfId="247" priority="289" stopIfTrue="1">
      <formula>J63&gt;=15%</formula>
    </cfRule>
  </conditionalFormatting>
  <conditionalFormatting sqref="H65">
    <cfRule type="expression" dxfId="246" priority="282" stopIfTrue="1">
      <formula>H63=" "</formula>
    </cfRule>
    <cfRule type="expression" dxfId="245" priority="283" stopIfTrue="1">
      <formula>H63&lt;=1.5%</formula>
    </cfRule>
    <cfRule type="expression" dxfId="244" priority="284" stopIfTrue="1">
      <formula>H63&lt;15%</formula>
    </cfRule>
    <cfRule type="expression" dxfId="243" priority="285" stopIfTrue="1">
      <formula>H63&gt;=15%</formula>
    </cfRule>
  </conditionalFormatting>
  <conditionalFormatting sqref="F65">
    <cfRule type="expression" dxfId="242" priority="278" stopIfTrue="1">
      <formula>F63=" "</formula>
    </cfRule>
    <cfRule type="expression" dxfId="241" priority="279" stopIfTrue="1">
      <formula>F63&lt;=1.5%</formula>
    </cfRule>
    <cfRule type="expression" dxfId="240" priority="280" stopIfTrue="1">
      <formula>F63&lt;15%</formula>
    </cfRule>
    <cfRule type="expression" dxfId="239" priority="281" stopIfTrue="1">
      <formula>F63&gt;=15%</formula>
    </cfRule>
  </conditionalFormatting>
  <conditionalFormatting sqref="N71">
    <cfRule type="expression" dxfId="238" priority="271" stopIfTrue="1">
      <formula>N69=0</formula>
    </cfRule>
    <cfRule type="expression" dxfId="237" priority="272" stopIfTrue="1">
      <formula>N69&gt;=50%</formula>
    </cfRule>
    <cfRule type="expression" dxfId="236" priority="273" stopIfTrue="1">
      <formula>N69&lt;30%</formula>
    </cfRule>
    <cfRule type="expression" dxfId="235" priority="274" stopIfTrue="1">
      <formula>N69&lt;50%</formula>
    </cfRule>
  </conditionalFormatting>
  <conditionalFormatting sqref="L71 J71 H71 F71">
    <cfRule type="expression" dxfId="234" priority="267" stopIfTrue="1">
      <formula>F69=0</formula>
    </cfRule>
    <cfRule type="expression" dxfId="233" priority="268" stopIfTrue="1">
      <formula>F69&gt;=50%</formula>
    </cfRule>
    <cfRule type="expression" dxfId="232" priority="269" stopIfTrue="1">
      <formula>F69&lt;30%</formula>
    </cfRule>
    <cfRule type="expression" dxfId="231" priority="270" stopIfTrue="1">
      <formula>F69&lt;50%</formula>
    </cfRule>
  </conditionalFormatting>
  <conditionalFormatting sqref="L58 J58 H58 F58">
    <cfRule type="expression" dxfId="230" priority="255" stopIfTrue="1">
      <formula>F56=0</formula>
    </cfRule>
    <cfRule type="expression" dxfId="229" priority="256" stopIfTrue="1">
      <formula>F56&gt;75%</formula>
    </cfRule>
  </conditionalFormatting>
  <conditionalFormatting sqref="N96 L96 J96 H96 F96">
    <cfRule type="cellIs" dxfId="228" priority="252" stopIfTrue="1" operator="lessThan">
      <formula>0.5</formula>
    </cfRule>
    <cfRule type="cellIs" dxfId="227" priority="253" stopIfTrue="1" operator="between">
      <formula>0.5</formula>
      <formula>0.9999</formula>
    </cfRule>
  </conditionalFormatting>
  <conditionalFormatting sqref="L221">
    <cfRule type="expression" dxfId="226" priority="235" stopIfTrue="1">
      <formula>L222&lt;0</formula>
    </cfRule>
  </conditionalFormatting>
  <conditionalFormatting sqref="F221">
    <cfRule type="expression" dxfId="225" priority="234" stopIfTrue="1">
      <formula>F222&lt;0</formula>
    </cfRule>
  </conditionalFormatting>
  <conditionalFormatting sqref="H221">
    <cfRule type="expression" dxfId="224" priority="233" stopIfTrue="1">
      <formula>H222&lt;0</formula>
    </cfRule>
  </conditionalFormatting>
  <conditionalFormatting sqref="J221">
    <cfRule type="expression" dxfId="223" priority="232" stopIfTrue="1">
      <formula>J222&lt;0</formula>
    </cfRule>
  </conditionalFormatting>
  <conditionalFormatting sqref="G147">
    <cfRule type="expression" dxfId="222" priority="5206" stopIfTrue="1">
      <formula>$I$193&gt;$I$195</formula>
    </cfRule>
  </conditionalFormatting>
  <conditionalFormatting sqref="F147">
    <cfRule type="expression" dxfId="221" priority="5207" stopIfTrue="1">
      <formula>$F$144&gt;$F$145</formula>
    </cfRule>
  </conditionalFormatting>
  <conditionalFormatting sqref="F67 H67 J67 L67 N67">
    <cfRule type="cellIs" dxfId="220" priority="189" operator="equal">
      <formula>0</formula>
    </cfRule>
  </conditionalFormatting>
  <conditionalFormatting sqref="I98">
    <cfRule type="expression" dxfId="219" priority="5551" stopIfTrue="1">
      <formula>$I$149&lt;0</formula>
    </cfRule>
  </conditionalFormatting>
  <conditionalFormatting sqref="G107">
    <cfRule type="expression" dxfId="218" priority="5552" stopIfTrue="1">
      <formula>$I$153&gt;=1</formula>
    </cfRule>
  </conditionalFormatting>
  <conditionalFormatting sqref="G111">
    <cfRule type="expression" dxfId="217" priority="5553" stopIfTrue="1">
      <formula>$I$159&gt;4</formula>
    </cfRule>
  </conditionalFormatting>
  <conditionalFormatting sqref="G115">
    <cfRule type="expression" dxfId="216" priority="5554" stopIfTrue="1">
      <formula>$I$165&gt;50%</formula>
    </cfRule>
  </conditionalFormatting>
  <conditionalFormatting sqref="N141">
    <cfRule type="expression" dxfId="215" priority="184">
      <formula>N140="Pas de besoin"</formula>
    </cfRule>
  </conditionalFormatting>
  <conditionalFormatting sqref="L171">
    <cfRule type="cellIs" dxfId="214" priority="183" stopIfTrue="1" operator="lessThan">
      <formula>0</formula>
    </cfRule>
  </conditionalFormatting>
  <conditionalFormatting sqref="N127">
    <cfRule type="cellIs" dxfId="213" priority="178" stopIfTrue="1" operator="equal">
      <formula>0</formula>
    </cfRule>
  </conditionalFormatting>
  <conditionalFormatting sqref="F127">
    <cfRule type="cellIs" dxfId="212" priority="182" stopIfTrue="1" operator="equal">
      <formula>0</formula>
    </cfRule>
  </conditionalFormatting>
  <conditionalFormatting sqref="H127">
    <cfRule type="cellIs" dxfId="211" priority="181" stopIfTrue="1" operator="equal">
      <formula>0</formula>
    </cfRule>
  </conditionalFormatting>
  <conditionalFormatting sqref="J127">
    <cfRule type="cellIs" dxfId="210" priority="180" stopIfTrue="1" operator="equal">
      <formula>0</formula>
    </cfRule>
  </conditionalFormatting>
  <conditionalFormatting sqref="L127">
    <cfRule type="cellIs" dxfId="209" priority="179" stopIfTrue="1" operator="equal">
      <formula>0</formula>
    </cfRule>
  </conditionalFormatting>
  <conditionalFormatting sqref="F218">
    <cfRule type="expression" dxfId="208" priority="701" stopIfTrue="1">
      <formula>F216=0</formula>
    </cfRule>
    <cfRule type="expression" dxfId="207" priority="702" stopIfTrue="1">
      <formula>F212&gt;(F216*1.01)</formula>
    </cfRule>
    <cfRule type="expression" dxfId="206" priority="703" stopIfTrue="1">
      <formula>F212&lt;(F216*0.99)</formula>
    </cfRule>
  </conditionalFormatting>
  <conditionalFormatting sqref="N218 L218 J218 H218">
    <cfRule type="expression" dxfId="205" priority="175" stopIfTrue="1">
      <formula>H216=0</formula>
    </cfRule>
    <cfRule type="expression" dxfId="204" priority="176" stopIfTrue="1">
      <formula>H212&gt;(H216*1.01)</formula>
    </cfRule>
    <cfRule type="expression" dxfId="203" priority="177" stopIfTrue="1">
      <formula>H212&lt;(H216*0.99)</formula>
    </cfRule>
  </conditionalFormatting>
  <conditionalFormatting sqref="N226 L226 J226 H226 F226">
    <cfRule type="expression" dxfId="202" priority="172" stopIfTrue="1">
      <formula>F224=0</formula>
    </cfRule>
    <cfRule type="expression" dxfId="201" priority="173" stopIfTrue="1">
      <formula>F220&gt;(F224*1.01)</formula>
    </cfRule>
    <cfRule type="expression" dxfId="200" priority="174" stopIfTrue="1">
      <formula>F220&lt;(F224*0.99)</formula>
    </cfRule>
  </conditionalFormatting>
  <conditionalFormatting sqref="F242 H242 J242 L242">
    <cfRule type="cellIs" dxfId="199" priority="171" operator="lessThan">
      <formula>0</formula>
    </cfRule>
  </conditionalFormatting>
  <conditionalFormatting sqref="F243 H243 J243 L243 N243">
    <cfRule type="cellIs" dxfId="198" priority="170" operator="lessThan">
      <formula>0</formula>
    </cfRule>
  </conditionalFormatting>
  <conditionalFormatting sqref="F244 H244 J244 L244 N244">
    <cfRule type="cellIs" dxfId="197" priority="169" operator="lessThan">
      <formula>0</formula>
    </cfRule>
  </conditionalFormatting>
  <conditionalFormatting sqref="F78 H78 J78 L78 N78">
    <cfRule type="cellIs" dxfId="196" priority="168" operator="equal">
      <formula>0</formula>
    </cfRule>
  </conditionalFormatting>
  <conditionalFormatting sqref="F62 H62 J62 L62 N62">
    <cfRule type="cellIs" dxfId="195" priority="167" operator="equal">
      <formula>0</formula>
    </cfRule>
  </conditionalFormatting>
  <conditionalFormatting sqref="F73 H73 J73 L73 N73">
    <cfRule type="cellIs" dxfId="194" priority="166" operator="equal">
      <formula>0</formula>
    </cfRule>
  </conditionalFormatting>
  <conditionalFormatting sqref="H109">
    <cfRule type="cellIs" dxfId="193" priority="160" stopIfTrue="1" operator="equal">
      <formula>"Nulle !"</formula>
    </cfRule>
    <cfRule type="cellIs" dxfId="192" priority="161" stopIfTrue="1" operator="greaterThan">
      <formula>4</formula>
    </cfRule>
    <cfRule type="cellIs" dxfId="191" priority="162" stopIfTrue="1" operator="equal">
      <formula>0</formula>
    </cfRule>
  </conditionalFormatting>
  <conditionalFormatting sqref="J109">
    <cfRule type="cellIs" dxfId="190" priority="157" stopIfTrue="1" operator="equal">
      <formula>"Nulle !"</formula>
    </cfRule>
    <cfRule type="cellIs" dxfId="189" priority="158" stopIfTrue="1" operator="greaterThan">
      <formula>4</formula>
    </cfRule>
    <cfRule type="cellIs" dxfId="188" priority="159" stopIfTrue="1" operator="equal">
      <formula>0</formula>
    </cfRule>
  </conditionalFormatting>
  <conditionalFormatting sqref="L109">
    <cfRule type="cellIs" dxfId="187" priority="154" stopIfTrue="1" operator="equal">
      <formula>"Nulle !"</formula>
    </cfRule>
    <cfRule type="cellIs" dxfId="186" priority="155" stopIfTrue="1" operator="greaterThan">
      <formula>4</formula>
    </cfRule>
    <cfRule type="cellIs" dxfId="185" priority="156" stopIfTrue="1" operator="equal">
      <formula>0</formula>
    </cfRule>
  </conditionalFormatting>
  <conditionalFormatting sqref="N109">
    <cfRule type="cellIs" dxfId="184" priority="151" stopIfTrue="1" operator="equal">
      <formula>"Nulle !"</formula>
    </cfRule>
    <cfRule type="cellIs" dxfId="183" priority="152" stopIfTrue="1" operator="greaterThan">
      <formula>4</formula>
    </cfRule>
    <cfRule type="cellIs" dxfId="182" priority="153" stopIfTrue="1" operator="equal">
      <formula>0</formula>
    </cfRule>
  </conditionalFormatting>
  <conditionalFormatting sqref="H107">
    <cfRule type="expression" dxfId="181" priority="149" stopIfTrue="1">
      <formula>H105&gt;1</formula>
    </cfRule>
    <cfRule type="expression" dxfId="180" priority="150" stopIfTrue="1">
      <formula>H105=1</formula>
    </cfRule>
  </conditionalFormatting>
  <conditionalFormatting sqref="J107">
    <cfRule type="expression" dxfId="179" priority="147" stopIfTrue="1">
      <formula>J105&gt;1</formula>
    </cfRule>
    <cfRule type="expression" dxfId="178" priority="148" stopIfTrue="1">
      <formula>J105=1</formula>
    </cfRule>
  </conditionalFormatting>
  <conditionalFormatting sqref="L107">
    <cfRule type="expression" dxfId="177" priority="145" stopIfTrue="1">
      <formula>L105&gt;1</formula>
    </cfRule>
    <cfRule type="expression" dxfId="176" priority="146" stopIfTrue="1">
      <formula>L105=1</formula>
    </cfRule>
  </conditionalFormatting>
  <conditionalFormatting sqref="N107">
    <cfRule type="expression" dxfId="175" priority="143" stopIfTrue="1">
      <formula>N105&gt;1</formula>
    </cfRule>
    <cfRule type="expression" dxfId="174" priority="144" stopIfTrue="1">
      <formula>N105=1</formula>
    </cfRule>
  </conditionalFormatting>
  <conditionalFormatting sqref="F113">
    <cfRule type="cellIs" dxfId="173" priority="140" stopIfTrue="1" operator="equal">
      <formula>"CAF nulle !"</formula>
    </cfRule>
    <cfRule type="cellIs" dxfId="172" priority="141" stopIfTrue="1" operator="greaterThan">
      <formula>0.6</formula>
    </cfRule>
    <cfRule type="cellIs" dxfId="171" priority="142" stopIfTrue="1" operator="equal">
      <formula>0</formula>
    </cfRule>
  </conditionalFormatting>
  <conditionalFormatting sqref="J113">
    <cfRule type="cellIs" dxfId="170" priority="137" stopIfTrue="1" operator="equal">
      <formula>"CAF nulle !"</formula>
    </cfRule>
    <cfRule type="cellIs" dxfId="169" priority="138" stopIfTrue="1" operator="greaterThan">
      <formula>0.6</formula>
    </cfRule>
    <cfRule type="cellIs" dxfId="168" priority="139" stopIfTrue="1" operator="equal">
      <formula>0</formula>
    </cfRule>
  </conditionalFormatting>
  <conditionalFormatting sqref="L113">
    <cfRule type="cellIs" dxfId="167" priority="134" stopIfTrue="1" operator="equal">
      <formula>"CAF nulle !"</formula>
    </cfRule>
    <cfRule type="cellIs" dxfId="166" priority="135" stopIfTrue="1" operator="greaterThan">
      <formula>0.6</formula>
    </cfRule>
    <cfRule type="cellIs" dxfId="165" priority="136" stopIfTrue="1" operator="equal">
      <formula>0</formula>
    </cfRule>
  </conditionalFormatting>
  <conditionalFormatting sqref="N113">
    <cfRule type="cellIs" dxfId="164" priority="131" stopIfTrue="1" operator="equal">
      <formula>"CAF nulle !"</formula>
    </cfRule>
    <cfRule type="cellIs" dxfId="163" priority="132" stopIfTrue="1" operator="greaterThan">
      <formula>0.6</formula>
    </cfRule>
    <cfRule type="cellIs" dxfId="162" priority="133" stopIfTrue="1" operator="equal">
      <formula>0</formula>
    </cfRule>
  </conditionalFormatting>
  <conditionalFormatting sqref="F117 H117 J117 L117 N117">
    <cfRule type="cellIs" dxfId="161" priority="129" operator="lessThan">
      <formula>0</formula>
    </cfRule>
    <cfRule type="cellIs" dxfId="160" priority="130" operator="equal">
      <formula>0</formula>
    </cfRule>
  </conditionalFormatting>
  <conditionalFormatting sqref="H103">
    <cfRule type="expression" dxfId="159" priority="128" stopIfTrue="1">
      <formula>H100&lt;20%</formula>
    </cfRule>
  </conditionalFormatting>
  <conditionalFormatting sqref="J103">
    <cfRule type="expression" dxfId="158" priority="127" stopIfTrue="1">
      <formula>J100&lt;20%</formula>
    </cfRule>
  </conditionalFormatting>
  <conditionalFormatting sqref="L103">
    <cfRule type="expression" dxfId="157" priority="126" stopIfTrue="1">
      <formula>L100&lt;20%</formula>
    </cfRule>
  </conditionalFormatting>
  <conditionalFormatting sqref="N103">
    <cfRule type="expression" dxfId="156" priority="125" stopIfTrue="1">
      <formula>N100&lt;20%</formula>
    </cfRule>
  </conditionalFormatting>
  <conditionalFormatting sqref="H111">
    <cfRule type="expression" dxfId="155" priority="124" stopIfTrue="1">
      <formula>H109&gt;4</formula>
    </cfRule>
  </conditionalFormatting>
  <conditionalFormatting sqref="J111">
    <cfRule type="expression" dxfId="154" priority="123" stopIfTrue="1">
      <formula>J109&gt;4</formula>
    </cfRule>
  </conditionalFormatting>
  <conditionalFormatting sqref="L111">
    <cfRule type="expression" dxfId="153" priority="122" stopIfTrue="1">
      <formula>L109&gt;4</formula>
    </cfRule>
  </conditionalFormatting>
  <conditionalFormatting sqref="N111">
    <cfRule type="expression" dxfId="152" priority="121" stopIfTrue="1">
      <formula>N109&gt;4</formula>
    </cfRule>
  </conditionalFormatting>
  <conditionalFormatting sqref="H115">
    <cfRule type="expression" dxfId="151" priority="120" stopIfTrue="1">
      <formula>H113&gt;60%</formula>
    </cfRule>
  </conditionalFormatting>
  <conditionalFormatting sqref="J115">
    <cfRule type="expression" dxfId="150" priority="119" stopIfTrue="1">
      <formula>J113&gt;60%</formula>
    </cfRule>
  </conditionalFormatting>
  <conditionalFormatting sqref="L115">
    <cfRule type="expression" dxfId="149" priority="118" stopIfTrue="1">
      <formula>L113&gt;60%</formula>
    </cfRule>
  </conditionalFormatting>
  <conditionalFormatting sqref="N115">
    <cfRule type="expression" dxfId="148" priority="117" stopIfTrue="1">
      <formula>N113&gt;60%</formula>
    </cfRule>
  </conditionalFormatting>
  <conditionalFormatting sqref="H163">
    <cfRule type="expression" dxfId="147" priority="115" stopIfTrue="1">
      <formula>H161&gt;67%</formula>
    </cfRule>
    <cfRule type="expression" dxfId="146" priority="116" stopIfTrue="1">
      <formula>H161&gt;0.5</formula>
    </cfRule>
  </conditionalFormatting>
  <conditionalFormatting sqref="J163">
    <cfRule type="expression" dxfId="145" priority="113" stopIfTrue="1">
      <formula>J161&gt;67%</formula>
    </cfRule>
    <cfRule type="expression" dxfId="144" priority="114" stopIfTrue="1">
      <formula>J161&gt;0.5</formula>
    </cfRule>
  </conditionalFormatting>
  <conditionalFormatting sqref="L163">
    <cfRule type="expression" dxfId="143" priority="111" stopIfTrue="1">
      <formula>L161&gt;67%</formula>
    </cfRule>
    <cfRule type="expression" dxfId="142" priority="112" stopIfTrue="1">
      <formula>L161&gt;0.5</formula>
    </cfRule>
  </conditionalFormatting>
  <conditionalFormatting sqref="N163">
    <cfRule type="expression" dxfId="141" priority="109" stopIfTrue="1">
      <formula>N161&gt;67%</formula>
    </cfRule>
    <cfRule type="expression" dxfId="140" priority="110" stopIfTrue="1">
      <formula>N161&gt;0.5</formula>
    </cfRule>
  </conditionalFormatting>
  <conditionalFormatting sqref="M50 K50 I50 G50 E50">
    <cfRule type="cellIs" dxfId="139" priority="102" stopIfTrue="1" operator="lessThan">
      <formula>0</formula>
    </cfRule>
  </conditionalFormatting>
  <conditionalFormatting sqref="M31 K31 I31 G31 E31">
    <cfRule type="cellIs" dxfId="138" priority="101" stopIfTrue="1" operator="lessThan">
      <formula>0</formula>
    </cfRule>
  </conditionalFormatting>
  <conditionalFormatting sqref="L140">
    <cfRule type="expression" dxfId="137" priority="100" stopIfTrue="1">
      <formula>L140="Pas de besoin"</formula>
    </cfRule>
  </conditionalFormatting>
  <conditionalFormatting sqref="J140">
    <cfRule type="expression" dxfId="136" priority="99" stopIfTrue="1">
      <formula>J140="Pas de besoin"</formula>
    </cfRule>
  </conditionalFormatting>
  <conditionalFormatting sqref="H140">
    <cfRule type="expression" dxfId="135" priority="98" stopIfTrue="1">
      <formula>H140="Pas de besoin"</formula>
    </cfRule>
  </conditionalFormatting>
  <conditionalFormatting sqref="F140">
    <cfRule type="expression" dxfId="134" priority="97" stopIfTrue="1">
      <formula>F140="Pas de besoin"</formula>
    </cfRule>
  </conditionalFormatting>
  <conditionalFormatting sqref="L141">
    <cfRule type="expression" dxfId="133" priority="96">
      <formula>L140="Pas de besoin"</formula>
    </cfRule>
  </conditionalFormatting>
  <conditionalFormatting sqref="J141">
    <cfRule type="expression" dxfId="132" priority="95">
      <formula>J140="Pas de besoin"</formula>
    </cfRule>
  </conditionalFormatting>
  <conditionalFormatting sqref="H141">
    <cfRule type="expression" dxfId="131" priority="94">
      <formula>H140="Pas de besoin"</formula>
    </cfRule>
  </conditionalFormatting>
  <conditionalFormatting sqref="F141">
    <cfRule type="expression" dxfId="130" priority="93">
      <formula>F140="Pas de besoin"</formula>
    </cfRule>
  </conditionalFormatting>
  <conditionalFormatting sqref="L149">
    <cfRule type="expression" dxfId="129" priority="91" stopIfTrue="1">
      <formula>L149="Pas de besoin"</formula>
    </cfRule>
    <cfRule type="cellIs" dxfId="128" priority="92" stopIfTrue="1" operator="greaterThan">
      <formula>0</formula>
    </cfRule>
  </conditionalFormatting>
  <conditionalFormatting sqref="J149">
    <cfRule type="expression" dxfId="127" priority="89" stopIfTrue="1">
      <formula>J149="Pas de besoin"</formula>
    </cfRule>
    <cfRule type="cellIs" dxfId="126" priority="90" stopIfTrue="1" operator="greaterThan">
      <formula>0</formula>
    </cfRule>
  </conditionalFormatting>
  <conditionalFormatting sqref="H149">
    <cfRule type="expression" dxfId="125" priority="87" stopIfTrue="1">
      <formula>H149="Pas de besoin"</formula>
    </cfRule>
    <cfRule type="cellIs" dxfId="124" priority="88" stopIfTrue="1" operator="greaterThan">
      <formula>0</formula>
    </cfRule>
  </conditionalFormatting>
  <conditionalFormatting sqref="F149">
    <cfRule type="expression" dxfId="123" priority="85" stopIfTrue="1">
      <formula>F149="Pas de besoin"</formula>
    </cfRule>
    <cfRule type="cellIs" dxfId="122" priority="86" stopIfTrue="1" operator="greaterThan">
      <formula>0</formula>
    </cfRule>
  </conditionalFormatting>
  <conditionalFormatting sqref="L150">
    <cfRule type="expression" dxfId="121" priority="83" stopIfTrue="1">
      <formula>L149="Pas de besoin"</formula>
    </cfRule>
    <cfRule type="cellIs" dxfId="120" priority="84" stopIfTrue="1" operator="greaterThan">
      <formula>0</formula>
    </cfRule>
  </conditionalFormatting>
  <conditionalFormatting sqref="J150">
    <cfRule type="expression" dxfId="119" priority="81" stopIfTrue="1">
      <formula>J149="Pas de besoin"</formula>
    </cfRule>
    <cfRule type="cellIs" dxfId="118" priority="82" stopIfTrue="1" operator="greaterThan">
      <formula>0</formula>
    </cfRule>
  </conditionalFormatting>
  <conditionalFormatting sqref="H150">
    <cfRule type="expression" dxfId="117" priority="79" stopIfTrue="1">
      <formula>H149="Pas de besoin"</formula>
    </cfRule>
    <cfRule type="cellIs" dxfId="116" priority="80" stopIfTrue="1" operator="greaterThan">
      <formula>0</formula>
    </cfRule>
  </conditionalFormatting>
  <conditionalFormatting sqref="F150">
    <cfRule type="expression" dxfId="115" priority="77" stopIfTrue="1">
      <formula>F149="Pas de besoin"</formula>
    </cfRule>
    <cfRule type="cellIs" dxfId="114" priority="78" stopIfTrue="1" operator="greaterThan">
      <formula>0</formula>
    </cfRule>
  </conditionalFormatting>
  <conditionalFormatting sqref="J153">
    <cfRule type="expression" dxfId="113" priority="75" stopIfTrue="1">
      <formula>J6=" "</formula>
    </cfRule>
    <cfRule type="cellIs" dxfId="112" priority="76" stopIfTrue="1" operator="lessThan">
      <formula>0.5</formula>
    </cfRule>
  </conditionalFormatting>
  <conditionalFormatting sqref="H153">
    <cfRule type="expression" dxfId="111" priority="73" stopIfTrue="1">
      <formula>H6=" "</formula>
    </cfRule>
    <cfRule type="cellIs" dxfId="110" priority="74" stopIfTrue="1" operator="lessThan">
      <formula>0.5</formula>
    </cfRule>
  </conditionalFormatting>
  <conditionalFormatting sqref="F153">
    <cfRule type="expression" dxfId="109" priority="71" stopIfTrue="1">
      <formula>F6=" "</formula>
    </cfRule>
    <cfRule type="cellIs" dxfId="108" priority="72" stopIfTrue="1" operator="lessThan">
      <formula>0.5</formula>
    </cfRule>
  </conditionalFormatting>
  <conditionalFormatting sqref="H69">
    <cfRule type="cellIs" dxfId="107" priority="60" stopIfTrue="1" operator="greaterThanOrEqual">
      <formula>0.5</formula>
    </cfRule>
    <cfRule type="cellIs" dxfId="106" priority="61" stopIfTrue="1" operator="equal">
      <formula>0</formula>
    </cfRule>
  </conditionalFormatting>
  <conditionalFormatting sqref="J69">
    <cfRule type="cellIs" dxfId="105" priority="58" stopIfTrue="1" operator="greaterThanOrEqual">
      <formula>0.5</formula>
    </cfRule>
    <cfRule type="cellIs" dxfId="104" priority="59" stopIfTrue="1" operator="equal">
      <formula>0</formula>
    </cfRule>
  </conditionalFormatting>
  <conditionalFormatting sqref="L69">
    <cfRule type="cellIs" dxfId="103" priority="56" stopIfTrue="1" operator="greaterThanOrEqual">
      <formula>0.5</formula>
    </cfRule>
    <cfRule type="cellIs" dxfId="102" priority="57" stopIfTrue="1" operator="equal">
      <formula>0</formula>
    </cfRule>
  </conditionalFormatting>
  <conditionalFormatting sqref="N69">
    <cfRule type="cellIs" dxfId="101" priority="54" stopIfTrue="1" operator="greaterThanOrEqual">
      <formula>0.5</formula>
    </cfRule>
    <cfRule type="cellIs" dxfId="100" priority="55" stopIfTrue="1" operator="equal">
      <formula>0</formula>
    </cfRule>
  </conditionalFormatting>
  <conditionalFormatting sqref="F76">
    <cfRule type="expression" dxfId="99" priority="42">
      <formula>F74=" "</formula>
    </cfRule>
    <cfRule type="expression" dxfId="98" priority="43">
      <formula>F74&lt;=0%</formula>
    </cfRule>
    <cfRule type="expression" dxfId="97" priority="44">
      <formula>F74&lt;10%</formula>
    </cfRule>
    <cfRule type="expression" dxfId="96" priority="45">
      <formula>F74&gt;10%</formula>
    </cfRule>
  </conditionalFormatting>
  <conditionalFormatting sqref="H76">
    <cfRule type="expression" dxfId="95" priority="38">
      <formula>H74=" "</formula>
    </cfRule>
    <cfRule type="expression" dxfId="94" priority="39">
      <formula>H74&lt;=0%</formula>
    </cfRule>
    <cfRule type="expression" dxfId="93" priority="40">
      <formula>H74&lt;10%</formula>
    </cfRule>
    <cfRule type="expression" dxfId="92" priority="41">
      <formula>H74&gt;10%</formula>
    </cfRule>
  </conditionalFormatting>
  <conditionalFormatting sqref="J76">
    <cfRule type="expression" dxfId="91" priority="34">
      <formula>J74=" "</formula>
    </cfRule>
    <cfRule type="expression" dxfId="90" priority="35">
      <formula>J74&lt;=0%</formula>
    </cfRule>
    <cfRule type="expression" dxfId="89" priority="36">
      <formula>J74&lt;10%</formula>
    </cfRule>
    <cfRule type="expression" dxfId="88" priority="37">
      <formula>J74&gt;10%</formula>
    </cfRule>
  </conditionalFormatting>
  <conditionalFormatting sqref="L76">
    <cfRule type="expression" dxfId="87" priority="30">
      <formula>L74=" "</formula>
    </cfRule>
    <cfRule type="expression" dxfId="86" priority="31">
      <formula>L74&lt;=0%</formula>
    </cfRule>
    <cfRule type="expression" dxfId="85" priority="32">
      <formula>L74&lt;10%</formula>
    </cfRule>
    <cfRule type="expression" dxfId="84" priority="33">
      <formula>L74&gt;10%</formula>
    </cfRule>
  </conditionalFormatting>
  <conditionalFormatting sqref="N76">
    <cfRule type="expression" dxfId="83" priority="26">
      <formula>N74=" "</formula>
    </cfRule>
    <cfRule type="expression" dxfId="82" priority="27">
      <formula>N74&lt;=0%</formula>
    </cfRule>
    <cfRule type="expression" dxfId="81" priority="28">
      <formula>N74&lt;10%</formula>
    </cfRule>
    <cfRule type="expression" dxfId="80" priority="29">
      <formula>N74&gt;10%</formula>
    </cfRule>
  </conditionalFormatting>
  <conditionalFormatting sqref="F81">
    <cfRule type="expression" dxfId="79" priority="22">
      <formula>F79=" "</formula>
    </cfRule>
    <cfRule type="expression" dxfId="78" priority="23">
      <formula>F79&lt;=0%</formula>
    </cfRule>
    <cfRule type="expression" dxfId="77" priority="24">
      <formula>F79&lt;6%</formula>
    </cfRule>
    <cfRule type="expression" dxfId="76" priority="25">
      <formula>F79&gt;6%</formula>
    </cfRule>
  </conditionalFormatting>
  <conditionalFormatting sqref="H81">
    <cfRule type="expression" dxfId="75" priority="18">
      <formula>H79=" "</formula>
    </cfRule>
    <cfRule type="expression" dxfId="74" priority="19">
      <formula>H79&lt;=0%</formula>
    </cfRule>
    <cfRule type="expression" dxfId="73" priority="20">
      <formula>H79&lt;6%</formula>
    </cfRule>
    <cfRule type="expression" dxfId="72" priority="21">
      <formula>H79&gt;6%</formula>
    </cfRule>
  </conditionalFormatting>
  <conditionalFormatting sqref="J81">
    <cfRule type="expression" dxfId="71" priority="14">
      <formula>J79=" "</formula>
    </cfRule>
    <cfRule type="expression" dxfId="70" priority="15">
      <formula>J79&lt;=0%</formula>
    </cfRule>
    <cfRule type="expression" dxfId="69" priority="16">
      <formula>J79&lt;6%</formula>
    </cfRule>
    <cfRule type="expression" dxfId="68" priority="17">
      <formula>J79&gt;6%</formula>
    </cfRule>
  </conditionalFormatting>
  <conditionalFormatting sqref="L81">
    <cfRule type="expression" dxfId="67" priority="10">
      <formula>L79=" "</formula>
    </cfRule>
    <cfRule type="expression" dxfId="66" priority="11">
      <formula>L79&lt;=0%</formula>
    </cfRule>
    <cfRule type="expression" dxfId="65" priority="12">
      <formula>L79&lt;6%</formula>
    </cfRule>
    <cfRule type="expression" dxfId="64" priority="13">
      <formula>L79&gt;6%</formula>
    </cfRule>
  </conditionalFormatting>
  <conditionalFormatting sqref="N81">
    <cfRule type="expression" dxfId="63" priority="6">
      <formula>N79=" "</formula>
    </cfRule>
    <cfRule type="expression" dxfId="62" priority="7">
      <formula>N79&lt;=0%</formula>
    </cfRule>
    <cfRule type="expression" dxfId="61" priority="8">
      <formula>N79&lt;6%</formula>
    </cfRule>
    <cfRule type="expression" dxfId="60" priority="9">
      <formula>N79&gt;6%</formula>
    </cfRule>
  </conditionalFormatting>
  <conditionalFormatting sqref="N9">
    <cfRule type="cellIs" dxfId="59" priority="5" stopIfTrue="1" operator="lessThan">
      <formula>0</formula>
    </cfRule>
  </conditionalFormatting>
  <conditionalFormatting sqref="N7">
    <cfRule type="cellIs" dxfId="58" priority="4" stopIfTrue="1" operator="lessThan">
      <formula>0</formula>
    </cfRule>
  </conditionalFormatting>
  <conditionalFormatting sqref="N11">
    <cfRule type="expression" dxfId="57" priority="1" stopIfTrue="1">
      <formula>N9=" "</formula>
    </cfRule>
    <cfRule type="expression" dxfId="56" priority="2" stopIfTrue="1">
      <formula>N9&lt;-1%</formula>
    </cfRule>
    <cfRule type="expression" dxfId="55" priority="3" stopIfTrue="1">
      <formula>N9&lt;1%</formula>
    </cfRule>
  </conditionalFormatting>
  <hyperlinks>
    <hyperlink ref="F4" r:id="rId1" xr:uid="{00000000-0004-0000-0500-000000000000}"/>
    <hyperlink ref="B4" r:id="rId2" xr:uid="{00000000-0004-0000-0500-000001000000}"/>
  </hyperlinks>
  <printOptions horizontalCentered="1"/>
  <pageMargins left="0.39370078740157483" right="0.39370078740157483" top="0.19685039370078741" bottom="0" header="0" footer="0"/>
  <pageSetup paperSize="9" scale="69" fitToHeight="4" orientation="portrait" r:id="rId3"/>
  <headerFooter alignWithMargins="0"/>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95"/>
  <sheetViews>
    <sheetView showGridLines="0" showRowColHeaders="0" zoomScaleNormal="100" workbookViewId="0">
      <selection activeCell="K2" sqref="K2"/>
    </sheetView>
  </sheetViews>
  <sheetFormatPr baseColWidth="10" defaultRowHeight="13.2"/>
  <cols>
    <col min="1" max="1" width="1.77734375" customWidth="1"/>
    <col min="2" max="2" width="13.77734375" customWidth="1"/>
    <col min="3" max="4" width="14.77734375" customWidth="1"/>
    <col min="5" max="5" width="13.77734375" customWidth="1"/>
    <col min="6" max="7" width="14.77734375" customWidth="1"/>
    <col min="8" max="8" width="13.77734375" customWidth="1"/>
    <col min="9" max="9" width="1.77734375" customWidth="1"/>
    <col min="10" max="10" width="13.77734375" customWidth="1"/>
    <col min="11" max="12" width="14.77734375" customWidth="1"/>
    <col min="13" max="14" width="13.77734375" customWidth="1"/>
    <col min="15" max="15" width="14.77734375" customWidth="1"/>
    <col min="16" max="16" width="15.77734375" customWidth="1"/>
  </cols>
  <sheetData>
    <row r="1" spans="2:23" ht="6" customHeight="1"/>
    <row r="2" spans="2:23" ht="21.9" customHeight="1">
      <c r="B2" s="2143" t="str">
        <f>IF(ISBLANK(societe)," ",societe)</f>
        <v xml:space="preserve"> </v>
      </c>
      <c r="C2" s="2494"/>
      <c r="D2" s="2494"/>
      <c r="E2" s="2494"/>
      <c r="F2" s="2495"/>
      <c r="J2" s="313">
        <f>d</f>
        <v>0</v>
      </c>
      <c r="K2" s="313" t="str">
        <f>d_1</f>
        <v xml:space="preserve"> </v>
      </c>
      <c r="L2" s="313" t="str">
        <f>d_2</f>
        <v xml:space="preserve"> </v>
      </c>
      <c r="M2" s="313" t="str">
        <f>d_3</f>
        <v xml:space="preserve"> </v>
      </c>
      <c r="N2" s="313" t="str">
        <f>d_4</f>
        <v xml:space="preserve"> </v>
      </c>
      <c r="O2" s="313"/>
      <c r="P2" s="313"/>
    </row>
    <row r="3" spans="2:23" ht="3" customHeight="1">
      <c r="I3" s="313" t="s">
        <v>412</v>
      </c>
      <c r="J3" s="314" t="b">
        <f>IF(u="€",export_5/1000,IF(u="K€",export_5))</f>
        <v>0</v>
      </c>
      <c r="K3" s="314" t="b">
        <f>IF(u="€",export_4/1000,IF(u="K€",export_4))</f>
        <v>0</v>
      </c>
      <c r="L3" s="314" t="b">
        <f>IF(u="€",export_3/1000,IF(u="K€",export_3))</f>
        <v>0</v>
      </c>
      <c r="M3" s="314" t="b">
        <f>IF(u="€",export_2/1000,IF(u="K€",export_2))</f>
        <v>0</v>
      </c>
      <c r="N3" s="314" t="b">
        <f>IF(u="€",export_1/1000,IF(u="K€",export_1))</f>
        <v>0</v>
      </c>
      <c r="O3" s="313"/>
    </row>
    <row r="4" spans="2:23" ht="3" customHeight="1">
      <c r="I4" s="313" t="s">
        <v>411</v>
      </c>
      <c r="J4" s="314">
        <f>J5-J3</f>
        <v>0</v>
      </c>
      <c r="K4" s="314">
        <f>K5-K3</f>
        <v>0</v>
      </c>
      <c r="L4" s="314">
        <f>L5-L3</f>
        <v>0</v>
      </c>
      <c r="M4" s="314">
        <f>M5-M3</f>
        <v>0</v>
      </c>
      <c r="N4" s="314">
        <f>N5-N3</f>
        <v>0</v>
      </c>
      <c r="O4" s="313"/>
    </row>
    <row r="5" spans="2:23" s="313" customFormat="1" ht="3" customHeight="1">
      <c r="I5" s="313" t="s">
        <v>413</v>
      </c>
      <c r="J5" s="314" t="b">
        <f>IF(u="€",ca_5/1000,IF(u="K€",ca_5))</f>
        <v>0</v>
      </c>
      <c r="K5" s="314" t="b">
        <f>IF(u="€",ca_4/1000,IF(u="K€",ca_4))</f>
        <v>0</v>
      </c>
      <c r="L5" s="314" t="b">
        <f>IF(u="€",ca_3/1000,IF(u="K€",ca_3))</f>
        <v>0</v>
      </c>
      <c r="M5" s="314" t="b">
        <f>IF(u="€",ca_2/1000,IF(u="K€",ca_2))</f>
        <v>0</v>
      </c>
      <c r="N5" s="314" t="b">
        <f>IF(u="€",ca_1/1000,IF(u="K€",ca_1))</f>
        <v>0</v>
      </c>
      <c r="T5" s="315"/>
      <c r="U5" s="315"/>
      <c r="V5" s="315"/>
      <c r="W5" s="315"/>
    </row>
    <row r="6" spans="2:23" ht="30" customHeight="1"/>
    <row r="7" spans="2:23" ht="30" customHeight="1"/>
    <row r="8" spans="2:23" ht="30" customHeight="1"/>
    <row r="9" spans="2:23" ht="30" customHeight="1"/>
    <row r="10" spans="2:23" ht="30" customHeight="1"/>
    <row r="11" spans="2:23" ht="30" customHeight="1"/>
    <row r="12" spans="2:23" ht="30" customHeight="1"/>
    <row r="13" spans="2:23" ht="30" customHeight="1"/>
    <row r="14" spans="2:23" ht="30" customHeight="1"/>
    <row r="15" spans="2:23" ht="30" customHeight="1"/>
    <row r="16" spans="2: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sheetProtection algorithmName="SHA-512" hashValue="EvcWIUko0NyqaoRNp9Vg9gsvoq/OOheBIK98EbiIAlgamEGkUutCWX2TGiFQrSBGdcyGc5/B1TVkK8cjS876Qw==" saltValue="dILyU7ApojXqlnoh7jvaKA==" spinCount="100000" sheet="1" formatCells="0" formatColumns="0" formatRows="0" insertColumns="0" insertRows="0" insertHyperlinks="0" deleteColumns="0" deleteRows="0" sort="0" autoFilter="0" pivotTables="0"/>
  <mergeCells count="1">
    <mergeCell ref="B2:F2"/>
  </mergeCells>
  <phoneticPr fontId="67" type="noConversion"/>
  <printOptions horizontalCentered="1"/>
  <pageMargins left="0" right="0" top="0" bottom="0" header="0" footer="0"/>
  <pageSetup paperSize="9" scale="55" fitToHeight="2" orientation="portrait" horizontalDpi="200" verticalDpi="2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pageSetUpPr fitToPage="1"/>
  </sheetPr>
  <dimension ref="A1:O42"/>
  <sheetViews>
    <sheetView showGridLines="0" showRowColHeaders="0" zoomScaleNormal="100" workbookViewId="0">
      <pane ySplit="5" topLeftCell="A6" activePane="bottomLeft" state="frozenSplit"/>
      <selection pane="bottomLeft" activeCell="G43" sqref="G43"/>
    </sheetView>
  </sheetViews>
  <sheetFormatPr baseColWidth="10" defaultColWidth="12" defaultRowHeight="13.8"/>
  <cols>
    <col min="1" max="2" width="1.77734375" style="56" customWidth="1"/>
    <col min="3" max="3" width="38.109375" style="56" customWidth="1"/>
    <col min="4" max="4" width="7.77734375" style="56" customWidth="1"/>
    <col min="5" max="5" width="1" style="56" customWidth="1"/>
    <col min="6" max="6" width="13.77734375" style="56" customWidth="1"/>
    <col min="7" max="7" width="1" style="56" customWidth="1"/>
    <col min="8" max="8" width="13.77734375" style="56" customWidth="1"/>
    <col min="9" max="9" width="1" style="56" customWidth="1"/>
    <col min="10" max="10" width="13.77734375" style="56" customWidth="1"/>
    <col min="11" max="11" width="1" style="56" customWidth="1"/>
    <col min="12" max="12" width="13.77734375" style="56" customWidth="1"/>
    <col min="13" max="13" width="1" style="56" customWidth="1"/>
    <col min="14" max="14" width="13.77734375" style="56" customWidth="1"/>
    <col min="15" max="15" width="1.77734375" style="56" customWidth="1"/>
    <col min="16" max="16384" width="12" style="56"/>
  </cols>
  <sheetData>
    <row r="1" spans="2:15" ht="6" customHeight="1"/>
    <row r="2" spans="2:15" ht="6" customHeight="1">
      <c r="B2" s="901"/>
      <c r="C2" s="902"/>
      <c r="D2" s="902"/>
      <c r="E2" s="902"/>
      <c r="F2" s="903"/>
      <c r="G2" s="902"/>
      <c r="H2" s="903"/>
      <c r="I2" s="902"/>
      <c r="J2" s="903"/>
      <c r="K2" s="902"/>
      <c r="L2" s="903"/>
      <c r="M2" s="902"/>
      <c r="N2" s="903"/>
      <c r="O2" s="904"/>
    </row>
    <row r="3" spans="2:15" ht="15" customHeight="1">
      <c r="B3" s="905"/>
      <c r="C3" s="2499" t="str">
        <f>IF(ISBLANK(societe)," ",societe)</f>
        <v xml:space="preserve"> </v>
      </c>
      <c r="D3" s="2500"/>
      <c r="E3" s="58"/>
      <c r="F3" s="897" t="str">
        <f>IF(ISBLANK(d_4)," ",d_4)</f>
        <v xml:space="preserve"> </v>
      </c>
      <c r="G3" s="389"/>
      <c r="H3" s="897" t="str">
        <f>IF(ISBLANK(d_3)," ",d_3)</f>
        <v xml:space="preserve"> </v>
      </c>
      <c r="I3" s="390"/>
      <c r="J3" s="897" t="str">
        <f>IF(ISBLANK(d_2)," ",d_2)</f>
        <v xml:space="preserve"> </v>
      </c>
      <c r="K3" s="390"/>
      <c r="L3" s="897" t="str">
        <f>IF(ISBLANK(d_1)," ",d_1)</f>
        <v xml:space="preserve"> </v>
      </c>
      <c r="M3" s="390"/>
      <c r="N3" s="897" t="str">
        <f>IF(ISBLANK(d)," ",d)</f>
        <v xml:space="preserve"> </v>
      </c>
      <c r="O3" s="906"/>
    </row>
    <row r="4" spans="2:15" s="62" customFormat="1" ht="15" customHeight="1">
      <c r="B4" s="907"/>
      <c r="C4" s="2501"/>
      <c r="D4" s="2341"/>
      <c r="E4" s="63"/>
      <c r="F4" s="898" t="str">
        <f>IF(ISBLANK(u)," ",u)</f>
        <v xml:space="preserve"> </v>
      </c>
      <c r="G4" s="391"/>
      <c r="H4" s="898" t="str">
        <f>IF(ISBLANK(u)," ",u)</f>
        <v xml:space="preserve"> </v>
      </c>
      <c r="I4" s="391"/>
      <c r="J4" s="898" t="str">
        <f>IF(ISBLANK(u)," ",u)</f>
        <v xml:space="preserve"> </v>
      </c>
      <c r="K4" s="391"/>
      <c r="L4" s="898" t="str">
        <f>IF(ISBLANK(u)," ",u)</f>
        <v xml:space="preserve"> </v>
      </c>
      <c r="M4" s="391"/>
      <c r="N4" s="898" t="str">
        <f>IF(ISBLANK(u)," ",u)</f>
        <v xml:space="preserve"> </v>
      </c>
      <c r="O4" s="908"/>
    </row>
    <row r="5" spans="2:15" s="62" customFormat="1" ht="3" customHeight="1">
      <c r="B5" s="907"/>
      <c r="C5" s="63"/>
      <c r="D5" s="63"/>
      <c r="E5" s="63"/>
      <c r="F5" s="64"/>
      <c r="G5" s="94"/>
      <c r="H5" s="64"/>
      <c r="I5" s="94"/>
      <c r="J5" s="64"/>
      <c r="K5" s="94"/>
      <c r="L5" s="64"/>
      <c r="M5" s="94"/>
      <c r="N5" s="64"/>
      <c r="O5" s="908"/>
    </row>
    <row r="6" spans="2:15" ht="20.100000000000001" customHeight="1">
      <c r="B6" s="905"/>
      <c r="C6" s="292" t="s">
        <v>550</v>
      </c>
      <c r="D6" s="292"/>
      <c r="E6" s="293"/>
      <c r="F6" s="294">
        <f>bj_1-nk_1+x_1</f>
        <v>0</v>
      </c>
      <c r="G6" s="293"/>
      <c r="H6" s="294">
        <f>bj_2-nk_2+x_2</f>
        <v>0</v>
      </c>
      <c r="I6" s="293"/>
      <c r="J6" s="294">
        <f>bj_3-nk_3+x_3</f>
        <v>0</v>
      </c>
      <c r="K6" s="293"/>
      <c r="L6" s="294">
        <f>bj_4-nk_4+x_4</f>
        <v>0</v>
      </c>
      <c r="M6" s="293"/>
      <c r="N6" s="294">
        <f>bj_5-nk_5+x_5</f>
        <v>0</v>
      </c>
      <c r="O6" s="906"/>
    </row>
    <row r="7" spans="2:15" ht="20.100000000000001" customHeight="1">
      <c r="B7" s="905"/>
      <c r="C7" s="292" t="s">
        <v>386</v>
      </c>
      <c r="D7" s="292"/>
      <c r="E7" s="293"/>
      <c r="F7" s="294">
        <f>nk_1-x_1</f>
        <v>0</v>
      </c>
      <c r="G7" s="294"/>
      <c r="H7" s="294">
        <f>nk_2-x_2</f>
        <v>0</v>
      </c>
      <c r="I7" s="294"/>
      <c r="J7" s="294">
        <f>nk_3-x_3</f>
        <v>0</v>
      </c>
      <c r="K7" s="294"/>
      <c r="L7" s="294">
        <f>nk_4-x_4</f>
        <v>0</v>
      </c>
      <c r="M7" s="294"/>
      <c r="N7" s="294">
        <f>nk_5-x_5</f>
        <v>0</v>
      </c>
      <c r="O7" s="906"/>
    </row>
    <row r="8" spans="2:15" ht="20.100000000000001" customHeight="1">
      <c r="B8" s="905"/>
      <c r="C8" s="393" t="s">
        <v>551</v>
      </c>
      <c r="D8" s="121"/>
      <c r="E8" s="58"/>
      <c r="F8" s="96" t="str">
        <f>IF(b_1=" "," ",bj_1)</f>
        <v xml:space="preserve"> </v>
      </c>
      <c r="G8" s="96"/>
      <c r="H8" s="96" t="str">
        <f>IF(b_2=" "," ",bj_2)</f>
        <v xml:space="preserve"> </v>
      </c>
      <c r="I8" s="96"/>
      <c r="J8" s="96" t="str">
        <f>IF(b_3=" "," ",bj_3)</f>
        <v xml:space="preserve"> </v>
      </c>
      <c r="K8" s="96"/>
      <c r="L8" s="96" t="str">
        <f>IF(b_4=" "," ",bj_4)</f>
        <v xml:space="preserve"> </v>
      </c>
      <c r="M8" s="96"/>
      <c r="N8" s="96" t="str">
        <f>IF(b_5=" "," ",bj_5)</f>
        <v xml:space="preserve"> </v>
      </c>
      <c r="O8" s="906"/>
    </row>
    <row r="9" spans="2:15" ht="20.100000000000001" customHeight="1">
      <c r="B9" s="905"/>
      <c r="C9" s="393" t="s">
        <v>179</v>
      </c>
      <c r="D9" s="121"/>
      <c r="E9" s="58"/>
      <c r="F9" s="96" t="str">
        <f>IF(b_1=" "," ",bfr_1)</f>
        <v xml:space="preserve"> </v>
      </c>
      <c r="G9" s="96"/>
      <c r="H9" s="96" t="str">
        <f>IF(b_2=" "," ",bfr_2)</f>
        <v xml:space="preserve"> </v>
      </c>
      <c r="I9" s="96"/>
      <c r="J9" s="96" t="str">
        <f>IF(b_3=" "," ",bfr_3)</f>
        <v xml:space="preserve"> </v>
      </c>
      <c r="K9" s="96"/>
      <c r="L9" s="96" t="str">
        <f>IF(b_4=" "," ",bfr_4)</f>
        <v xml:space="preserve"> </v>
      </c>
      <c r="M9" s="96"/>
      <c r="N9" s="96" t="str">
        <f>IF(b_5=" "," ",bfr_5)</f>
        <v xml:space="preserve"> </v>
      </c>
      <c r="O9" s="906"/>
    </row>
    <row r="10" spans="2:15" ht="20.100000000000001" customHeight="1">
      <c r="B10" s="905"/>
      <c r="C10" s="2507" t="s">
        <v>180</v>
      </c>
      <c r="D10" s="2197"/>
      <c r="E10" s="97"/>
      <c r="F10" s="143" t="str">
        <f>IF(b_1=" "," ",SUM(F8:F9))</f>
        <v xml:space="preserve"> </v>
      </c>
      <c r="G10" s="98"/>
      <c r="H10" s="143" t="str">
        <f>IF(b_2=" "," ",SUM(H8:H9))</f>
        <v xml:space="preserve"> </v>
      </c>
      <c r="I10" s="98"/>
      <c r="J10" s="143" t="str">
        <f>IF(b_3=" "," ",SUM(J8:J9))</f>
        <v xml:space="preserve"> </v>
      </c>
      <c r="K10" s="98"/>
      <c r="L10" s="143" t="str">
        <f>IF(b_4=" "," ",SUM(L8:L9))</f>
        <v xml:space="preserve"> </v>
      </c>
      <c r="M10" s="98"/>
      <c r="N10" s="143" t="str">
        <f>IF(b_5=" "," ",SUM(N8:N9))</f>
        <v xml:space="preserve"> </v>
      </c>
      <c r="O10" s="906"/>
    </row>
    <row r="11" spans="2:15" ht="20.100000000000001" customHeight="1">
      <c r="B11" s="905"/>
      <c r="C11" s="393" t="s">
        <v>181</v>
      </c>
      <c r="D11" s="121"/>
      <c r="E11" s="58"/>
      <c r="F11" s="96" t="str">
        <f>IF(b_1=" "," ",rp_1)</f>
        <v xml:space="preserve"> </v>
      </c>
      <c r="G11" s="96"/>
      <c r="H11" s="96" t="str">
        <f>IF(b_2=" "," ",rp_2)</f>
        <v xml:space="preserve"> </v>
      </c>
      <c r="I11" s="96"/>
      <c r="J11" s="96" t="str">
        <f>IF(b_3=" "," ",rp_3)</f>
        <v xml:space="preserve"> </v>
      </c>
      <c r="K11" s="96"/>
      <c r="L11" s="96" t="str">
        <f>IF(b_4=" "," ",rp_4)</f>
        <v xml:space="preserve"> </v>
      </c>
      <c r="M11" s="96"/>
      <c r="N11" s="96" t="str">
        <f>IF(b_5=" "," ",rp_5)</f>
        <v xml:space="preserve"> </v>
      </c>
      <c r="O11" s="906"/>
    </row>
    <row r="12" spans="2:15" ht="20.100000000000001" customHeight="1">
      <c r="B12" s="905"/>
      <c r="C12" s="393" t="s">
        <v>448</v>
      </c>
      <c r="D12" s="121"/>
      <c r="E12" s="58"/>
      <c r="F12" s="96" t="str">
        <f>IF(b_1=" "," ",emp_1-tr_1)</f>
        <v xml:space="preserve"> </v>
      </c>
      <c r="G12" s="96"/>
      <c r="H12" s="96" t="str">
        <f>IF(b_2=" "," ",emp_2-tr_2)</f>
        <v xml:space="preserve"> </v>
      </c>
      <c r="I12" s="96"/>
      <c r="J12" s="96" t="str">
        <f>IF(b_3=" "," ",emp_3-tr_3)</f>
        <v xml:space="preserve"> </v>
      </c>
      <c r="K12" s="96"/>
      <c r="L12" s="96" t="str">
        <f>IF(b_4=" "," ",emp_4-tr_4)</f>
        <v xml:space="preserve"> </v>
      </c>
      <c r="M12" s="96"/>
      <c r="N12" s="96" t="str">
        <f>IF(b_5=" "," ",emp_5-tr_5)</f>
        <v xml:space="preserve"> </v>
      </c>
      <c r="O12" s="906"/>
    </row>
    <row r="13" spans="2:15" ht="20.100000000000001" customHeight="1">
      <c r="B13" s="905"/>
      <c r="C13" s="2507" t="s">
        <v>180</v>
      </c>
      <c r="D13" s="2197"/>
      <c r="E13" s="97"/>
      <c r="F13" s="143" t="str">
        <f>IF(b_1=" "," ",SUM(F11:F12))</f>
        <v xml:space="preserve"> </v>
      </c>
      <c r="G13" s="98"/>
      <c r="H13" s="143" t="str">
        <f>IF(b_2=" "," ",SUM(H11:H12))</f>
        <v xml:space="preserve"> </v>
      </c>
      <c r="I13" s="98"/>
      <c r="J13" s="143" t="str">
        <f>IF(b_3=" "," ",SUM(J11:J12))</f>
        <v xml:space="preserve"> </v>
      </c>
      <c r="K13" s="98"/>
      <c r="L13" s="143" t="str">
        <f>IF(b_4=" "," ",SUM(L11:L12))</f>
        <v xml:space="preserve"> </v>
      </c>
      <c r="M13" s="98"/>
      <c r="N13" s="143" t="str">
        <f>IF(b_5=" "," ",SUM(N11:N12))</f>
        <v xml:space="preserve"> </v>
      </c>
      <c r="O13" s="906"/>
    </row>
    <row r="14" spans="2:15" ht="9" customHeight="1">
      <c r="B14" s="905"/>
      <c r="C14" s="95"/>
      <c r="D14" s="95"/>
      <c r="E14" s="58"/>
      <c r="F14" s="96"/>
      <c r="G14" s="96"/>
      <c r="H14" s="96"/>
      <c r="I14" s="96"/>
      <c r="J14" s="96"/>
      <c r="K14" s="96"/>
      <c r="L14" s="96"/>
      <c r="M14" s="96"/>
      <c r="N14" s="96"/>
      <c r="O14" s="906"/>
    </row>
    <row r="15" spans="2:15" ht="20.100000000000001" customHeight="1">
      <c r="B15" s="905"/>
      <c r="C15" s="2506" t="s">
        <v>292</v>
      </c>
      <c r="D15" s="2197"/>
      <c r="E15" s="99"/>
      <c r="F15" s="392" t="str">
        <f>IF(ISERROR(IF(b_1=" ","  ",F12/F11))," ",IF(b_1=" ","  ",F12/F11))</f>
        <v xml:space="preserve">  </v>
      </c>
      <c r="G15" s="96"/>
      <c r="H15" s="392" t="str">
        <f>IF(ISERROR(IF(b_2=" ","  ",H12/H11))," ",IF(b_2=" ","  ",H12/H11))</f>
        <v xml:space="preserve">  </v>
      </c>
      <c r="I15" s="96"/>
      <c r="J15" s="392" t="str">
        <f>IF(ISERROR(IF(b_3=" ","  ",J12/J11))," ",IF(b_3=" ","  ",J12/J11))</f>
        <v xml:space="preserve">  </v>
      </c>
      <c r="K15" s="96"/>
      <c r="L15" s="392" t="str">
        <f>IF(ISERROR(IF(b_4=" ","  ",L12/L11))," ",IF(b_4=" ","  ",L12/L11))</f>
        <v xml:space="preserve">  </v>
      </c>
      <c r="M15" s="96"/>
      <c r="N15" s="392" t="str">
        <f>IF(ISERROR(IF(b_5=" ","  ",N12/N11))," ",IF(b_5=" ","  ",N12/N11))</f>
        <v xml:space="preserve">  </v>
      </c>
      <c r="O15" s="906"/>
    </row>
    <row r="16" spans="2:15" ht="6" customHeight="1">
      <c r="B16" s="905"/>
      <c r="C16" s="58"/>
      <c r="D16" s="58"/>
      <c r="E16" s="58"/>
      <c r="F16" s="58"/>
      <c r="G16" s="58"/>
      <c r="H16" s="58"/>
      <c r="I16" s="58"/>
      <c r="J16" s="58"/>
      <c r="K16" s="58"/>
      <c r="L16" s="58"/>
      <c r="M16" s="58"/>
      <c r="N16" s="58"/>
      <c r="O16" s="906"/>
    </row>
    <row r="17" spans="1:15" ht="20.100000000000001" customHeight="1">
      <c r="B17" s="905"/>
      <c r="C17" s="393" t="s">
        <v>293</v>
      </c>
      <c r="D17" s="121"/>
      <c r="E17" s="58"/>
      <c r="F17" s="96" t="str">
        <f>IF(ca_1=0," ",rc_1-IAP_1-forfait_1+hj_1)</f>
        <v xml:space="preserve"> </v>
      </c>
      <c r="G17" s="96"/>
      <c r="H17" s="96" t="str">
        <f>IF(ca_2=0," ",rc_2-IAP_2-forfait_2+hj_2)</f>
        <v xml:space="preserve"> </v>
      </c>
      <c r="I17" s="96"/>
      <c r="J17" s="96" t="str">
        <f>IF(ca_3=0," ",rc_3-IAP_3-forfait_3+hj_3)</f>
        <v xml:space="preserve"> </v>
      </c>
      <c r="K17" s="96"/>
      <c r="L17" s="96" t="str">
        <f>IF(ca_4=0," ",rc_4-IAP_4-forfait_4+hj_4)</f>
        <v xml:space="preserve"> </v>
      </c>
      <c r="M17" s="96"/>
      <c r="N17" s="96" t="str">
        <f>IF(ca_5=0," ",rc_5-IAP_5-forfait_5+hj_5)</f>
        <v xml:space="preserve"> </v>
      </c>
      <c r="O17" s="906"/>
    </row>
    <row r="18" spans="1:15" ht="20.100000000000001" customHeight="1">
      <c r="B18" s="905"/>
      <c r="C18" s="393" t="s">
        <v>291</v>
      </c>
      <c r="D18" s="121"/>
      <c r="E18" s="58"/>
      <c r="F18" s="96" t="str">
        <f>IF(ca_1=0," ",I_1-icb_1)</f>
        <v xml:space="preserve"> </v>
      </c>
      <c r="G18" s="96"/>
      <c r="H18" s="96" t="str">
        <f>IF(ca_2=0," ",I_2-icb_2)</f>
        <v xml:space="preserve"> </v>
      </c>
      <c r="I18" s="96"/>
      <c r="J18" s="96" t="str">
        <f>IF(ca_3=0," ",I_3-icb_3)</f>
        <v xml:space="preserve"> </v>
      </c>
      <c r="K18" s="96"/>
      <c r="L18" s="96" t="str">
        <f>IF(ca_4=0," ",I_4-icb_4)</f>
        <v xml:space="preserve"> </v>
      </c>
      <c r="M18" s="96"/>
      <c r="N18" s="96" t="str">
        <f>IF(ca_5=0," ",I_5-icb_5)</f>
        <v xml:space="preserve"> </v>
      </c>
      <c r="O18" s="906"/>
    </row>
    <row r="19" spans="1:15" ht="20.100000000000001" customHeight="1">
      <c r="B19" s="905"/>
      <c r="C19" s="393" t="s">
        <v>288</v>
      </c>
      <c r="D19" s="121"/>
      <c r="E19" s="58"/>
      <c r="F19" s="96" t="str">
        <f>IF(ca_1=0," ",F17+F18)</f>
        <v xml:space="preserve"> </v>
      </c>
      <c r="G19" s="96"/>
      <c r="H19" s="96" t="str">
        <f>IF(ca_2=0," ",H17+H18)</f>
        <v xml:space="preserve"> </v>
      </c>
      <c r="I19" s="96"/>
      <c r="J19" s="96" t="str">
        <f>IF(ca_3=0," ",J17+J18)</f>
        <v xml:space="preserve"> </v>
      </c>
      <c r="K19" s="96"/>
      <c r="L19" s="96" t="str">
        <f>IF(ca_4=0," ",L17+L18)</f>
        <v xml:space="preserve"> </v>
      </c>
      <c r="M19" s="96"/>
      <c r="N19" s="96" t="str">
        <f>IF(ca_5=0," ",N17+N18)</f>
        <v xml:space="preserve"> </v>
      </c>
      <c r="O19" s="906"/>
    </row>
    <row r="20" spans="1:15" ht="20.100000000000001" customHeight="1">
      <c r="A20" s="2581">
        <f>IF(ISBLANK(taux_IS_théorique),1,0)</f>
        <v>1</v>
      </c>
      <c r="B20" s="905"/>
      <c r="C20" s="185" t="s">
        <v>182</v>
      </c>
      <c r="D20" s="1250"/>
      <c r="E20" s="58"/>
      <c r="F20" s="100" t="str">
        <f>IF(b_1=" "," ",IF(hk_1&lt;0,0,MIN(taux_IS_théorique,hk_1/(hk_1+r_1))))</f>
        <v xml:space="preserve"> </v>
      </c>
      <c r="G20" s="101"/>
      <c r="H20" s="100" t="str">
        <f>IF(b_2=" "," ",IF(hk_2&lt;0,0,MIN(taux_IS_théorique,hk_2/(hk_2+r_2))))</f>
        <v xml:space="preserve"> </v>
      </c>
      <c r="I20" s="101"/>
      <c r="J20" s="100" t="str">
        <f>IF(b_3=" "," ",IF(hk_3&lt;0,0,MIN(taux_IS_théorique,hk_3/(hk_3+r_3))))</f>
        <v xml:space="preserve"> </v>
      </c>
      <c r="K20" s="101"/>
      <c r="L20" s="100" t="str">
        <f>IF(b_4=" "," ",IF(hk_4&lt;0,0,MIN(taux_IS_théorique,hk_4/(hk_4+r_4))))</f>
        <v xml:space="preserve"> </v>
      </c>
      <c r="M20" s="101"/>
      <c r="N20" s="100" t="str">
        <f>IF(b_5=" "," ",IF(hk_5&lt;0,0,MIN(taux_IS_théorique,hk_5/(hk_5+r_5))))</f>
        <v xml:space="preserve"> </v>
      </c>
      <c r="O20" s="906"/>
    </row>
    <row r="21" spans="1:15" ht="20.100000000000001" customHeight="1">
      <c r="B21" s="905"/>
      <c r="C21" s="393" t="s">
        <v>289</v>
      </c>
      <c r="D21" s="121"/>
      <c r="E21" s="58"/>
      <c r="F21" s="96" t="str">
        <f>IF(F20=" "," ",IF(F19&lt;0,F19,F19*(1-F20)))</f>
        <v xml:space="preserve"> </v>
      </c>
      <c r="G21" s="101"/>
      <c r="H21" s="96" t="str">
        <f>IF(H20=" "," ",IF(H19&lt;0,H19,H19*(1-H20)))</f>
        <v xml:space="preserve"> </v>
      </c>
      <c r="I21" s="101"/>
      <c r="J21" s="96" t="str">
        <f>IF(J20=" "," ",IF(J19&lt;0,J19,J19*(1-J20)))</f>
        <v xml:space="preserve"> </v>
      </c>
      <c r="K21" s="101"/>
      <c r="L21" s="96" t="str">
        <f>IF(L20=" "," ",IF(L19&lt;0,L19,L19*(1-L20)))</f>
        <v xml:space="preserve"> </v>
      </c>
      <c r="M21" s="101"/>
      <c r="N21" s="96" t="str">
        <f>IF(N20=" "," ",IF(N19&lt;0,N19,N19*(1-N20)))</f>
        <v xml:space="preserve"> </v>
      </c>
      <c r="O21" s="906"/>
    </row>
    <row r="22" spans="1:15" ht="20.100000000000001" customHeight="1">
      <c r="B22" s="905"/>
      <c r="C22" s="2496" t="s">
        <v>183</v>
      </c>
      <c r="D22" s="2497"/>
      <c r="E22" s="102"/>
      <c r="F22" s="899" t="str">
        <f>IF(ISERROR(IF(F21=" "," ",F21/F10))," ",IF(F21=" "," ",F21/F10))</f>
        <v xml:space="preserve"> </v>
      </c>
      <c r="G22" s="103"/>
      <c r="H22" s="899" t="str">
        <f>IF(ISERROR(IF(H21=" "," ",H21/H10))," ",IF(H21=" "," ",H21/H10))</f>
        <v xml:space="preserve"> </v>
      </c>
      <c r="I22" s="104"/>
      <c r="J22" s="899" t="str">
        <f>IF(ISERROR(IF(J21=" "," ",J21/J10))," ",IF(J21=" "," ",J21/J10))</f>
        <v xml:space="preserve"> </v>
      </c>
      <c r="K22" s="104"/>
      <c r="L22" s="899" t="str">
        <f>IF(ISERROR(IF(L21=" "," ",L21/L10))," ",IF(L21=" "," ",L21/L10))</f>
        <v xml:space="preserve"> </v>
      </c>
      <c r="M22" s="104"/>
      <c r="N22" s="899" t="str">
        <f>IF(ISERROR(IF(N21=" "," ",N21/N10))," ",IF(N21=" "," ",N21/N10))</f>
        <v xml:space="preserve"> </v>
      </c>
      <c r="O22" s="906"/>
    </row>
    <row r="23" spans="1:15" ht="6" customHeight="1">
      <c r="B23" s="905"/>
      <c r="C23" s="105"/>
      <c r="D23" s="105"/>
      <c r="E23" s="58"/>
      <c r="F23" s="96"/>
      <c r="G23" s="96"/>
      <c r="H23" s="96"/>
      <c r="I23" s="96"/>
      <c r="J23" s="96"/>
      <c r="K23" s="96"/>
      <c r="L23" s="96"/>
      <c r="M23" s="96"/>
      <c r="N23" s="96"/>
      <c r="O23" s="906"/>
    </row>
    <row r="24" spans="1:15" ht="20.100000000000001" customHeight="1">
      <c r="B24" s="905"/>
      <c r="C24" s="2504" t="s">
        <v>290</v>
      </c>
      <c r="D24" s="2505"/>
      <c r="E24" s="106"/>
      <c r="F24" s="900" t="str">
        <f>IF(ISERROR(IF(b_1=" ","  ",IF(F19&lt;0,F18/F12,(F18/F12)*(1-F20))))," ",IF(b_1=" ","  ",IF(F19&lt;0,F18/F12,(F18/F12)*(1-F20))))</f>
        <v xml:space="preserve">  </v>
      </c>
      <c r="G24" s="96"/>
      <c r="H24" s="900" t="str">
        <f>IF(ISERROR(IF(b_2=" ","  ",IF(H19&lt;0,H18/H12,(H18/H12)*(1-H20))))," ",IF(b_2=" ","  ",IF(H19&lt;0,H18/H12,(H18/H12)*(1-H20))))</f>
        <v xml:space="preserve">  </v>
      </c>
      <c r="I24" s="96"/>
      <c r="J24" s="900" t="str">
        <f>IF(ISERROR(IF(b_3=" ","  ",IF(J19&lt;0,J18/J12,(J18/J12)*(1-J20))))," ",IF(b_3=" ","  ",IF(J19&lt;0,J18/J12,(J18/J12)*(1-J20))))</f>
        <v xml:space="preserve">  </v>
      </c>
      <c r="K24" s="96"/>
      <c r="L24" s="900" t="str">
        <f>IF(ISERROR(IF(b_4=" ","  ",IF(L19&lt;0,L18/L12,(L18/L12)*(1-L20))))," ",IF(b_4=" ","  ",IF(L19&lt;0,L18/L12,(L18/L12)*(1-L20))))</f>
        <v xml:space="preserve">  </v>
      </c>
      <c r="M24" s="96"/>
      <c r="N24" s="900" t="str">
        <f>IF(ISERROR(IF(b_5=" ","  ",IF(N19&lt;0,N18/N12,(N18/N12)*(1-N20))))," ",IF(b_5=" ","  ",IF(N19&lt;0,N18/N12,(N18/N12)*(1-N20))))</f>
        <v xml:space="preserve">  </v>
      </c>
      <c r="O24" s="906"/>
    </row>
    <row r="25" spans="1:15" ht="6" customHeight="1">
      <c r="B25" s="905"/>
      <c r="C25" s="105"/>
      <c r="D25" s="105"/>
      <c r="E25" s="58"/>
      <c r="F25" s="96"/>
      <c r="G25" s="96"/>
      <c r="H25" s="96"/>
      <c r="I25" s="96"/>
      <c r="J25" s="96"/>
      <c r="K25" s="96"/>
      <c r="L25" s="96"/>
      <c r="M25" s="96"/>
      <c r="N25" s="96"/>
      <c r="O25" s="906"/>
    </row>
    <row r="26" spans="1:15" ht="20.100000000000001" customHeight="1">
      <c r="B26" s="905"/>
      <c r="C26" s="2502" t="s">
        <v>184</v>
      </c>
      <c r="D26" s="2197"/>
      <c r="E26" s="58"/>
      <c r="F26" s="144" t="str">
        <f>IF(ISERROR(IF(b_1=" "," ",(((F19/F13)-(F18/F12))*F15)*(1-F20)))," ",IF(b_1=" "," ",(((F19/F13)-(F18/F12))*F15)*(1-F20)))</f>
        <v xml:space="preserve"> </v>
      </c>
      <c r="G26" s="96"/>
      <c r="H26" s="144" t="str">
        <f>IF(ISERROR(IF(b_2=" "," ",(((H19/H13)-(H18/H12))*H15)*(1-H20)))," ",IF(b_2=" "," ",(((H19/H13)-(H18/H12))*H15)*(1-H20)))</f>
        <v xml:space="preserve"> </v>
      </c>
      <c r="I26" s="107"/>
      <c r="J26" s="144" t="str">
        <f>IF(ISERROR(IF(b_3=" "," ",(((J19/J13)-(J18/J12))*J15)*(1-J20)))," ",IF(b_3=" "," ",(((J19/J13)-(J18/J12))*J15)*(1-J20)))</f>
        <v xml:space="preserve"> </v>
      </c>
      <c r="K26" s="107"/>
      <c r="L26" s="144" t="str">
        <f>IF(ISERROR(IF(b_4=" "," ",(((L19/L13)-(L18/L12))*L15)*(1-L20)))," ",IF(b_4=" "," ",(((L19/L13)-(L18/L12))*L15)*(1-L20)))</f>
        <v xml:space="preserve"> </v>
      </c>
      <c r="M26" s="107"/>
      <c r="N26" s="144" t="str">
        <f>IF(ISERROR(IF(b_5=" "," ",(((N19/N13)-(N18/N12))*N15)*(1-N20)))," ",IF(b_5=" "," ",(((N19/N13)-(N18/N12))*N15)*(1-N20)))</f>
        <v xml:space="preserve"> </v>
      </c>
      <c r="O26" s="906"/>
    </row>
    <row r="27" spans="1:15" ht="6" customHeight="1">
      <c r="B27" s="905"/>
      <c r="C27" s="58"/>
      <c r="D27" s="58"/>
      <c r="E27" s="58"/>
      <c r="F27" s="58"/>
      <c r="G27" s="58"/>
      <c r="H27" s="58"/>
      <c r="I27" s="58"/>
      <c r="J27" s="58"/>
      <c r="K27" s="58"/>
      <c r="L27" s="58"/>
      <c r="M27" s="58"/>
      <c r="N27" s="58"/>
      <c r="O27" s="906"/>
    </row>
    <row r="28" spans="1:15" ht="20.100000000000001" customHeight="1">
      <c r="B28" s="905"/>
      <c r="C28" s="2503" t="s">
        <v>185</v>
      </c>
      <c r="D28" s="2197"/>
      <c r="E28" s="58"/>
      <c r="F28" s="120" t="str">
        <f>IF(ISERROR(F22+F26)," ",F22+F26)</f>
        <v xml:space="preserve"> </v>
      </c>
      <c r="G28" s="96"/>
      <c r="H28" s="120" t="str">
        <f>IF(ISERROR(H22+H26)," ",H22+H26)</f>
        <v xml:space="preserve"> </v>
      </c>
      <c r="I28" s="107"/>
      <c r="J28" s="120" t="str">
        <f>IF(ISERROR(J22+J26)," ",J22+J26)</f>
        <v xml:space="preserve"> </v>
      </c>
      <c r="K28" s="107"/>
      <c r="L28" s="120" t="str">
        <f>IF(ISERROR(L22+L26)," ",L22+L26)</f>
        <v xml:space="preserve"> </v>
      </c>
      <c r="M28" s="107"/>
      <c r="N28" s="120" t="str">
        <f>IF(ISERROR(N22+N26)," ",N22+N26)</f>
        <v xml:space="preserve"> </v>
      </c>
      <c r="O28" s="906"/>
    </row>
    <row r="29" spans="1:15" ht="6" customHeight="1">
      <c r="B29" s="905"/>
      <c r="C29" s="58"/>
      <c r="D29" s="58"/>
      <c r="E29" s="58"/>
      <c r="F29" s="58"/>
      <c r="G29" s="58"/>
      <c r="H29" s="58"/>
      <c r="I29" s="58"/>
      <c r="J29" s="58"/>
      <c r="K29" s="58"/>
      <c r="L29" s="58"/>
      <c r="M29" s="58"/>
      <c r="N29" s="58"/>
      <c r="O29" s="906"/>
    </row>
    <row r="30" spans="1:15" ht="20.100000000000001" customHeight="1">
      <c r="B30" s="905"/>
      <c r="C30" s="108" t="s">
        <v>295</v>
      </c>
      <c r="D30" s="108"/>
      <c r="E30" s="58"/>
      <c r="F30" s="109" t="str">
        <f>IF(b_1=" "," ",r_1/rp_1)</f>
        <v xml:space="preserve"> </v>
      </c>
      <c r="G30" s="58"/>
      <c r="H30" s="109" t="str">
        <f>IF(b_2=" "," ",r_2/rp_2)</f>
        <v xml:space="preserve"> </v>
      </c>
      <c r="I30" s="58"/>
      <c r="J30" s="109" t="str">
        <f>IF(b_3=" "," ",r_3/rp_3)</f>
        <v xml:space="preserve"> </v>
      </c>
      <c r="K30" s="58"/>
      <c r="L30" s="109" t="str">
        <f>IF(b_4=" "," ",r_4/rp_4)</f>
        <v xml:space="preserve"> </v>
      </c>
      <c r="M30" s="58"/>
      <c r="N30" s="109" t="str">
        <f>IF(b_5=" "," ",r_5/rp_5)</f>
        <v xml:space="preserve"> </v>
      </c>
      <c r="O30" s="906"/>
    </row>
    <row r="31" spans="1:15" ht="9" customHeight="1">
      <c r="B31" s="905"/>
      <c r="C31" s="58"/>
      <c r="D31" s="58"/>
      <c r="E31" s="58"/>
      <c r="F31" s="58"/>
      <c r="G31" s="58"/>
      <c r="H31" s="58"/>
      <c r="I31" s="58"/>
      <c r="J31" s="58"/>
      <c r="K31" s="58"/>
      <c r="L31" s="58"/>
      <c r="M31" s="58"/>
      <c r="N31" s="58"/>
      <c r="O31" s="906"/>
    </row>
    <row r="32" spans="1:15" ht="20.100000000000001" customHeight="1">
      <c r="B32" s="905"/>
      <c r="C32" s="2498" t="s">
        <v>296</v>
      </c>
      <c r="D32" s="2498"/>
      <c r="E32" s="2498"/>
      <c r="F32" s="2498"/>
      <c r="G32" s="2498"/>
      <c r="H32" s="2498"/>
      <c r="I32" s="2498"/>
      <c r="J32" s="2498"/>
      <c r="K32" s="2498"/>
      <c r="L32" s="2498"/>
      <c r="M32" s="2498"/>
      <c r="N32" s="2498"/>
      <c r="O32" s="906"/>
    </row>
    <row r="33" spans="2:15" ht="20.100000000000001" customHeight="1">
      <c r="B33" s="905"/>
      <c r="C33" s="393" t="s">
        <v>294</v>
      </c>
      <c r="D33" s="121"/>
      <c r="E33" s="58"/>
      <c r="F33" s="96" t="str">
        <f>IF(ca_1=0," ",IF(hk_1&gt;=0,hi_1-hj_1,hi_1-hj_1-hk_1))</f>
        <v xml:space="preserve"> </v>
      </c>
      <c r="G33" s="96"/>
      <c r="H33" s="96" t="str">
        <f>IF(ca_2=0," ",IF(hk_2&gt;=0,hi_2-hj_2,hi_2-hj_2-hk_2))</f>
        <v xml:space="preserve"> </v>
      </c>
      <c r="I33" s="96"/>
      <c r="J33" s="96" t="str">
        <f>IF(ca_3=0," ",IF(hk_3&gt;=0,hi_3-hj_3,hi_3-hj_3-hk_3))</f>
        <v xml:space="preserve"> </v>
      </c>
      <c r="K33" s="96"/>
      <c r="L33" s="96" t="str">
        <f>IF(ca_4=0," ",IF(hk_4&gt;=0,hi_4-hj_4,hi_4-hj_4-hk_4))</f>
        <v xml:space="preserve"> </v>
      </c>
      <c r="M33" s="96"/>
      <c r="N33" s="96" t="str">
        <f>IF(ca_5=0," ",IF(hk_5&gt;=0,hi_5-hj_5,hi_5-hj_5-hk_5))</f>
        <v xml:space="preserve"> </v>
      </c>
      <c r="O33" s="906"/>
    </row>
    <row r="34" spans="2:15" ht="3" customHeight="1">
      <c r="B34" s="905"/>
      <c r="C34" s="58"/>
      <c r="D34" s="58"/>
      <c r="E34" s="58"/>
      <c r="F34" s="287" t="str">
        <f>IF(F20=" "," ",IF((F19+F33)&lt;0,F19+F33,(F19+F33)*(1-F20)))</f>
        <v xml:space="preserve"> </v>
      </c>
      <c r="G34" s="295"/>
      <c r="H34" s="287" t="str">
        <f>IF(H20=" "," ",IF((H19+H33)&lt;0,H19+H33,(H19+H33)*(1-H20)))</f>
        <v xml:space="preserve"> </v>
      </c>
      <c r="I34" s="295"/>
      <c r="J34" s="287" t="str">
        <f>IF(J20=" "," ",IF((J19+J33)&lt;0,J19+J33,(J19+J33)*(1-J20)))</f>
        <v xml:space="preserve"> </v>
      </c>
      <c r="K34" s="295"/>
      <c r="L34" s="287" t="str">
        <f>IF(L20=" "," ",IF((L19+L33)&lt;0,L19+L33,(L19+L33)*(1-L20)))</f>
        <v xml:space="preserve"> </v>
      </c>
      <c r="M34" s="295"/>
      <c r="N34" s="287" t="str">
        <f>IF(N20=" "," ",IF((N19+N33)&lt;0,N19+N33,(N19+N33)*(1-N20)))</f>
        <v xml:space="preserve"> </v>
      </c>
      <c r="O34" s="906"/>
    </row>
    <row r="35" spans="2:15" ht="20.100000000000001" customHeight="1">
      <c r="B35" s="905"/>
      <c r="C35" s="2496" t="s">
        <v>183</v>
      </c>
      <c r="D35" s="2497"/>
      <c r="E35" s="102"/>
      <c r="F35" s="899" t="str">
        <f>IF(ISERROR(IF(F34=" "," ",F34/F10))," ",IF(F34=" "," ",F34/F10))</f>
        <v xml:space="preserve"> </v>
      </c>
      <c r="G35" s="103"/>
      <c r="H35" s="899" t="str">
        <f>IF(ISERROR(IF(H34=" "," ",H34/H10))," ",IF(H34=" "," ",H34/H10))</f>
        <v xml:space="preserve"> </v>
      </c>
      <c r="I35" s="104"/>
      <c r="J35" s="899" t="str">
        <f>IF(ISERROR(IF(J34=" "," ",J34/J10))," ",IF(J34=" "," ",J34/J10))</f>
        <v xml:space="preserve"> </v>
      </c>
      <c r="K35" s="104"/>
      <c r="L35" s="899" t="str">
        <f>IF(ISERROR(IF(L34=" "," ",L34/L10))," ",IF(L34=" "," ",L34/L10))</f>
        <v xml:space="preserve"> </v>
      </c>
      <c r="M35" s="104"/>
      <c r="N35" s="899" t="str">
        <f>IF(ISERROR(IF(N34=" "," ",N34/N10))," ",IF(N34=" "," ",N34/N10))</f>
        <v xml:space="preserve"> </v>
      </c>
      <c r="O35" s="906"/>
    </row>
    <row r="36" spans="2:15" ht="6" customHeight="1">
      <c r="B36" s="905"/>
      <c r="C36" s="58"/>
      <c r="D36" s="58"/>
      <c r="E36" s="58"/>
      <c r="F36" s="110"/>
      <c r="G36" s="101"/>
      <c r="H36" s="110"/>
      <c r="I36" s="101"/>
      <c r="J36" s="110"/>
      <c r="K36" s="101"/>
      <c r="L36" s="110"/>
      <c r="M36" s="101"/>
      <c r="N36" s="110"/>
      <c r="O36" s="906"/>
    </row>
    <row r="37" spans="2:15" ht="20.100000000000001" customHeight="1">
      <c r="B37" s="905"/>
      <c r="C37" s="533" t="s">
        <v>184</v>
      </c>
      <c r="D37" s="533"/>
      <c r="E37" s="58"/>
      <c r="F37" s="144" t="str">
        <f>IF(ISERROR(IF(b_1=" "," ",((((F19+F33)/F13)-(F18/F12))*F15)*(1-F20)))," ",IF(b_1=" "," ",((((F19+F33)/F13)-(F18/F12))*F15)*(1-F20)))</f>
        <v xml:space="preserve"> </v>
      </c>
      <c r="G37" s="96"/>
      <c r="H37" s="144" t="str">
        <f>IF(ISERROR(IF(b_2=" "," ",((((H19+H33)/H13)-(H18/H12))*H15)*(1-H20)))," ",IF(b_2=" "," ",((((H19+H33)/H13)-(H18/H12))*H15)*(1-H20)))</f>
        <v xml:space="preserve"> </v>
      </c>
      <c r="I37" s="107"/>
      <c r="J37" s="144" t="str">
        <f>IF(ISERROR(IF(b_3=" "," ",((((J19+J33)/J13)-(J18/J12))*J15)*(1-J20)))," ",IF(b_3=" "," ",((((J19+J33)/J13)-(J18/J12))*J15)*(1-J20)))</f>
        <v xml:space="preserve"> </v>
      </c>
      <c r="K37" s="107"/>
      <c r="L37" s="144" t="str">
        <f>IF(ISERROR(IF(b_4=" "," ",((((L19+L33)/L13)-(L18/L12))*L15)*(1-L20)))," ",IF(b_4=" "," ",((((L19+L33)/L13)-(L18/L12))*L15)*(1-L20)))</f>
        <v xml:space="preserve"> </v>
      </c>
      <c r="M37" s="107"/>
      <c r="N37" s="144" t="str">
        <f>IF(ISERROR(IF(b_5=" "," ",((((N19+N33)/N13)-(N18/N12))*N15)*(1-N20)))," ",IF(b_5=" "," ",((((N19+N33)/N13)-(N18/N12))*N15)*(1-N20)))</f>
        <v xml:space="preserve"> </v>
      </c>
      <c r="O37" s="906"/>
    </row>
    <row r="38" spans="2:15" ht="6" customHeight="1">
      <c r="B38" s="905"/>
      <c r="C38" s="58"/>
      <c r="D38" s="58"/>
      <c r="E38" s="58"/>
      <c r="F38" s="58"/>
      <c r="G38" s="58"/>
      <c r="H38" s="58"/>
      <c r="I38" s="58"/>
      <c r="J38" s="58"/>
      <c r="K38" s="58"/>
      <c r="L38" s="58"/>
      <c r="M38" s="58"/>
      <c r="N38" s="58"/>
      <c r="O38" s="906"/>
    </row>
    <row r="39" spans="2:15" ht="20.100000000000001" customHeight="1">
      <c r="B39" s="905"/>
      <c r="C39" s="534" t="s">
        <v>185</v>
      </c>
      <c r="D39" s="534"/>
      <c r="E39" s="58"/>
      <c r="F39" s="120" t="str">
        <f>IF(ISERROR(F35+F37)," ",F35+F37)</f>
        <v xml:space="preserve"> </v>
      </c>
      <c r="G39" s="96"/>
      <c r="H39" s="120" t="str">
        <f>IF(ISERROR(H35+H37)," ",H35+H37)</f>
        <v xml:space="preserve"> </v>
      </c>
      <c r="I39" s="107"/>
      <c r="J39" s="120" t="str">
        <f>IF(ISERROR(J35+J37)," ",J35+J37)</f>
        <v xml:space="preserve"> </v>
      </c>
      <c r="K39" s="107"/>
      <c r="L39" s="120" t="str">
        <f>IF(ISERROR(L35+L37)," ",L35+L37)</f>
        <v xml:space="preserve"> </v>
      </c>
      <c r="M39" s="107"/>
      <c r="N39" s="120" t="str">
        <f>IF(ISERROR(N35+N37)," ",N35+N37)</f>
        <v xml:space="preserve"> </v>
      </c>
      <c r="O39" s="906"/>
    </row>
    <row r="40" spans="2:15" ht="15" customHeight="1">
      <c r="B40" s="909"/>
      <c r="C40" s="910"/>
      <c r="D40" s="910"/>
      <c r="E40" s="910"/>
      <c r="F40" s="910"/>
      <c r="G40" s="910"/>
      <c r="H40" s="910"/>
      <c r="I40" s="910"/>
      <c r="J40" s="910"/>
      <c r="K40" s="910"/>
      <c r="L40" s="910"/>
      <c r="M40" s="910"/>
      <c r="N40" s="910"/>
      <c r="O40" s="911"/>
    </row>
    <row r="42" spans="2:15">
      <c r="F42" s="115"/>
      <c r="G42" s="115"/>
      <c r="H42" s="115"/>
      <c r="J42" s="115"/>
      <c r="L42" s="115"/>
      <c r="N42" s="115"/>
    </row>
  </sheetData>
  <sheetProtection algorithmName="SHA-512" hashValue="I8DqJGLhzsp/M+w/xrpadRuqJP/zhEZ0ye6qeLSdmnxAiar1VtwErG65qLLnlorCY3rmDrV8t95Su0dnKvYRGA==" saltValue="qUkczbHyc8M/FZl1eXkM+Q==" spinCount="100000" sheet="1" objects="1" scenarios="1" formatCells="0" formatColumns="0" formatRows="0" insertColumns="0" insertRows="0" insertHyperlinks="0" deleteColumns="0" deleteRows="0" sort="0" autoFilter="0" pivotTables="0"/>
  <mergeCells count="10">
    <mergeCell ref="C35:D35"/>
    <mergeCell ref="C32:N32"/>
    <mergeCell ref="C3:D4"/>
    <mergeCell ref="C22:D22"/>
    <mergeCell ref="C26:D26"/>
    <mergeCell ref="C28:D28"/>
    <mergeCell ref="C24:D24"/>
    <mergeCell ref="C15:D15"/>
    <mergeCell ref="C13:D13"/>
    <mergeCell ref="C10:D10"/>
  </mergeCells>
  <phoneticPr fontId="0" type="noConversion"/>
  <conditionalFormatting sqref="N33 L33 J33 F33 H33 N21 L19 J19 H19 F19 J21 H21 L21 F21 N19 F17 L17 N17 H17 J17">
    <cfRule type="cellIs" dxfId="2" priority="3" stopIfTrue="1" operator="lessThan">
      <formula>0</formula>
    </cfRule>
  </conditionalFormatting>
  <conditionalFormatting sqref="F6:F7 H6:H7 J6:J7 L6:L7 N6:N7">
    <cfRule type="cellIs" dxfId="1" priority="2" operator="equal">
      <formula>0</formula>
    </cfRule>
  </conditionalFormatting>
  <conditionalFormatting sqref="D20">
    <cfRule type="expression" dxfId="0" priority="1">
      <formula>$A$20=1</formula>
    </cfRule>
  </conditionalFormatting>
  <printOptions horizontalCentered="1"/>
  <pageMargins left="0.78740157480314965" right="0.78740157480314965" top="0.98425196850393704" bottom="0.98425196850393704" header="0.51181102362204722" footer="0.51181102362204722"/>
  <pageSetup paperSize="9" scale="74" orientation="portrait" horizontalDpi="200" verticalDpi="2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pageSetUpPr fitToPage="1"/>
  </sheetPr>
  <dimension ref="B1:Z24"/>
  <sheetViews>
    <sheetView showGridLines="0" showRowColHeaders="0" workbookViewId="0">
      <pane xSplit="6" ySplit="5" topLeftCell="G6" activePane="bottomRight" state="frozenSplit"/>
      <selection pane="topRight" activeCell="G1" sqref="G1"/>
      <selection pane="bottomLeft" activeCell="A6" sqref="A6"/>
      <selection pane="bottomRight" activeCell="J10" sqref="J10"/>
    </sheetView>
  </sheetViews>
  <sheetFormatPr baseColWidth="10" defaultColWidth="12" defaultRowHeight="13.8"/>
  <cols>
    <col min="1" max="1" width="1.77734375" style="1" customWidth="1"/>
    <col min="2" max="2" width="48.77734375" style="1" customWidth="1"/>
    <col min="3" max="3" width="1" style="1" customWidth="1"/>
    <col min="4" max="4" width="12" style="1"/>
    <col min="5" max="6" width="11.77734375" style="1" customWidth="1"/>
    <col min="7" max="7" width="1" style="1" customWidth="1"/>
    <col min="8" max="10" width="8.77734375" style="1" customWidth="1"/>
    <col min="11" max="11" width="1" style="1" customWidth="1"/>
    <col min="12" max="14" width="8.77734375" style="1" customWidth="1"/>
    <col min="15" max="15" width="1" style="1" customWidth="1"/>
    <col min="16" max="18" width="8.77734375" style="1" customWidth="1"/>
    <col min="19" max="19" width="1" style="1" customWidth="1"/>
    <col min="20" max="22" width="8.77734375" style="1" customWidth="1"/>
    <col min="23" max="23" width="1" style="1" customWidth="1"/>
    <col min="24" max="26" width="8.77734375" style="1" customWidth="1"/>
    <col min="27" max="27" width="1" style="1" customWidth="1"/>
    <col min="28" max="16384" width="12" style="1"/>
  </cols>
  <sheetData>
    <row r="1" spans="2:26" ht="6" customHeight="1"/>
    <row r="2" spans="2:26" ht="20.100000000000001" customHeight="1">
      <c r="B2" s="2143" t="str">
        <f>IF(ISBLANK(societe)," ",societe)</f>
        <v xml:space="preserve"> </v>
      </c>
      <c r="C2" s="2494"/>
      <c r="D2" s="2494"/>
      <c r="E2" s="2495"/>
      <c r="H2" s="2516" t="str">
        <f>IF(ISBLANK(d_4)," ",d_4)</f>
        <v xml:space="preserve"> </v>
      </c>
      <c r="I2" s="2517"/>
      <c r="J2" s="2518"/>
      <c r="L2" s="2516" t="str">
        <f>IF(ISBLANK(d_3)," ",d_3)</f>
        <v xml:space="preserve"> </v>
      </c>
      <c r="M2" s="2517"/>
      <c r="N2" s="2518"/>
      <c r="P2" s="2516" t="str">
        <f>IF(ISBLANK(d_2)," ",d_2)</f>
        <v xml:space="preserve"> </v>
      </c>
      <c r="Q2" s="2517"/>
      <c r="R2" s="2518"/>
      <c r="T2" s="2516" t="str">
        <f>IF(ISBLANK(d_1)," ",d_1)</f>
        <v xml:space="preserve"> </v>
      </c>
      <c r="U2" s="2517"/>
      <c r="V2" s="2518"/>
      <c r="X2" s="2516" t="str">
        <f>IF(ISBLANK(d)," ",d)</f>
        <v xml:space="preserve"> </v>
      </c>
      <c r="Y2" s="2517"/>
      <c r="Z2" s="2518"/>
    </row>
    <row r="3" spans="2:26" ht="20.100000000000001" customHeight="1">
      <c r="B3" s="134" t="s">
        <v>401</v>
      </c>
      <c r="H3" s="2519" t="str">
        <f>IF(du_1=0," ",du_1)</f>
        <v xml:space="preserve"> </v>
      </c>
      <c r="I3" s="2520"/>
      <c r="J3" s="2521"/>
      <c r="L3" s="2519" t="str">
        <f>IF(du_2=0," ",du_2)</f>
        <v xml:space="preserve"> </v>
      </c>
      <c r="M3" s="2520"/>
      <c r="N3" s="2521"/>
      <c r="P3" s="2519" t="str">
        <f>IF(du_3=0," ",du_3)</f>
        <v xml:space="preserve"> </v>
      </c>
      <c r="Q3" s="2520"/>
      <c r="R3" s="2521"/>
      <c r="T3" s="2519" t="str">
        <f>IF(du_4=0," ",du_4)</f>
        <v xml:space="preserve"> </v>
      </c>
      <c r="U3" s="2520"/>
      <c r="V3" s="2521"/>
      <c r="X3" s="2519" t="str">
        <f>IF(du_5=0," ",du_5)</f>
        <v xml:space="preserve"> </v>
      </c>
      <c r="Y3" s="2520"/>
      <c r="Z3" s="2521"/>
    </row>
    <row r="4" spans="2:26" s="261" customFormat="1" ht="20.100000000000001" customHeight="1">
      <c r="B4" s="2528" t="s">
        <v>326</v>
      </c>
      <c r="D4" s="2532" t="s">
        <v>340</v>
      </c>
      <c r="E4" s="2530" t="s">
        <v>334</v>
      </c>
      <c r="F4" s="2531"/>
      <c r="G4" s="260"/>
      <c r="H4" s="2522" t="s">
        <v>327</v>
      </c>
      <c r="I4" s="2524" t="s">
        <v>328</v>
      </c>
      <c r="J4" s="2526" t="s">
        <v>333</v>
      </c>
      <c r="L4" s="2522" t="s">
        <v>327</v>
      </c>
      <c r="M4" s="2524" t="s">
        <v>328</v>
      </c>
      <c r="N4" s="2526" t="s">
        <v>333</v>
      </c>
      <c r="P4" s="2522" t="s">
        <v>327</v>
      </c>
      <c r="Q4" s="2524" t="s">
        <v>328</v>
      </c>
      <c r="R4" s="2526" t="s">
        <v>333</v>
      </c>
      <c r="T4" s="2522" t="s">
        <v>327</v>
      </c>
      <c r="U4" s="2524" t="s">
        <v>328</v>
      </c>
      <c r="V4" s="2526" t="s">
        <v>333</v>
      </c>
      <c r="X4" s="2522" t="s">
        <v>327</v>
      </c>
      <c r="Y4" s="2524" t="s">
        <v>328</v>
      </c>
      <c r="Z4" s="2526" t="s">
        <v>333</v>
      </c>
    </row>
    <row r="5" spans="2:26" s="261" customFormat="1" ht="20.100000000000001" customHeight="1">
      <c r="B5" s="2529"/>
      <c r="D5" s="2523"/>
      <c r="E5" s="931" t="s">
        <v>335</v>
      </c>
      <c r="F5" s="927" t="s">
        <v>336</v>
      </c>
      <c r="G5" s="260"/>
      <c r="H5" s="2523"/>
      <c r="I5" s="2525"/>
      <c r="J5" s="2527"/>
      <c r="L5" s="2523"/>
      <c r="M5" s="2525"/>
      <c r="N5" s="2527"/>
      <c r="P5" s="2523"/>
      <c r="Q5" s="2525"/>
      <c r="R5" s="2527"/>
      <c r="T5" s="2523"/>
      <c r="U5" s="2525"/>
      <c r="V5" s="2527"/>
      <c r="X5" s="2523"/>
      <c r="Y5" s="2525"/>
      <c r="Z5" s="2527"/>
    </row>
    <row r="6" spans="2:26" s="2" customFormat="1" ht="20.100000000000001" customHeight="1">
      <c r="B6" s="920" t="s">
        <v>337</v>
      </c>
      <c r="C6" s="114"/>
      <c r="D6" s="924">
        <v>0.56999999999999995</v>
      </c>
      <c r="E6" s="932"/>
      <c r="F6" s="928"/>
      <c r="G6" s="3"/>
      <c r="H6" s="921"/>
      <c r="I6" s="922"/>
      <c r="J6" s="923" t="str">
        <f>IF(b_1=" "," ",$D$6)</f>
        <v xml:space="preserve"> </v>
      </c>
      <c r="L6" s="921"/>
      <c r="M6" s="922"/>
      <c r="N6" s="923" t="str">
        <f>IF(b_2=" "," ",$D$6)</f>
        <v xml:space="preserve"> </v>
      </c>
      <c r="P6" s="921"/>
      <c r="Q6" s="922"/>
      <c r="R6" s="923" t="str">
        <f>IF(b_3=" "," ",$D$6)</f>
        <v xml:space="preserve"> </v>
      </c>
      <c r="T6" s="921"/>
      <c r="U6" s="922"/>
      <c r="V6" s="923" t="str">
        <f>IF(b_4=" "," ",$D$6)</f>
        <v xml:space="preserve"> </v>
      </c>
      <c r="X6" s="921"/>
      <c r="Y6" s="922"/>
      <c r="Z6" s="923" t="str">
        <f>IF(b_5=" "," ",$D$6)</f>
        <v xml:space="preserve"> </v>
      </c>
    </row>
    <row r="7" spans="2:26" s="2" customFormat="1" ht="20.100000000000001" customHeight="1">
      <c r="B7" s="918" t="s">
        <v>329</v>
      </c>
      <c r="C7" s="114"/>
      <c r="D7" s="925">
        <v>-6.3500000000000001E-2</v>
      </c>
      <c r="E7" s="933">
        <v>0</v>
      </c>
      <c r="F7" s="929">
        <v>100</v>
      </c>
      <c r="G7" s="3"/>
      <c r="H7" s="912" t="str">
        <f>IF(b_1=" "," ",(I_1*100)/ebe_1)</f>
        <v xml:space="preserve"> </v>
      </c>
      <c r="I7" s="916" t="str">
        <f>IF(b_1=" "," ",IF(ebe_1&lt;0,100,IF(H7&lt;$E$7,$E$7,IF(H7&gt;$F$7,$F$7,H7))))</f>
        <v xml:space="preserve"> </v>
      </c>
      <c r="J7" s="914" t="str">
        <f>IF(b_1=" "," ",$D$7*I7)</f>
        <v xml:space="preserve"> </v>
      </c>
      <c r="L7" s="912" t="str">
        <f>IF(b_2=" "," ",(I_2*100)/ebe_2)</f>
        <v xml:space="preserve"> </v>
      </c>
      <c r="M7" s="916" t="str">
        <f>IF(b_2=" "," ",IF(ebe_2&lt;0,100,IF(L7&lt;$E$7,$E$7,IF(L7&gt;$F$7,$F$7,L7))))</f>
        <v xml:space="preserve"> </v>
      </c>
      <c r="N7" s="914" t="str">
        <f>IF(b_2=" "," ",$D$7*M7)</f>
        <v xml:space="preserve"> </v>
      </c>
      <c r="P7" s="912" t="str">
        <f>IF(b_3=" "," ",(I_3*100)/ebe_3)</f>
        <v xml:space="preserve"> </v>
      </c>
      <c r="Q7" s="916" t="str">
        <f>IF(b_3=" "," ",IF(ebe_3&lt;0,100,IF(P7&lt;$E$7,$E$7,IF(P7&gt;$F$7,$F$7,P7))))</f>
        <v xml:space="preserve"> </v>
      </c>
      <c r="R7" s="914" t="str">
        <f>IF(b_3=" "," ",$D$7*Q7)</f>
        <v xml:space="preserve"> </v>
      </c>
      <c r="T7" s="912" t="str">
        <f>IF(b_4=" "," ",(I_4*100)/ebe_4)</f>
        <v xml:space="preserve"> </v>
      </c>
      <c r="U7" s="916" t="str">
        <f>IF(b_4=" "," ",IF(ebe_4&lt;0,100,IF(T7&lt;$E$7,$E$7,IF(T7&gt;$F$7,$F$7,T7))))</f>
        <v xml:space="preserve"> </v>
      </c>
      <c r="V7" s="914" t="str">
        <f>IF(b_4=" "," ",$D$7*U7)</f>
        <v xml:space="preserve"> </v>
      </c>
      <c r="X7" s="912" t="str">
        <f>IF(b_5=" "," ",(I_5*100)/ebe_5)</f>
        <v xml:space="preserve"> </v>
      </c>
      <c r="Y7" s="916" t="str">
        <f>IF(b_5=" "," ",IF(ebe_5&lt;0,100,IF(X7&lt;$E$7,$E$7,IF(X7&gt;$F$7,$F$7,X7))))</f>
        <v xml:space="preserve"> </v>
      </c>
      <c r="Z7" s="914" t="str">
        <f>IF(b_5=" "," ",$D$7*Y7)</f>
        <v xml:space="preserve"> </v>
      </c>
    </row>
    <row r="8" spans="2:26" s="2" customFormat="1" ht="20.100000000000001" customHeight="1">
      <c r="B8" s="918" t="s">
        <v>330</v>
      </c>
      <c r="C8" s="114"/>
      <c r="D8" s="925">
        <v>1.83E-2</v>
      </c>
      <c r="E8" s="933">
        <v>0</v>
      </c>
      <c r="F8" s="929">
        <v>200</v>
      </c>
      <c r="G8" s="3"/>
      <c r="H8" s="912" t="str">
        <f>IF(b_1=" "," ",(aa_1+créances_nettes_expl_1+cd_1+cf_1)*100/DCT_1)</f>
        <v xml:space="preserve"> </v>
      </c>
      <c r="I8" s="916" t="str">
        <f>IF(b_1=" "," ",IF(H8&lt;$E$8,$E$8,IF(H8&gt;$F$8,$F$8,H8)))</f>
        <v xml:space="preserve"> </v>
      </c>
      <c r="J8" s="914" t="str">
        <f>IF(b_1=" "," ",$D$8*I8)</f>
        <v xml:space="preserve"> </v>
      </c>
      <c r="L8" s="912" t="str">
        <f>IF(b_2=" "," ",(aa_2+créances_nettes_expl_2+cd_2+cf_2)*100/DCT_2)</f>
        <v xml:space="preserve"> </v>
      </c>
      <c r="M8" s="916" t="str">
        <f>IF(b_2=" "," ",IF(L8&lt;$E$8,$E$8,IF(L8&gt;$F$8,$F$8,L8)))</f>
        <v xml:space="preserve"> </v>
      </c>
      <c r="N8" s="914" t="str">
        <f>IF(b_2=" "," ",$D$8*M8)</f>
        <v xml:space="preserve"> </v>
      </c>
      <c r="P8" s="912" t="str">
        <f>IF(b_3=" "," ",(aa_3+créances_nettes_expl_3+cd_3+cf_3)*100/DCT_3)</f>
        <v xml:space="preserve"> </v>
      </c>
      <c r="Q8" s="916" t="str">
        <f>IF(b_3=" "," ",IF(P8&lt;$E$8,$E$8,IF(P8&gt;$F$8,$F$8,P8)))</f>
        <v xml:space="preserve"> </v>
      </c>
      <c r="R8" s="914" t="str">
        <f>IF(b_3=" "," ",$D$8*Q8)</f>
        <v xml:space="preserve"> </v>
      </c>
      <c r="T8" s="912" t="str">
        <f>IF(b_4=" "," ",(aa_4+créances_nettes_expl_4+cd_4+cf_4)*100/DCT_4)</f>
        <v xml:space="preserve"> </v>
      </c>
      <c r="U8" s="916" t="str">
        <f>IF(b_4=" "," ",IF(T8&lt;$E$8,$E$8,IF(T8&gt;$F$8,$F$8,T8)))</f>
        <v xml:space="preserve"> </v>
      </c>
      <c r="V8" s="914" t="str">
        <f>IF(b_4=" "," ",$D$8*U8)</f>
        <v xml:space="preserve"> </v>
      </c>
      <c r="X8" s="912" t="str">
        <f>IF(b_5=" "," ",(aa_5+créances_nettes_expl_5+cd_5+cf_5)*100/DCT_5)</f>
        <v xml:space="preserve"> </v>
      </c>
      <c r="Y8" s="916" t="str">
        <f>IF(b_5=" "," ",IF(X8&lt;$E$8,$E$8,IF(X8&gt;$F$8,$F$8,X8)))</f>
        <v xml:space="preserve"> </v>
      </c>
      <c r="Z8" s="914" t="str">
        <f>IF(b_5=" "," ",$D$8*Y8)</f>
        <v xml:space="preserve"> </v>
      </c>
    </row>
    <row r="9" spans="2:26" s="2" customFormat="1" ht="20.100000000000001" customHeight="1">
      <c r="B9" s="918" t="s">
        <v>331</v>
      </c>
      <c r="C9" s="114"/>
      <c r="D9" s="925">
        <v>4.7100000000000003E-2</v>
      </c>
      <c r="E9" s="933">
        <v>-25</v>
      </c>
      <c r="F9" s="929">
        <v>100</v>
      </c>
      <c r="G9" s="3"/>
      <c r="H9" s="912" t="str">
        <f>IF(b_1=" "," ",(cp_1*100)/b_1)</f>
        <v xml:space="preserve"> </v>
      </c>
      <c r="I9" s="916" t="str">
        <f>IF(b_1=" "," ",IF(H9&lt;$E$9,$E$9,IF(H9&gt;$F$9,$F$9,H9)))</f>
        <v xml:space="preserve"> </v>
      </c>
      <c r="J9" s="914" t="str">
        <f>IF(b_1=" "," ",$D$9*I9)</f>
        <v xml:space="preserve"> </v>
      </c>
      <c r="L9" s="912" t="str">
        <f>IF(b_2=" "," ",(cp_2*100)/b_2)</f>
        <v xml:space="preserve"> </v>
      </c>
      <c r="M9" s="916" t="str">
        <f>IF(b_2=" "," ",IF(L9&lt;$E$9,$E$9,IF(L9&gt;$F$9,$F$9,L9)))</f>
        <v xml:space="preserve"> </v>
      </c>
      <c r="N9" s="914" t="str">
        <f>IF(b_2=" "," ",$D$9*M9)</f>
        <v xml:space="preserve"> </v>
      </c>
      <c r="P9" s="912" t="str">
        <f>IF(b_3=" "," ",(cp_3*100)/b_3)</f>
        <v xml:space="preserve"> </v>
      </c>
      <c r="Q9" s="916" t="str">
        <f>IF(b_3=" "," ",IF(P9&lt;$E$9,$E$9,IF(P9&gt;$F$9,$F$9,P9)))</f>
        <v xml:space="preserve"> </v>
      </c>
      <c r="R9" s="914" t="str">
        <f>IF(b_3=" "," ",$D$9*Q9)</f>
        <v xml:space="preserve"> </v>
      </c>
      <c r="T9" s="912" t="str">
        <f>IF(b_4=" "," ",(cp_4*100)/b_4)</f>
        <v xml:space="preserve"> </v>
      </c>
      <c r="U9" s="916" t="str">
        <f>IF(b_4=" "," ",IF(T9&lt;$E$9,$E$9,IF(T9&gt;$F$9,$F$9,T9)))</f>
        <v xml:space="preserve"> </v>
      </c>
      <c r="V9" s="914" t="str">
        <f>IF(b_4=" "," ",$D$9*U9)</f>
        <v xml:space="preserve"> </v>
      </c>
      <c r="X9" s="912" t="str">
        <f>IF(b_5=" "," ",(cp_5*100)/b_5)</f>
        <v xml:space="preserve"> </v>
      </c>
      <c r="Y9" s="916" t="str">
        <f>IF(b_5=" "," ",IF(X9&lt;$E$9,$E$9,IF(X9&gt;$F$9,$F$9,X9)))</f>
        <v xml:space="preserve"> </v>
      </c>
      <c r="Z9" s="914" t="str">
        <f>IF(b_5=" "," ",$D$9*Y9)</f>
        <v xml:space="preserve"> </v>
      </c>
    </row>
    <row r="10" spans="2:26" s="2" customFormat="1" ht="20.100000000000001" customHeight="1">
      <c r="B10" s="918" t="s">
        <v>332</v>
      </c>
      <c r="C10" s="114"/>
      <c r="D10" s="925">
        <v>-2.46E-2</v>
      </c>
      <c r="E10" s="933">
        <v>0</v>
      </c>
      <c r="F10" s="929">
        <v>100</v>
      </c>
      <c r="G10" s="3"/>
      <c r="H10" s="912" t="str">
        <f>IF(b_1=" "," ",(va_1*100)/ca_1)</f>
        <v xml:space="preserve"> </v>
      </c>
      <c r="I10" s="916" t="str">
        <f>IF(b_1=" "," ",IF(H10&lt;$E$10,$E$10,IF(H10&gt;$F$10,$F$10,H10)))</f>
        <v xml:space="preserve"> </v>
      </c>
      <c r="J10" s="914" t="str">
        <f>IF(b_1=" "," ",$D$10*I10)</f>
        <v xml:space="preserve"> </v>
      </c>
      <c r="L10" s="912" t="str">
        <f>IF(b_2=" "," ",(va_2*100)/ca_2)</f>
        <v xml:space="preserve"> </v>
      </c>
      <c r="M10" s="916" t="str">
        <f>IF(b_2=" "," ",IF(L10&lt;$E$10,$E$10,IF(L10&gt;$F$10,$F$10,L10)))</f>
        <v xml:space="preserve"> </v>
      </c>
      <c r="N10" s="914" t="str">
        <f>IF(b_2=" "," ",$D$10*M10)</f>
        <v xml:space="preserve"> </v>
      </c>
      <c r="P10" s="912" t="str">
        <f>IF(b_3=" "," ",(va_3*100)/ca_3)</f>
        <v xml:space="preserve"> </v>
      </c>
      <c r="Q10" s="916" t="str">
        <f>IF(b_3=" "," ",IF(P10&lt;$E$10,$E$10,IF(P10&gt;$F$10,$F$10,P10)))</f>
        <v xml:space="preserve"> </v>
      </c>
      <c r="R10" s="914" t="str">
        <f>IF(b_3=" "," ",$D$10*Q10)</f>
        <v xml:space="preserve"> </v>
      </c>
      <c r="T10" s="912" t="str">
        <f>IF(b_4=" "," ",(va_4*100)/ca_4)</f>
        <v xml:space="preserve"> </v>
      </c>
      <c r="U10" s="916" t="str">
        <f>IF(b_4=" "," ",IF(T10&lt;$E$10,$E$10,IF(T10&gt;$F$10,$F$10,T10)))</f>
        <v xml:space="preserve"> </v>
      </c>
      <c r="V10" s="914" t="str">
        <f>IF(b_4=" "," ",$D$10*U10)</f>
        <v xml:space="preserve"> </v>
      </c>
      <c r="X10" s="912" t="str">
        <f>IF(b_5=" "," ",(va_5*100)/ca_5)</f>
        <v xml:space="preserve"> </v>
      </c>
      <c r="Y10" s="916" t="str">
        <f>IF(b_5=" "," ",IF(X10&lt;$E$10,$E$10,IF(X10&gt;$F$10,$F$10,X10)))</f>
        <v xml:space="preserve"> </v>
      </c>
      <c r="Z10" s="914" t="str">
        <f>IF(b_5=" "," ",$D$10*Y10)</f>
        <v xml:space="preserve"> </v>
      </c>
    </row>
    <row r="11" spans="2:26" s="2" customFormat="1" ht="20.100000000000001" customHeight="1">
      <c r="B11" s="918" t="s">
        <v>338</v>
      </c>
      <c r="C11" s="114"/>
      <c r="D11" s="925">
        <v>1.15E-2</v>
      </c>
      <c r="E11" s="933">
        <v>-100</v>
      </c>
      <c r="F11" s="929">
        <v>100</v>
      </c>
      <c r="G11" s="3"/>
      <c r="H11" s="912" t="str">
        <f>IF(b_1=" "," ",(tr_1*du_1*30)/ca_1)</f>
        <v xml:space="preserve"> </v>
      </c>
      <c r="I11" s="916" t="str">
        <f>IF(b_1=" "," ",IF(H11&lt;$E$11,$E$128,IF(H11&gt;$F$11,$F$11,H11)))</f>
        <v xml:space="preserve"> </v>
      </c>
      <c r="J11" s="914" t="str">
        <f>IF(b_1=" "," ",$D$11*I11)</f>
        <v xml:space="preserve"> </v>
      </c>
      <c r="L11" s="912" t="str">
        <f>IF(b_2=" "," ",(tr_2*du_2*30)/ca_2)</f>
        <v xml:space="preserve"> </v>
      </c>
      <c r="M11" s="916" t="str">
        <f>IF(b_2=" "," ",IF(L11&lt;$E$11,$E$128,IF(L11&gt;$F$11,$F$11,L11)))</f>
        <v xml:space="preserve"> </v>
      </c>
      <c r="N11" s="914" t="str">
        <f>IF(b_2=" "," ",$D$11*M11)</f>
        <v xml:space="preserve"> </v>
      </c>
      <c r="P11" s="912" t="str">
        <f>IF(b_3=" "," ",(tr_3*du_3*30)/ca_3)</f>
        <v xml:space="preserve"> </v>
      </c>
      <c r="Q11" s="916" t="str">
        <f>IF(b_3=" "," ",IF(P11&lt;$E$11,$E$128,IF(P11&gt;$F$11,$F$11,P11)))</f>
        <v xml:space="preserve"> </v>
      </c>
      <c r="R11" s="914" t="str">
        <f>IF(b_3=" "," ",$D$11*Q11)</f>
        <v xml:space="preserve"> </v>
      </c>
      <c r="T11" s="912" t="str">
        <f>IF(b_4=" "," ",(tr_4*du_4*30)/ca_4)</f>
        <v xml:space="preserve"> </v>
      </c>
      <c r="U11" s="916" t="str">
        <f>IF(b_4=" "," ",IF(T11&lt;$E$11,$E$128,IF(T11&gt;$F$11,$F$11,T11)))</f>
        <v xml:space="preserve"> </v>
      </c>
      <c r="V11" s="914" t="str">
        <f>IF(b_4=" "," ",$D$11*U11)</f>
        <v xml:space="preserve"> </v>
      </c>
      <c r="X11" s="912" t="str">
        <f>IF(b_5=" "," ",(tr_5*du_5*30)/ca_5)</f>
        <v xml:space="preserve"> </v>
      </c>
      <c r="Y11" s="916" t="str">
        <f>IF(b_5=" "," ",IF(X11&lt;$E$11,$E$128,IF(X11&gt;$F$11,$F$11,X11)))</f>
        <v xml:space="preserve"> </v>
      </c>
      <c r="Z11" s="914" t="str">
        <f>IF(b_5=" "," ",$D$11*Y11)</f>
        <v xml:space="preserve"> </v>
      </c>
    </row>
    <row r="12" spans="2:26" s="2" customFormat="1" ht="20.100000000000001" customHeight="1">
      <c r="B12" s="919" t="s">
        <v>339</v>
      </c>
      <c r="C12" s="114"/>
      <c r="D12" s="926">
        <v>-9.5999999999999992E-3</v>
      </c>
      <c r="E12" s="934">
        <v>-100</v>
      </c>
      <c r="F12" s="930">
        <v>150</v>
      </c>
      <c r="G12" s="3"/>
      <c r="H12" s="913" t="str">
        <f>IF(b_1=" "," ",fr_1*du_1*30/ca_1)</f>
        <v xml:space="preserve"> </v>
      </c>
      <c r="I12" s="917" t="str">
        <f>IF(b_1=" "," ",IF(H12&lt;$E$12,$E$12,IF(H12&gt;$F$12,$F$12,H12)))</f>
        <v xml:space="preserve"> </v>
      </c>
      <c r="J12" s="915" t="str">
        <f>IF(b_1=" "," ",$D$12*I12)</f>
        <v xml:space="preserve"> </v>
      </c>
      <c r="L12" s="913" t="str">
        <f>IF(b_2=" "," ",fr_2*du_2*30/ca_2)</f>
        <v xml:space="preserve"> </v>
      </c>
      <c r="M12" s="917" t="str">
        <f>IF(b_2=" "," ",IF(L12&lt;$E$12,$E$12,IF(L12&gt;$F$12,$F$12,L12)))</f>
        <v xml:space="preserve"> </v>
      </c>
      <c r="N12" s="915" t="str">
        <f>IF(b_2=" "," ",$D$12*M12)</f>
        <v xml:space="preserve"> </v>
      </c>
      <c r="P12" s="913" t="str">
        <f>IF(b_3=" "," ",fr_3*du_3*30/ca_3)</f>
        <v xml:space="preserve"> </v>
      </c>
      <c r="Q12" s="917" t="str">
        <f>IF(b_3=" "," ",IF(P12&lt;$E$12,$E$12,IF(P12&gt;$F$12,$F$12,P12)))</f>
        <v xml:space="preserve"> </v>
      </c>
      <c r="R12" s="915" t="str">
        <f>IF(b_3=" "," ",$D$12*Q12)</f>
        <v xml:space="preserve"> </v>
      </c>
      <c r="T12" s="913" t="str">
        <f>IF(b_4=" "," ",fr_4*du_4*30/ca_4)</f>
        <v xml:space="preserve"> </v>
      </c>
      <c r="U12" s="917" t="str">
        <f>IF(b_4=" "," ",IF(T12&lt;$E$12,$E$12,IF(T12&gt;$F$12,$F$12,T12)))</f>
        <v xml:space="preserve"> </v>
      </c>
      <c r="V12" s="915" t="str">
        <f>IF(b_4=" "," ",$D$12*U12)</f>
        <v xml:space="preserve"> </v>
      </c>
      <c r="X12" s="913" t="str">
        <f>IF(b_5=" "," ",fr_5*du_5*30/ca_5)</f>
        <v xml:space="preserve"> </v>
      </c>
      <c r="Y12" s="917" t="str">
        <f>IF(b_5=" "," ",IF(X12&lt;$E$12,$E$12,IF(X12&gt;$F$12,$F$12,X12)))</f>
        <v xml:space="preserve"> </v>
      </c>
      <c r="Z12" s="915" t="str">
        <f>IF(b_5=" "," ",$D$12*Y12)</f>
        <v xml:space="preserve"> </v>
      </c>
    </row>
    <row r="13" spans="2:26" s="2" customFormat="1" ht="6" customHeight="1"/>
    <row r="14" spans="2:26" s="133" customFormat="1" ht="20.100000000000001" customHeight="1">
      <c r="H14" s="2508" t="str">
        <f>IF(b_1=" "," ","Score")</f>
        <v xml:space="preserve"> </v>
      </c>
      <c r="I14" s="2509"/>
      <c r="J14" s="1216" t="str">
        <f>IF(b_1=" "," ",SUM(J6:J12))</f>
        <v xml:space="preserve"> </v>
      </c>
      <c r="L14" s="2508" t="str">
        <f>IF(b_2=0," ","Score")</f>
        <v>Score</v>
      </c>
      <c r="M14" s="2509"/>
      <c r="N14" s="1216" t="str">
        <f>IF(b_2=" "," ",SUM(N6:N12))</f>
        <v xml:space="preserve"> </v>
      </c>
      <c r="P14" s="2508" t="str">
        <f>IF(b_3=0," ","Score")</f>
        <v>Score</v>
      </c>
      <c r="Q14" s="2509"/>
      <c r="R14" s="1216" t="str">
        <f>IF(b_3=" "," ",SUM(R6:R12))</f>
        <v xml:space="preserve"> </v>
      </c>
      <c r="T14" s="2508" t="str">
        <f>IF(b_4=0," ","Score")</f>
        <v>Score</v>
      </c>
      <c r="U14" s="2509"/>
      <c r="V14" s="1216" t="str">
        <f>IF(b_4=" "," ",SUM(V6:V12))</f>
        <v xml:space="preserve"> </v>
      </c>
      <c r="X14" s="2508" t="str">
        <f>IF(b_5=0," ","Score")</f>
        <v>Score</v>
      </c>
      <c r="Y14" s="2509"/>
      <c r="Z14" s="1216" t="str">
        <f>IF(b_5=" "," ",SUM(Z6:Z12))</f>
        <v xml:space="preserve"> </v>
      </c>
    </row>
    <row r="15" spans="2:26" s="2" customFormat="1" ht="5.0999999999999996" customHeight="1"/>
    <row r="16" spans="2:26" s="148" customFormat="1" ht="30" customHeight="1">
      <c r="H16" s="2510" t="str">
        <f>IF(b_1=" "," ",IF(J14&lt;=-4.01,"Risque de défaillance très élevé",IF(J14&lt;=-2.57,"Risque de défaillance élevé",IF(J14&lt;=1.26,"Risque de défaillance moyen",IF(J14&lt;=2.1,"Risque de défaillance faible",IF(J14&lt;=2.86,"Risque de défaillance très faible","Risque de défaillance nul"))))))</f>
        <v xml:space="preserve"> </v>
      </c>
      <c r="I16" s="2511"/>
      <c r="J16" s="2512"/>
      <c r="K16" s="149"/>
      <c r="L16" s="2513" t="str">
        <f>IF(b_2=" "," ",IF(N14&lt;=-4.01,"Risque de défaillance très élevé",IF(N14&lt;=-2.57,"Risque de défaillance élevé",IF(N14&lt;=1.26,"Risque de défaillance moyen",IF(N14&lt;=2.1,"Risque de défaillance faible",IF(N14&lt;=2.86,"Risque de défaillance très faible","Risque de défaillance nul"))))))</f>
        <v xml:space="preserve"> </v>
      </c>
      <c r="M16" s="2514"/>
      <c r="N16" s="2515"/>
      <c r="O16" s="149"/>
      <c r="P16" s="2513" t="str">
        <f>IF(b_3=" "," ",IF(R14&lt;=-4.01,"Risque de défaillance très élevé",IF(R14&lt;=-2.57,"Risque de défaillance élevé",IF(R14&lt;=1.26,"Risque de défaillance moyen",IF(R14&lt;=2.1,"Risque de défaillance faible",IF(R14&lt;=2.86,"Risque de défaillance très faible","Risque de défaillance nul"))))))</f>
        <v xml:space="preserve"> </v>
      </c>
      <c r="Q16" s="2514"/>
      <c r="R16" s="2515"/>
      <c r="S16" s="149"/>
      <c r="T16" s="2513" t="str">
        <f>IF(b_4=" "," ",IF(V14&lt;=-4.01,"Risque de défaillance très élevé",IF(V14&lt;=-2.57,"Risque de défaillance élevé",IF(V14&lt;=1.26,"Risque de défaillance moyen",IF(V14&lt;=2.1,"Risque de défaillance faible",IF(V14&lt;=2.86,"Risque de défaillance très faible","Risque de défaillance nul"))))))</f>
        <v xml:space="preserve"> </v>
      </c>
      <c r="U16" s="2514"/>
      <c r="V16" s="2515"/>
      <c r="W16" s="149"/>
      <c r="X16" s="2513" t="str">
        <f>IF(b_5=" "," ",IF(Z14&lt;=-4.01,"Risque de défaillance très élevé",IF(Z14&lt;=-2.57,"Risque de défaillance élevé",IF(Z14&lt;=1.26,"Risque de défaillance moyen",IF(Z14&lt;=2.1,"Risque de défaillance faible",IF(Z14&lt;=2.86,"Risque de défaillance très faible","Risque de défaillance nul"))))))</f>
        <v xml:space="preserve"> </v>
      </c>
      <c r="Y16" s="2514"/>
      <c r="Z16" s="2515"/>
    </row>
    <row r="17" s="2" customFormat="1" ht="20.100000000000001" customHeight="1"/>
    <row r="18" s="2" customFormat="1" ht="20.100000000000001" customHeight="1"/>
    <row r="19" s="2" customFormat="1" ht="20.100000000000001" customHeight="1"/>
    <row r="20" s="2" customFormat="1" ht="20.100000000000001" customHeight="1"/>
    <row r="21" s="2" customFormat="1" ht="20.100000000000001" customHeight="1"/>
    <row r="22" s="2" customFormat="1" ht="20.100000000000001" customHeight="1"/>
    <row r="23" s="2" customFormat="1" ht="20.100000000000001" customHeight="1"/>
    <row r="24" s="2" customFormat="1" ht="20.100000000000001" customHeight="1"/>
  </sheetData>
  <sheetProtection algorithmName="SHA-512" hashValue="4UmVdNONGrRQ/FkfIYIPYU5KoPaq4t17/EXDYbdx7vmVIIXA7qQ+Tjj2NAkxmu+tejNMlcAbI+jIjh1xaqNZWw==" saltValue="2jiuJdUHa2uGkQzFAszgxg==" spinCount="100000" sheet="1" objects="1" scenarios="1" insertColumns="0" insertRows="0" insertHyperlinks="0" deleteColumns="0" deleteRows="0" sort="0" autoFilter="0" pivotTables="0"/>
  <mergeCells count="39">
    <mergeCell ref="B2:E2"/>
    <mergeCell ref="H2:J2"/>
    <mergeCell ref="H3:J3"/>
    <mergeCell ref="H14:I14"/>
    <mergeCell ref="B4:B5"/>
    <mergeCell ref="H4:H5"/>
    <mergeCell ref="I4:I5"/>
    <mergeCell ref="J4:J5"/>
    <mergeCell ref="E4:F4"/>
    <mergeCell ref="D4:D5"/>
    <mergeCell ref="P2:R2"/>
    <mergeCell ref="P3:R3"/>
    <mergeCell ref="P4:P5"/>
    <mergeCell ref="L2:N2"/>
    <mergeCell ref="L3:N3"/>
    <mergeCell ref="L4:L5"/>
    <mergeCell ref="M4:M5"/>
    <mergeCell ref="N4:N5"/>
    <mergeCell ref="Q4:Q5"/>
    <mergeCell ref="R4:R5"/>
    <mergeCell ref="X2:Z2"/>
    <mergeCell ref="X3:Z3"/>
    <mergeCell ref="X4:X5"/>
    <mergeCell ref="T2:V2"/>
    <mergeCell ref="T3:V3"/>
    <mergeCell ref="T4:T5"/>
    <mergeCell ref="U4:U5"/>
    <mergeCell ref="V4:V5"/>
    <mergeCell ref="Y4:Y5"/>
    <mergeCell ref="Z4:Z5"/>
    <mergeCell ref="X14:Y14"/>
    <mergeCell ref="T14:U14"/>
    <mergeCell ref="P14:Q14"/>
    <mergeCell ref="H16:J16"/>
    <mergeCell ref="P16:R16"/>
    <mergeCell ref="T16:V16"/>
    <mergeCell ref="X16:Z16"/>
    <mergeCell ref="L16:N16"/>
    <mergeCell ref="L14:M14"/>
  </mergeCells>
  <phoneticPr fontId="0" type="noConversion"/>
  <conditionalFormatting sqref="H16:J16 H14:I14">
    <cfRule type="expression" dxfId="54" priority="1" stopIfTrue="1">
      <formula>$J$14&lt;=-2.57</formula>
    </cfRule>
    <cfRule type="expression" dxfId="53" priority="2" stopIfTrue="1">
      <formula>$J$14&lt;=1.26</formula>
    </cfRule>
    <cfRule type="expression" dxfId="52" priority="3" stopIfTrue="1">
      <formula>$J$14=" "</formula>
    </cfRule>
  </conditionalFormatting>
  <conditionalFormatting sqref="L16:N16 L14:M14">
    <cfRule type="expression" dxfId="51" priority="4" stopIfTrue="1">
      <formula>$N$14&lt;=-2.57</formula>
    </cfRule>
    <cfRule type="expression" dxfId="50" priority="5" stopIfTrue="1">
      <formula>$N$14&lt;=1.26</formula>
    </cfRule>
    <cfRule type="expression" dxfId="49" priority="6" stopIfTrue="1">
      <formula>$N$14=" "</formula>
    </cfRule>
  </conditionalFormatting>
  <conditionalFormatting sqref="P14:Q14">
    <cfRule type="expression" dxfId="48" priority="7" stopIfTrue="1">
      <formula>$R$14&lt;=-2.57</formula>
    </cfRule>
    <cfRule type="expression" dxfId="47" priority="8" stopIfTrue="1">
      <formula>$R$14&lt;=1.26</formula>
    </cfRule>
    <cfRule type="expression" dxfId="46" priority="9" stopIfTrue="1">
      <formula>$R$14=" "</formula>
    </cfRule>
  </conditionalFormatting>
  <conditionalFormatting sqref="T16:V16 T14:U14">
    <cfRule type="expression" dxfId="45" priority="10" stopIfTrue="1">
      <formula>$V$14&lt;=-2.57</formula>
    </cfRule>
    <cfRule type="expression" dxfId="44" priority="11" stopIfTrue="1">
      <formula>$V$14&lt;=1.26</formula>
    </cfRule>
    <cfRule type="expression" dxfId="43" priority="12" stopIfTrue="1">
      <formula>$V$14=" "</formula>
    </cfRule>
  </conditionalFormatting>
  <conditionalFormatting sqref="X16:Z16 X14:Y14">
    <cfRule type="expression" dxfId="42" priority="13" stopIfTrue="1">
      <formula>$Z$14&lt;=-2.57</formula>
    </cfRule>
    <cfRule type="expression" dxfId="41" priority="14" stopIfTrue="1">
      <formula>$Z$14&lt;=1.26</formula>
    </cfRule>
    <cfRule type="expression" dxfId="40" priority="15" stopIfTrue="1">
      <formula>$Z$14=" "</formula>
    </cfRule>
  </conditionalFormatting>
  <conditionalFormatting sqref="J14">
    <cfRule type="cellIs" dxfId="39" priority="16" stopIfTrue="1" operator="lessThanOrEqual">
      <formula>-2.57</formula>
    </cfRule>
    <cfRule type="cellIs" dxfId="38" priority="17" stopIfTrue="1" operator="lessThanOrEqual">
      <formula>1.26</formula>
    </cfRule>
    <cfRule type="expression" dxfId="37" priority="18" stopIfTrue="1">
      <formula>$J$14=" "</formula>
    </cfRule>
  </conditionalFormatting>
  <conditionalFormatting sqref="N14">
    <cfRule type="cellIs" dxfId="36" priority="19" stopIfTrue="1" operator="lessThanOrEqual">
      <formula>-2.57</formula>
    </cfRule>
    <cfRule type="cellIs" dxfId="35" priority="20" stopIfTrue="1" operator="lessThanOrEqual">
      <formula>1.26</formula>
    </cfRule>
    <cfRule type="expression" dxfId="34" priority="21" stopIfTrue="1">
      <formula>$N$14=" "</formula>
    </cfRule>
  </conditionalFormatting>
  <conditionalFormatting sqref="R14">
    <cfRule type="cellIs" dxfId="33" priority="22" stopIfTrue="1" operator="lessThanOrEqual">
      <formula>-2.57</formula>
    </cfRule>
    <cfRule type="cellIs" dxfId="32" priority="23" stopIfTrue="1" operator="lessThanOrEqual">
      <formula>1.26</formula>
    </cfRule>
    <cfRule type="expression" dxfId="31" priority="24" stopIfTrue="1">
      <formula>$R$14=" "</formula>
    </cfRule>
  </conditionalFormatting>
  <conditionalFormatting sqref="V14">
    <cfRule type="cellIs" dxfId="30" priority="25" stopIfTrue="1" operator="lessThanOrEqual">
      <formula>-2.57</formula>
    </cfRule>
    <cfRule type="cellIs" dxfId="29" priority="26" stopIfTrue="1" operator="lessThanOrEqual">
      <formula>1.26</formula>
    </cfRule>
    <cfRule type="expression" dxfId="28" priority="27" stopIfTrue="1">
      <formula>$V$14=" "</formula>
    </cfRule>
  </conditionalFormatting>
  <conditionalFormatting sqref="Z14">
    <cfRule type="cellIs" dxfId="27" priority="28" stopIfTrue="1" operator="lessThanOrEqual">
      <formula>-2.57</formula>
    </cfRule>
    <cfRule type="cellIs" dxfId="26" priority="29" stopIfTrue="1" operator="lessThanOrEqual">
      <formula>1.26</formula>
    </cfRule>
    <cfRule type="expression" dxfId="25" priority="30" stopIfTrue="1">
      <formula>$Z$14=" "</formula>
    </cfRule>
  </conditionalFormatting>
  <conditionalFormatting sqref="P16:R16">
    <cfRule type="expression" dxfId="24" priority="61" stopIfTrue="1">
      <formula>$R$14&lt;=-2.57</formula>
    </cfRule>
    <cfRule type="expression" dxfId="23" priority="62" stopIfTrue="1">
      <formula>$R$14&lt;=1.26</formula>
    </cfRule>
    <cfRule type="expression" dxfId="22" priority="63" stopIfTrue="1">
      <formula>$R$14=" "</formula>
    </cfRule>
  </conditionalFormatting>
  <printOptions gridLinesSet="0"/>
  <pageMargins left="0" right="0" top="0" bottom="0" header="0" footer="0"/>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654</vt:i4>
      </vt:variant>
    </vt:vector>
  </HeadingPairs>
  <TitlesOfParts>
    <vt:vector size="666" baseType="lpstr">
      <vt:lpstr>resultat</vt:lpstr>
      <vt:lpstr>bilan</vt:lpstr>
      <vt:lpstr>Infos complémentaires</vt:lpstr>
      <vt:lpstr>Structure financière</vt:lpstr>
      <vt:lpstr>tableau de financement</vt:lpstr>
      <vt:lpstr>Ratios</vt:lpstr>
      <vt:lpstr>Graphiques</vt:lpstr>
      <vt:lpstr>Levier</vt:lpstr>
      <vt:lpstr>Score</vt:lpstr>
      <vt:lpstr>Lexique</vt:lpstr>
      <vt:lpstr>Feuil3</vt:lpstr>
      <vt:lpstr>Feuil4</vt:lpstr>
      <vt:lpstr>aa_1</vt:lpstr>
      <vt:lpstr>aa_2</vt:lpstr>
      <vt:lpstr>aa_3</vt:lpstr>
      <vt:lpstr>aa_4</vt:lpstr>
      <vt:lpstr>aa_5</vt:lpstr>
      <vt:lpstr>acre_1</vt:lpstr>
      <vt:lpstr>acre_2</vt:lpstr>
      <vt:lpstr>acre_3</vt:lpstr>
      <vt:lpstr>acre_4</vt:lpstr>
      <vt:lpstr>acre_5</vt:lpstr>
      <vt:lpstr>acren_1</vt:lpstr>
      <vt:lpstr>acren_2</vt:lpstr>
      <vt:lpstr>acren_3</vt:lpstr>
      <vt:lpstr>acren_4</vt:lpstr>
      <vt:lpstr>acren_5</vt:lpstr>
      <vt:lpstr>activité</vt:lpstr>
      <vt:lpstr>ade_1</vt:lpstr>
      <vt:lpstr>ade_2</vt:lpstr>
      <vt:lpstr>ade_3</vt:lpstr>
      <vt:lpstr>ade_4</vt:lpstr>
      <vt:lpstr>ade_5</vt:lpstr>
      <vt:lpstr>ae_1</vt:lpstr>
      <vt:lpstr>ae_2</vt:lpstr>
      <vt:lpstr>ae_3</vt:lpstr>
      <vt:lpstr>ae_4</vt:lpstr>
      <vt:lpstr>ae_5</vt:lpstr>
      <vt:lpstr>amort_1</vt:lpstr>
      <vt:lpstr>amort_2</vt:lpstr>
      <vt:lpstr>amort_3</vt:lpstr>
      <vt:lpstr>amort_4</vt:lpstr>
      <vt:lpstr>amort_5</vt:lpstr>
      <vt:lpstr>b_1</vt:lpstr>
      <vt:lpstr>b_2</vt:lpstr>
      <vt:lpstr>b_3</vt:lpstr>
      <vt:lpstr>b_4</vt:lpstr>
      <vt:lpstr>b_5</vt:lpstr>
      <vt:lpstr>bfe_1</vt:lpstr>
      <vt:lpstr>bfe_2</vt:lpstr>
      <vt:lpstr>bfe_3</vt:lpstr>
      <vt:lpstr>bfe_4</vt:lpstr>
      <vt:lpstr>bfe_5</vt:lpstr>
      <vt:lpstr>bfr_1</vt:lpstr>
      <vt:lpstr>bfr_2</vt:lpstr>
      <vt:lpstr>bfr_3</vt:lpstr>
      <vt:lpstr>bfr_4</vt:lpstr>
      <vt:lpstr>bfr_5</vt:lpstr>
      <vt:lpstr>bfre_1</vt:lpstr>
      <vt:lpstr>bfre_2</vt:lpstr>
      <vt:lpstr>bfre_3</vt:lpstr>
      <vt:lpstr>bfre_4</vt:lpstr>
      <vt:lpstr>bfre_5</vt:lpstr>
      <vt:lpstr>bj_1</vt:lpstr>
      <vt:lpstr>bj_2</vt:lpstr>
      <vt:lpstr>bj_3</vt:lpstr>
      <vt:lpstr>bj_4</vt:lpstr>
      <vt:lpstr>bj_5</vt:lpstr>
      <vt:lpstr>bl_1</vt:lpstr>
      <vt:lpstr>bl_2</vt:lpstr>
      <vt:lpstr>bl_3</vt:lpstr>
      <vt:lpstr>bl_4</vt:lpstr>
      <vt:lpstr>bl_5</vt:lpstr>
      <vt:lpstr>bm_1</vt:lpstr>
      <vt:lpstr>bm_2</vt:lpstr>
      <vt:lpstr>bm_3</vt:lpstr>
      <vt:lpstr>bm_4</vt:lpstr>
      <vt:lpstr>bm_5</vt:lpstr>
      <vt:lpstr>bn_1</vt:lpstr>
      <vt:lpstr>bn_2</vt:lpstr>
      <vt:lpstr>bn_3</vt:lpstr>
      <vt:lpstr>bn_4</vt:lpstr>
      <vt:lpstr>bn_5</vt:lpstr>
      <vt:lpstr>bo_1</vt:lpstr>
      <vt:lpstr>bo_2</vt:lpstr>
      <vt:lpstr>bo_3</vt:lpstr>
      <vt:lpstr>bo_4</vt:lpstr>
      <vt:lpstr>bo_5</vt:lpstr>
      <vt:lpstr>bp_1</vt:lpstr>
      <vt:lpstr>bp_2</vt:lpstr>
      <vt:lpstr>bp_3</vt:lpstr>
      <vt:lpstr>bp_4</vt:lpstr>
      <vt:lpstr>bp_5</vt:lpstr>
      <vt:lpstr>bq_1</vt:lpstr>
      <vt:lpstr>bq_2</vt:lpstr>
      <vt:lpstr>bq_3</vt:lpstr>
      <vt:lpstr>bq_4</vt:lpstr>
      <vt:lpstr>bq_5</vt:lpstr>
      <vt:lpstr>br_1</vt:lpstr>
      <vt:lpstr>br_2</vt:lpstr>
      <vt:lpstr>br_3</vt:lpstr>
      <vt:lpstr>br_4</vt:lpstr>
      <vt:lpstr>br_5</vt:lpstr>
      <vt:lpstr>bs_1</vt:lpstr>
      <vt:lpstr>bs_2</vt:lpstr>
      <vt:lpstr>bs_3</vt:lpstr>
      <vt:lpstr>bs_4</vt:lpstr>
      <vt:lpstr>bs_5</vt:lpstr>
      <vt:lpstr>bt_1</vt:lpstr>
      <vt:lpstr>bt_2</vt:lpstr>
      <vt:lpstr>bt_3</vt:lpstr>
      <vt:lpstr>bt_4</vt:lpstr>
      <vt:lpstr>bt_5</vt:lpstr>
      <vt:lpstr>bu_1</vt:lpstr>
      <vt:lpstr>bu_2</vt:lpstr>
      <vt:lpstr>bu_3</vt:lpstr>
      <vt:lpstr>bu_4</vt:lpstr>
      <vt:lpstr>bu_5</vt:lpstr>
      <vt:lpstr>bv_1</vt:lpstr>
      <vt:lpstr>bv_2</vt:lpstr>
      <vt:lpstr>bv_3</vt:lpstr>
      <vt:lpstr>bv_4</vt:lpstr>
      <vt:lpstr>bv_5</vt:lpstr>
      <vt:lpstr>bx_1</vt:lpstr>
      <vt:lpstr>bx_2</vt:lpstr>
      <vt:lpstr>bx_3</vt:lpstr>
      <vt:lpstr>bx_4</vt:lpstr>
      <vt:lpstr>bx_5</vt:lpstr>
      <vt:lpstr>by_1</vt:lpstr>
      <vt:lpstr>by_2</vt:lpstr>
      <vt:lpstr>by_3</vt:lpstr>
      <vt:lpstr>by_4</vt:lpstr>
      <vt:lpstr>by_5</vt:lpstr>
      <vt:lpstr>bz_1</vt:lpstr>
      <vt:lpstr>bz_2</vt:lpstr>
      <vt:lpstr>bz_3</vt:lpstr>
      <vt:lpstr>bz_4</vt:lpstr>
      <vt:lpstr>bz_5</vt:lpstr>
      <vt:lpstr>ca_1</vt:lpstr>
      <vt:lpstr>ca_2</vt:lpstr>
      <vt:lpstr>ca_3</vt:lpstr>
      <vt:lpstr>ca_4</vt:lpstr>
      <vt:lpstr>ca_5</vt:lpstr>
      <vt:lpstr>ca_6</vt:lpstr>
      <vt:lpstr>caf_1</vt:lpstr>
      <vt:lpstr>caf_2</vt:lpstr>
      <vt:lpstr>caf_3</vt:lpstr>
      <vt:lpstr>caf_4</vt:lpstr>
      <vt:lpstr>caf_5</vt:lpstr>
      <vt:lpstr>cap_propres_1</vt:lpstr>
      <vt:lpstr>cap_propres_2</vt:lpstr>
      <vt:lpstr>cap_propres_3</vt:lpstr>
      <vt:lpstr>cap_propres_4</vt:lpstr>
      <vt:lpstr>cap_propres_5</vt:lpstr>
      <vt:lpstr>cb_1</vt:lpstr>
      <vt:lpstr>cb_2</vt:lpstr>
      <vt:lpstr>cb_3</vt:lpstr>
      <vt:lpstr>cb_4</vt:lpstr>
      <vt:lpstr>cb_5</vt:lpstr>
      <vt:lpstr>cca_1</vt:lpstr>
      <vt:lpstr>cca_2</vt:lpstr>
      <vt:lpstr>cca_3</vt:lpstr>
      <vt:lpstr>cca_4</vt:lpstr>
      <vt:lpstr>cca_5</vt:lpstr>
      <vt:lpstr>cd_1</vt:lpstr>
      <vt:lpstr>cd_2</vt:lpstr>
      <vt:lpstr>cd_3</vt:lpstr>
      <vt:lpstr>cd_4</vt:lpstr>
      <vt:lpstr>cd_5</vt:lpstr>
      <vt:lpstr>cession_1</vt:lpstr>
      <vt:lpstr>cession_2</vt:lpstr>
      <vt:lpstr>cession_3</vt:lpstr>
      <vt:lpstr>cession_4</vt:lpstr>
      <vt:lpstr>cession_5</vt:lpstr>
      <vt:lpstr>cf_1</vt:lpstr>
      <vt:lpstr>cf_2</vt:lpstr>
      <vt:lpstr>cf_3</vt:lpstr>
      <vt:lpstr>cf_4</vt:lpstr>
      <vt:lpstr>cf_5</vt:lpstr>
      <vt:lpstr>clt_brut_1</vt:lpstr>
      <vt:lpstr>clt_brut_2</vt:lpstr>
      <vt:lpstr>clt_brut_3</vt:lpstr>
      <vt:lpstr>clt_brut_4</vt:lpstr>
      <vt:lpstr>clt_brut_5</vt:lpstr>
      <vt:lpstr>clt_net_1</vt:lpstr>
      <vt:lpstr>clt_net_2</vt:lpstr>
      <vt:lpstr>clt_net_3</vt:lpstr>
      <vt:lpstr>clt_net_4</vt:lpstr>
      <vt:lpstr>clt_net_5</vt:lpstr>
      <vt:lpstr>cp_1</vt:lpstr>
      <vt:lpstr>cp_2</vt:lpstr>
      <vt:lpstr>cp_3</vt:lpstr>
      <vt:lpstr>cp_4</vt:lpstr>
      <vt:lpstr>cp_5</vt:lpstr>
      <vt:lpstr>créances_nettes_expl_1</vt:lpstr>
      <vt:lpstr>créances_nettes_expl_2</vt:lpstr>
      <vt:lpstr>créances_nettes_expl_3</vt:lpstr>
      <vt:lpstr>créances_nettes_expl_4</vt:lpstr>
      <vt:lpstr>créances_nettes_expl_5</vt:lpstr>
      <vt:lpstr>d</vt:lpstr>
      <vt:lpstr>d_1</vt:lpstr>
      <vt:lpstr>d_2</vt:lpstr>
      <vt:lpstr>d_3</vt:lpstr>
      <vt:lpstr>d_4</vt:lpstr>
      <vt:lpstr>da_1</vt:lpstr>
      <vt:lpstr>da_2</vt:lpstr>
      <vt:lpstr>da_3</vt:lpstr>
      <vt:lpstr>da_4</vt:lpstr>
      <vt:lpstr>da_5</vt:lpstr>
      <vt:lpstr>dbz_1</vt:lpstr>
      <vt:lpstr>dbz_2</vt:lpstr>
      <vt:lpstr>dbz_3</vt:lpstr>
      <vt:lpstr>dbz_4</vt:lpstr>
      <vt:lpstr>dbz_5</vt:lpstr>
      <vt:lpstr>DCT_1</vt:lpstr>
      <vt:lpstr>DCT_2</vt:lpstr>
      <vt:lpstr>DCT_3</vt:lpstr>
      <vt:lpstr>DCT_4</vt:lpstr>
      <vt:lpstr>DCT_5</vt:lpstr>
      <vt:lpstr>dfse_1</vt:lpstr>
      <vt:lpstr>dfse_2</vt:lpstr>
      <vt:lpstr>dfse_3</vt:lpstr>
      <vt:lpstr>dfse_4</vt:lpstr>
      <vt:lpstr>dfse_5</vt:lpstr>
      <vt:lpstr>dl_1</vt:lpstr>
      <vt:lpstr>dl_2</vt:lpstr>
      <vt:lpstr>dl_3</vt:lpstr>
      <vt:lpstr>dl_4</vt:lpstr>
      <vt:lpstr>dl_5</vt:lpstr>
      <vt:lpstr>do_1</vt:lpstr>
      <vt:lpstr>do_2</vt:lpstr>
      <vt:lpstr>do_3</vt:lpstr>
      <vt:lpstr>do_4</vt:lpstr>
      <vt:lpstr>do_5</vt:lpstr>
      <vt:lpstr>du_1</vt:lpstr>
      <vt:lpstr>du_2</vt:lpstr>
      <vt:lpstr>du_3</vt:lpstr>
      <vt:lpstr>du_4</vt:lpstr>
      <vt:lpstr>du_5</vt:lpstr>
      <vt:lpstr>du_6</vt:lpstr>
      <vt:lpstr>dw_1</vt:lpstr>
      <vt:lpstr>dw_2</vt:lpstr>
      <vt:lpstr>dw_3</vt:lpstr>
      <vt:lpstr>dw_4</vt:lpstr>
      <vt:lpstr>dw_5</vt:lpstr>
      <vt:lpstr>dx_1</vt:lpstr>
      <vt:lpstr>dx_2</vt:lpstr>
      <vt:lpstr>dx_3</vt:lpstr>
      <vt:lpstr>dx_4</vt:lpstr>
      <vt:lpstr>dx_5</vt:lpstr>
      <vt:lpstr>dy_1</vt:lpstr>
      <vt:lpstr>dy_2</vt:lpstr>
      <vt:lpstr>dy_3</vt:lpstr>
      <vt:lpstr>dy_4</vt:lpstr>
      <vt:lpstr>dy_5</vt:lpstr>
      <vt:lpstr>dz_1</vt:lpstr>
      <vt:lpstr>dz_2</vt:lpstr>
      <vt:lpstr>dz_3</vt:lpstr>
      <vt:lpstr>dz_4</vt:lpstr>
      <vt:lpstr>dz_5</vt:lpstr>
      <vt:lpstr>e_1</vt:lpstr>
      <vt:lpstr>e_2</vt:lpstr>
      <vt:lpstr>e_3</vt:lpstr>
      <vt:lpstr>e_4</vt:lpstr>
      <vt:lpstr>e_5</vt:lpstr>
      <vt:lpstr>ea_1</vt:lpstr>
      <vt:lpstr>ea_2</vt:lpstr>
      <vt:lpstr>ea_3</vt:lpstr>
      <vt:lpstr>ea_4</vt:lpstr>
      <vt:lpstr>ea_5</vt:lpstr>
      <vt:lpstr>eaa_1</vt:lpstr>
      <vt:lpstr>eaa_2</vt:lpstr>
      <vt:lpstr>eaa_3</vt:lpstr>
      <vt:lpstr>eaa_4</vt:lpstr>
      <vt:lpstr>eaa_5</vt:lpstr>
      <vt:lpstr>ebe_1</vt:lpstr>
      <vt:lpstr>ebe_2</vt:lpstr>
      <vt:lpstr>ebe_3</vt:lpstr>
      <vt:lpstr>ebe_4</vt:lpstr>
      <vt:lpstr>ebe_5</vt:lpstr>
      <vt:lpstr>eh_1</vt:lpstr>
      <vt:lpstr>eh_2</vt:lpstr>
      <vt:lpstr>eh_3</vt:lpstr>
      <vt:lpstr>eh_4</vt:lpstr>
      <vt:lpstr>eh_5</vt:lpstr>
      <vt:lpstr>emp_1</vt:lpstr>
      <vt:lpstr>emp_2</vt:lpstr>
      <vt:lpstr>emp_3</vt:lpstr>
      <vt:lpstr>emp_4</vt:lpstr>
      <vt:lpstr>emp_5</vt:lpstr>
      <vt:lpstr>emp_6</vt:lpstr>
      <vt:lpstr>encoursCB_1</vt:lpstr>
      <vt:lpstr>encoursCB_2</vt:lpstr>
      <vt:lpstr>encoursCB_3</vt:lpstr>
      <vt:lpstr>encoursCB_4</vt:lpstr>
      <vt:lpstr>encoursCB_5</vt:lpstr>
      <vt:lpstr>export_1</vt:lpstr>
      <vt:lpstr>export_2</vt:lpstr>
      <vt:lpstr>export_3</vt:lpstr>
      <vt:lpstr>export_4</vt:lpstr>
      <vt:lpstr>export_5</vt:lpstr>
      <vt:lpstr>factor_1A</vt:lpstr>
      <vt:lpstr>factor_1B</vt:lpstr>
      <vt:lpstr>factor_1C</vt:lpstr>
      <vt:lpstr>factor_2A</vt:lpstr>
      <vt:lpstr>factor_2B</vt:lpstr>
      <vt:lpstr>factor_2C</vt:lpstr>
      <vt:lpstr>factor_3A</vt:lpstr>
      <vt:lpstr>factor_3B</vt:lpstr>
      <vt:lpstr>factor_3C</vt:lpstr>
      <vt:lpstr>factor_4A</vt:lpstr>
      <vt:lpstr>factor_4B</vt:lpstr>
      <vt:lpstr>factor_4C</vt:lpstr>
      <vt:lpstr>factor_5A</vt:lpstr>
      <vt:lpstr>factor_5B</vt:lpstr>
      <vt:lpstr>factor_5C</vt:lpstr>
      <vt:lpstr>fc_1</vt:lpstr>
      <vt:lpstr>fc_2</vt:lpstr>
      <vt:lpstr>fc_3</vt:lpstr>
      <vt:lpstr>fc_4</vt:lpstr>
      <vt:lpstr>fc_5</vt:lpstr>
      <vt:lpstr>ff_1</vt:lpstr>
      <vt:lpstr>ff_2</vt:lpstr>
      <vt:lpstr>ff_3</vt:lpstr>
      <vt:lpstr>ff_4</vt:lpstr>
      <vt:lpstr>ff_5</vt:lpstr>
      <vt:lpstr>fi_1</vt:lpstr>
      <vt:lpstr>fi_2</vt:lpstr>
      <vt:lpstr>fi_3</vt:lpstr>
      <vt:lpstr>fi_4</vt:lpstr>
      <vt:lpstr>fi_5</vt:lpstr>
      <vt:lpstr>fin_1</vt:lpstr>
      <vt:lpstr>fin_2</vt:lpstr>
      <vt:lpstr>fin_3</vt:lpstr>
      <vt:lpstr>fin_4</vt:lpstr>
      <vt:lpstr>fin_5</vt:lpstr>
      <vt:lpstr>fm_1</vt:lpstr>
      <vt:lpstr>fm_2</vt:lpstr>
      <vt:lpstr>fm_3</vt:lpstr>
      <vt:lpstr>fm_4</vt:lpstr>
      <vt:lpstr>fm_5</vt:lpstr>
      <vt:lpstr>fn_1</vt:lpstr>
      <vt:lpstr>fn_2</vt:lpstr>
      <vt:lpstr>fn_3</vt:lpstr>
      <vt:lpstr>fn_4</vt:lpstr>
      <vt:lpstr>fn_5</vt:lpstr>
      <vt:lpstr>forfait_1</vt:lpstr>
      <vt:lpstr>forfait_2</vt:lpstr>
      <vt:lpstr>forfait_3</vt:lpstr>
      <vt:lpstr>forfait_4</vt:lpstr>
      <vt:lpstr>forfait_5</vt:lpstr>
      <vt:lpstr>FP_1</vt:lpstr>
      <vt:lpstr>FP_2</vt:lpstr>
      <vt:lpstr>FP_3</vt:lpstr>
      <vt:lpstr>FP_4</vt:lpstr>
      <vt:lpstr>FP_5</vt:lpstr>
      <vt:lpstr>fr_1</vt:lpstr>
      <vt:lpstr>fr_2</vt:lpstr>
      <vt:lpstr>fr_3</vt:lpstr>
      <vt:lpstr>fr_4</vt:lpstr>
      <vt:lpstr>fr_5</vt:lpstr>
      <vt:lpstr>fs_1</vt:lpstr>
      <vt:lpstr>fs_2</vt:lpstr>
      <vt:lpstr>fs_3</vt:lpstr>
      <vt:lpstr>fs_4</vt:lpstr>
      <vt:lpstr>fs_5</vt:lpstr>
      <vt:lpstr>ft_1</vt:lpstr>
      <vt:lpstr>ft_2</vt:lpstr>
      <vt:lpstr>ft_3</vt:lpstr>
      <vt:lpstr>ft_4</vt:lpstr>
      <vt:lpstr>ft_5</vt:lpstr>
      <vt:lpstr>fu_1</vt:lpstr>
      <vt:lpstr>fu_2</vt:lpstr>
      <vt:lpstr>fu_3</vt:lpstr>
      <vt:lpstr>fu_4</vt:lpstr>
      <vt:lpstr>fu_5</vt:lpstr>
      <vt:lpstr>fv_1</vt:lpstr>
      <vt:lpstr>fv_2</vt:lpstr>
      <vt:lpstr>fv_3</vt:lpstr>
      <vt:lpstr>fv_4</vt:lpstr>
      <vt:lpstr>fv_5</vt:lpstr>
      <vt:lpstr>fw_1</vt:lpstr>
      <vt:lpstr>fw_2</vt:lpstr>
      <vt:lpstr>fw_3</vt:lpstr>
      <vt:lpstr>fw_4</vt:lpstr>
      <vt:lpstr>fw_5</vt:lpstr>
      <vt:lpstr>fy_1</vt:lpstr>
      <vt:lpstr>fy_2</vt:lpstr>
      <vt:lpstr>fy_3</vt:lpstr>
      <vt:lpstr>fy_4</vt:lpstr>
      <vt:lpstr>fy_5</vt:lpstr>
      <vt:lpstr>ga_1</vt:lpstr>
      <vt:lpstr>ga_2</vt:lpstr>
      <vt:lpstr>ga_3</vt:lpstr>
      <vt:lpstr>ga_4</vt:lpstr>
      <vt:lpstr>ga_5</vt:lpstr>
      <vt:lpstr>gr_1</vt:lpstr>
      <vt:lpstr>gr_2</vt:lpstr>
      <vt:lpstr>gr_3</vt:lpstr>
      <vt:lpstr>gr_4</vt:lpstr>
      <vt:lpstr>gr_5</vt:lpstr>
      <vt:lpstr>hi_1</vt:lpstr>
      <vt:lpstr>hi_2</vt:lpstr>
      <vt:lpstr>hi_3</vt:lpstr>
      <vt:lpstr>hi_4</vt:lpstr>
      <vt:lpstr>hi_5</vt:lpstr>
      <vt:lpstr>hj_1</vt:lpstr>
      <vt:lpstr>hj_2</vt:lpstr>
      <vt:lpstr>hj_3</vt:lpstr>
      <vt:lpstr>hj_4</vt:lpstr>
      <vt:lpstr>hj_5</vt:lpstr>
      <vt:lpstr>hk_1</vt:lpstr>
      <vt:lpstr>hk_2</vt:lpstr>
      <vt:lpstr>hk_3</vt:lpstr>
      <vt:lpstr>hk_4</vt:lpstr>
      <vt:lpstr>hk_5</vt:lpstr>
      <vt:lpstr>hp_1</vt:lpstr>
      <vt:lpstr>hp_2</vt:lpstr>
      <vt:lpstr>hp_3</vt:lpstr>
      <vt:lpstr>hp_4</vt:lpstr>
      <vt:lpstr>hp_5</vt:lpstr>
      <vt:lpstr>hpc_1</vt:lpstr>
      <vt:lpstr>hpc_2</vt:lpstr>
      <vt:lpstr>hpc_3</vt:lpstr>
      <vt:lpstr>hpc_4</vt:lpstr>
      <vt:lpstr>hpc_5</vt:lpstr>
      <vt:lpstr>hq_1</vt:lpstr>
      <vt:lpstr>hq_2</vt:lpstr>
      <vt:lpstr>hq_3</vt:lpstr>
      <vt:lpstr>hq_4</vt:lpstr>
      <vt:lpstr>hq_5</vt:lpstr>
      <vt:lpstr>I_1</vt:lpstr>
      <vt:lpstr>I_2</vt:lpstr>
      <vt:lpstr>I_3</vt:lpstr>
      <vt:lpstr>I_4</vt:lpstr>
      <vt:lpstr>I_5</vt:lpstr>
      <vt:lpstr>IAP_1</vt:lpstr>
      <vt:lpstr>IAP_2</vt:lpstr>
      <vt:lpstr>IAP_3</vt:lpstr>
      <vt:lpstr>IAP_4</vt:lpstr>
      <vt:lpstr>IAP_5</vt:lpstr>
      <vt:lpstr>icb_1</vt:lpstr>
      <vt:lpstr>icb_2</vt:lpstr>
      <vt:lpstr>icb_3</vt:lpstr>
      <vt:lpstr>icb_4</vt:lpstr>
      <vt:lpstr>icb_5</vt:lpstr>
      <vt:lpstr>immo_1</vt:lpstr>
      <vt:lpstr>immo_2</vt:lpstr>
      <vt:lpstr>immo_3</vt:lpstr>
      <vt:lpstr>immo_4</vt:lpstr>
      <vt:lpstr>immo_5</vt:lpstr>
      <vt:lpstr>immo_fi_1</vt:lpstr>
      <vt:lpstr>immo_fi_2</vt:lpstr>
      <vt:lpstr>immo_fi_3</vt:lpstr>
      <vt:lpstr>immo_fi_4</vt:lpstr>
      <vt:lpstr>immo_fi_5</vt:lpstr>
      <vt:lpstr>bilan!Impression_des_titres</vt:lpstr>
      <vt:lpstr>Ratios!Impression_des_titres</vt:lpstr>
      <vt:lpstr>resultat!Impression_des_titres</vt:lpstr>
      <vt:lpstr>interim_1</vt:lpstr>
      <vt:lpstr>interim_2</vt:lpstr>
      <vt:lpstr>interim_3</vt:lpstr>
      <vt:lpstr>interim_4</vt:lpstr>
      <vt:lpstr>interim_5</vt:lpstr>
      <vt:lpstr>is_1</vt:lpstr>
      <vt:lpstr>is_2</vt:lpstr>
      <vt:lpstr>is_3</vt:lpstr>
      <vt:lpstr>is_4</vt:lpstr>
      <vt:lpstr>is_5</vt:lpstr>
      <vt:lpstr>lw_1</vt:lpstr>
      <vt:lpstr>lw_2</vt:lpstr>
      <vt:lpstr>lw_3</vt:lpstr>
      <vt:lpstr>lw_4</vt:lpstr>
      <vt:lpstr>lw_5</vt:lpstr>
      <vt:lpstr>mat_1</vt:lpstr>
      <vt:lpstr>mat_2</vt:lpstr>
      <vt:lpstr>mat_3</vt:lpstr>
      <vt:lpstr>mat_4</vt:lpstr>
      <vt:lpstr>mat_5</vt:lpstr>
      <vt:lpstr>mb_1</vt:lpstr>
      <vt:lpstr>mb_2</vt:lpstr>
      <vt:lpstr>mb_3</vt:lpstr>
      <vt:lpstr>mb_4</vt:lpstr>
      <vt:lpstr>mb_5</vt:lpstr>
      <vt:lpstr>mc_1</vt:lpstr>
      <vt:lpstr>mc_2</vt:lpstr>
      <vt:lpstr>mc_3</vt:lpstr>
      <vt:lpstr>mc_4</vt:lpstr>
      <vt:lpstr>mc_5</vt:lpstr>
      <vt:lpstr>mse_1</vt:lpstr>
      <vt:lpstr>mse_2</vt:lpstr>
      <vt:lpstr>mse_3</vt:lpstr>
      <vt:lpstr>mse_4</vt:lpstr>
      <vt:lpstr>mse_5</vt:lpstr>
      <vt:lpstr>nh_1</vt:lpstr>
      <vt:lpstr>nh_2</vt:lpstr>
      <vt:lpstr>nh_3</vt:lpstr>
      <vt:lpstr>nh_4</vt:lpstr>
      <vt:lpstr>nh_5</vt:lpstr>
      <vt:lpstr>nk_1</vt:lpstr>
      <vt:lpstr>nk_2</vt:lpstr>
      <vt:lpstr>nk_3</vt:lpstr>
      <vt:lpstr>nk_4</vt:lpstr>
      <vt:lpstr>nk_5</vt:lpstr>
      <vt:lpstr>nv_1</vt:lpstr>
      <vt:lpstr>nv_2</vt:lpstr>
      <vt:lpstr>nv_3</vt:lpstr>
      <vt:lpstr>nv_4</vt:lpstr>
      <vt:lpstr>nv_5</vt:lpstr>
      <vt:lpstr>p_1</vt:lpstr>
      <vt:lpstr>p_2</vt:lpstr>
      <vt:lpstr>p_3</vt:lpstr>
      <vt:lpstr>p_4</vt:lpstr>
      <vt:lpstr>p_5</vt:lpstr>
      <vt:lpstr>pca_1</vt:lpstr>
      <vt:lpstr>pca_2</vt:lpstr>
      <vt:lpstr>pca_3</vt:lpstr>
      <vt:lpstr>pca_4</vt:lpstr>
      <vt:lpstr>pca_5</vt:lpstr>
      <vt:lpstr>ph_1</vt:lpstr>
      <vt:lpstr>ph_2</vt:lpstr>
      <vt:lpstr>ph_3</vt:lpstr>
      <vt:lpstr>ph_4</vt:lpstr>
      <vt:lpstr>ph_5</vt:lpstr>
      <vt:lpstr>pm_1</vt:lpstr>
      <vt:lpstr>pm_2</vt:lpstr>
      <vt:lpstr>pm_3</vt:lpstr>
      <vt:lpstr>pm_4</vt:lpstr>
      <vt:lpstr>pm_5</vt:lpstr>
      <vt:lpstr>pr_1</vt:lpstr>
      <vt:lpstr>pr_2</vt:lpstr>
      <vt:lpstr>pr_3</vt:lpstr>
      <vt:lpstr>pr_4</vt:lpstr>
      <vt:lpstr>pr_5</vt:lpstr>
      <vt:lpstr>pr_6</vt:lpstr>
      <vt:lpstr>qx_1</vt:lpstr>
      <vt:lpstr>qx_2</vt:lpstr>
      <vt:lpstr>qx_3</vt:lpstr>
      <vt:lpstr>qx_4</vt:lpstr>
      <vt:lpstr>qx_5</vt:lpstr>
      <vt:lpstr>r_1</vt:lpstr>
      <vt:lpstr>r_2</vt:lpstr>
      <vt:lpstr>r_3</vt:lpstr>
      <vt:lpstr>r_4</vt:lpstr>
      <vt:lpstr>r_5</vt:lpstr>
      <vt:lpstr>ratio_1</vt:lpstr>
      <vt:lpstr>ratio_2</vt:lpstr>
      <vt:lpstr>ratio_3</vt:lpstr>
      <vt:lpstr>ratio_4</vt:lpstr>
      <vt:lpstr>rc_1</vt:lpstr>
      <vt:lpstr>rc_2</vt:lpstr>
      <vt:lpstr>rc_3</vt:lpstr>
      <vt:lpstr>rc_4</vt:lpstr>
      <vt:lpstr>rc_5</vt:lpstr>
      <vt:lpstr>re_1</vt:lpstr>
      <vt:lpstr>re_2</vt:lpstr>
      <vt:lpstr>re_3</vt:lpstr>
      <vt:lpstr>re_4</vt:lpstr>
      <vt:lpstr>re_5</vt:lpstr>
      <vt:lpstr>rec_4</vt:lpstr>
      <vt:lpstr>rp_1</vt:lpstr>
      <vt:lpstr>rp_2</vt:lpstr>
      <vt:lpstr>rp_3</vt:lpstr>
      <vt:lpstr>rp_4</vt:lpstr>
      <vt:lpstr>rp_5</vt:lpstr>
      <vt:lpstr>societe</vt:lpstr>
      <vt:lpstr>st_1</vt:lpstr>
      <vt:lpstr>st_2</vt:lpstr>
      <vt:lpstr>st_3</vt:lpstr>
      <vt:lpstr>st_4</vt:lpstr>
      <vt:lpstr>st_5</vt:lpstr>
      <vt:lpstr>stn_1</vt:lpstr>
      <vt:lpstr>stn_2</vt:lpstr>
      <vt:lpstr>stn_3</vt:lpstr>
      <vt:lpstr>stn_4</vt:lpstr>
      <vt:lpstr>stn_5</vt:lpstr>
      <vt:lpstr>taux_IS_théorique</vt:lpstr>
      <vt:lpstr>tr_1</vt:lpstr>
      <vt:lpstr>tr_2</vt:lpstr>
      <vt:lpstr>tr_3</vt:lpstr>
      <vt:lpstr>tr_4</vt:lpstr>
      <vt:lpstr>tr_5</vt:lpstr>
      <vt:lpstr>tvac_1</vt:lpstr>
      <vt:lpstr>tvac_1b</vt:lpstr>
      <vt:lpstr>tvac_2</vt:lpstr>
      <vt:lpstr>tvac_2b</vt:lpstr>
      <vt:lpstr>tvac_3</vt:lpstr>
      <vt:lpstr>tvac_3b</vt:lpstr>
      <vt:lpstr>tvac_4</vt:lpstr>
      <vt:lpstr>tvac_4b</vt:lpstr>
      <vt:lpstr>tvac_5</vt:lpstr>
      <vt:lpstr>tvac_5b</vt:lpstr>
      <vt:lpstr>tvad_1</vt:lpstr>
      <vt:lpstr>tvad_1b</vt:lpstr>
      <vt:lpstr>tvad_2</vt:lpstr>
      <vt:lpstr>tvad_2b</vt:lpstr>
      <vt:lpstr>tvad_3</vt:lpstr>
      <vt:lpstr>tvad_3b</vt:lpstr>
      <vt:lpstr>tvad_4</vt:lpstr>
      <vt:lpstr>tvad_4b</vt:lpstr>
      <vt:lpstr>tvad_5</vt:lpstr>
      <vt:lpstr>tvad_5b</vt:lpstr>
      <vt:lpstr>u</vt:lpstr>
      <vt:lpstr>va_1</vt:lpstr>
      <vt:lpstr>va_2</vt:lpstr>
      <vt:lpstr>va_3</vt:lpstr>
      <vt:lpstr>va_4</vt:lpstr>
      <vt:lpstr>va_5</vt:lpstr>
      <vt:lpstr>vc_1</vt:lpstr>
      <vt:lpstr>vc_2</vt:lpstr>
      <vt:lpstr>vc_3</vt:lpstr>
      <vt:lpstr>vc_4</vt:lpstr>
      <vt:lpstr>vc_5</vt:lpstr>
      <vt:lpstr>vi_1</vt:lpstr>
      <vt:lpstr>vi_2</vt:lpstr>
      <vt:lpstr>vi_3</vt:lpstr>
      <vt:lpstr>vi_4</vt:lpstr>
      <vt:lpstr>vi_5</vt:lpstr>
      <vt:lpstr>vk_1</vt:lpstr>
      <vt:lpstr>vk_2</vt:lpstr>
      <vt:lpstr>vk_3</vt:lpstr>
      <vt:lpstr>vk_4</vt:lpstr>
      <vt:lpstr>vk_5</vt:lpstr>
      <vt:lpstr>vm_1</vt:lpstr>
      <vt:lpstr>vm_2</vt:lpstr>
      <vt:lpstr>vm_3</vt:lpstr>
      <vt:lpstr>vm_4</vt:lpstr>
      <vt:lpstr>vm_5</vt:lpstr>
      <vt:lpstr>vtr_1</vt:lpstr>
      <vt:lpstr>vtr_2</vt:lpstr>
      <vt:lpstr>vtr_3</vt:lpstr>
      <vt:lpstr>vtr_4</vt:lpstr>
      <vt:lpstr>x_1</vt:lpstr>
      <vt:lpstr>x_2</vt:lpstr>
      <vt:lpstr>x_3</vt:lpstr>
      <vt:lpstr>x_4</vt:lpstr>
      <vt:lpstr>x_5</vt:lpstr>
      <vt:lpstr>yp_1</vt:lpstr>
      <vt:lpstr>yp_2</vt:lpstr>
      <vt:lpstr>yp_3</vt:lpstr>
      <vt:lpstr>yp_4</vt:lpstr>
      <vt:lpstr>yp_5</vt:lpstr>
      <vt:lpstr>ys_1</vt:lpstr>
      <vt:lpstr>ys_2</vt:lpstr>
      <vt:lpstr>ys_3</vt:lpstr>
      <vt:lpstr>ys_4</vt:lpstr>
      <vt:lpstr>ys_5</vt:lpstr>
      <vt:lpstr>yu_1</vt:lpstr>
      <vt:lpstr>yu_2</vt:lpstr>
      <vt:lpstr>yu_3</vt:lpstr>
      <vt:lpstr>yu_4</vt:lpstr>
      <vt:lpstr>yu_5</vt:lpstr>
      <vt:lpstr>ze_1</vt:lpstr>
      <vt:lpstr>ze_2</vt:lpstr>
      <vt:lpstr>ze_3</vt:lpstr>
      <vt:lpstr>ze_4</vt:lpstr>
      <vt:lpstr>ze_5</vt:lpstr>
      <vt:lpstr>bilan!Zone_d_impression</vt:lpstr>
      <vt:lpstr>Feuil3!Zone_d_impression</vt:lpstr>
      <vt:lpstr>Graphiques!Zone_d_impression</vt:lpstr>
      <vt:lpstr>'Infos complémentaires'!Zone_d_impression</vt:lpstr>
      <vt:lpstr>Ratios!Zone_d_impression</vt:lpstr>
      <vt:lpstr>resultat!Zone_d_impression</vt:lpstr>
      <vt:lpstr>Score!Zone_d_impression</vt:lpstr>
      <vt:lpstr>'Structure financière'!Zone_d_impression</vt:lpstr>
      <vt:lpstr>'tableau de financement'!Zone_d_impression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SOKOA</dc:creator>
  <cp:lastModifiedBy>J. BERGARA</cp:lastModifiedBy>
  <cp:lastPrinted>2019-05-29T17:02:26Z</cp:lastPrinted>
  <dcterms:created xsi:type="dcterms:W3CDTF">2001-05-23T18:48:17Z</dcterms:created>
  <dcterms:modified xsi:type="dcterms:W3CDTF">2020-01-22T10:25:40Z</dcterms:modified>
</cp:coreProperties>
</file>